
<file path=[Content_Types].xml><?xml version="1.0" encoding="utf-8"?>
<Types xmlns="http://schemas.openxmlformats.org/package/2006/content-types"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ank\OneDrive\Desktop\"/>
    </mc:Choice>
  </mc:AlternateContent>
  <xr:revisionPtr revIDLastSave="0" documentId="13_ncr:1_{A47B6518-C299-45AE-8F6F-B0FB217D8F2D}" xr6:coauthVersionLast="47" xr6:coauthVersionMax="47" xr10:uidLastSave="{00000000-0000-0000-0000-000000000000}"/>
  <bookViews>
    <workbookView xWindow="-108" yWindow="-108" windowWidth="23256" windowHeight="12456" firstSheet="1" activeTab="8" xr2:uid="{6B7DD38B-F2E6-4E6E-8F75-6C9D08F04D14}"/>
  </bookViews>
  <sheets>
    <sheet name="Revenue Segment" sheetId="1" r:id="rId1"/>
    <sheet name="IS" sheetId="2" r:id="rId2"/>
    <sheet name="BS" sheetId="3" r:id="rId3"/>
    <sheet name="CFS" sheetId="6" r:id="rId4"/>
    <sheet name="Debt Schedule" sheetId="5" r:id="rId5"/>
    <sheet name="Fixed Asset schdeule" sheetId="4" r:id="rId6"/>
    <sheet name="BETA" sheetId="7" r:id="rId7"/>
    <sheet name="WACC" sheetId="8" r:id="rId8"/>
    <sheet name="DCF" sheetId="9" r:id="rId9"/>
    <sheet name="LYFT" sheetId="10" r:id="rId10"/>
    <sheet name="GRAB" sheetId="11" r:id="rId11"/>
    <sheet name="Trading Comps" sheetId="13" r:id="rId12"/>
    <sheet name="Comps Output" sheetId="12" r:id="rId13"/>
    <sheet name="DIDI" sheetId="16" r:id="rId14"/>
    <sheet name="DOOR DASH" sheetId="17" r:id="rId1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12" i="2" l="1"/>
  <c r="S12" i="2"/>
  <c r="R12" i="2"/>
  <c r="Q12" i="2"/>
  <c r="P12" i="2"/>
  <c r="J19" i="4"/>
  <c r="J20" i="4"/>
  <c r="J21" i="4"/>
  <c r="J6" i="4"/>
  <c r="J7" i="4" s="1"/>
  <c r="J8" i="4" s="1"/>
  <c r="H6" i="4"/>
  <c r="F21" i="4"/>
  <c r="H20" i="4"/>
  <c r="H19" i="4"/>
  <c r="H18" i="4"/>
  <c r="H5" i="4"/>
  <c r="H7" i="4"/>
  <c r="H4" i="4"/>
  <c r="I13" i="4"/>
  <c r="B13" i="4"/>
  <c r="O13" i="2"/>
  <c r="B55" i="2" l="1"/>
  <c r="B56" i="2"/>
  <c r="B33" i="10"/>
  <c r="F42" i="13"/>
  <c r="C35" i="13"/>
  <c r="B43" i="13"/>
  <c r="B42" i="13"/>
  <c r="C36" i="11" l="1"/>
  <c r="C35" i="11"/>
  <c r="E15" i="10"/>
  <c r="C7" i="10"/>
  <c r="B32" i="10"/>
  <c r="C20" i="9"/>
  <c r="C9" i="9" l="1"/>
  <c r="F22" i="10"/>
  <c r="D8" i="16" l="1"/>
  <c r="Q16" i="12"/>
  <c r="I53" i="10"/>
  <c r="K51" i="10"/>
  <c r="J51" i="10"/>
  <c r="I51" i="10"/>
  <c r="D5" i="7"/>
  <c r="D6" i="7"/>
  <c r="B6" i="7"/>
  <c r="AE1276" i="7"/>
  <c r="J1276" i="7"/>
  <c r="V1274" i="7"/>
  <c r="AF1274" i="7"/>
  <c r="Y1274" i="7"/>
  <c r="AA1267" i="7" s="1"/>
  <c r="AF22" i="7"/>
  <c r="AF23" i="7"/>
  <c r="AF24" i="7"/>
  <c r="AF25" i="7"/>
  <c r="AF26" i="7"/>
  <c r="AF27" i="7"/>
  <c r="AF28" i="7"/>
  <c r="AF29" i="7"/>
  <c r="AF30" i="7"/>
  <c r="AF31" i="7"/>
  <c r="AF32" i="7"/>
  <c r="AF33" i="7"/>
  <c r="AF34" i="7"/>
  <c r="AF35" i="7"/>
  <c r="AF36" i="7"/>
  <c r="AF37" i="7"/>
  <c r="AF38" i="7"/>
  <c r="AF39" i="7"/>
  <c r="AF40" i="7"/>
  <c r="AF41" i="7"/>
  <c r="AF42" i="7"/>
  <c r="AF43" i="7"/>
  <c r="AF44" i="7"/>
  <c r="AF45" i="7"/>
  <c r="AF46" i="7"/>
  <c r="AF47" i="7"/>
  <c r="AF48" i="7"/>
  <c r="AF49" i="7"/>
  <c r="AF50" i="7"/>
  <c r="AF51" i="7"/>
  <c r="AF52" i="7"/>
  <c r="AF53" i="7"/>
  <c r="AF54" i="7"/>
  <c r="AF55" i="7"/>
  <c r="AF56" i="7"/>
  <c r="AF57" i="7"/>
  <c r="AF58" i="7"/>
  <c r="AF59" i="7"/>
  <c r="AF60" i="7"/>
  <c r="AF61" i="7"/>
  <c r="AF62" i="7"/>
  <c r="AF63" i="7"/>
  <c r="AF64" i="7"/>
  <c r="AF65" i="7"/>
  <c r="AF66" i="7"/>
  <c r="AF67" i="7"/>
  <c r="AF68" i="7"/>
  <c r="AF69" i="7"/>
  <c r="AF70" i="7"/>
  <c r="AF71" i="7"/>
  <c r="AF72" i="7"/>
  <c r="AF73" i="7"/>
  <c r="AF74" i="7"/>
  <c r="AF75" i="7"/>
  <c r="AF76" i="7"/>
  <c r="AF77" i="7"/>
  <c r="AF78" i="7"/>
  <c r="AF79" i="7"/>
  <c r="AF80" i="7"/>
  <c r="AF81" i="7"/>
  <c r="AF82" i="7"/>
  <c r="AF83" i="7"/>
  <c r="AF84" i="7"/>
  <c r="AF85" i="7"/>
  <c r="AF86" i="7"/>
  <c r="AF87" i="7"/>
  <c r="AF88" i="7"/>
  <c r="AF89" i="7"/>
  <c r="AF90" i="7"/>
  <c r="AF91" i="7"/>
  <c r="AF92" i="7"/>
  <c r="AF93" i="7"/>
  <c r="AF94" i="7"/>
  <c r="AF95" i="7"/>
  <c r="AF96" i="7"/>
  <c r="AF97" i="7"/>
  <c r="AF98" i="7"/>
  <c r="AF99" i="7"/>
  <c r="AF100" i="7"/>
  <c r="AF101" i="7"/>
  <c r="AF102" i="7"/>
  <c r="AF103" i="7"/>
  <c r="AF104" i="7"/>
  <c r="AF105" i="7"/>
  <c r="AF106" i="7"/>
  <c r="AF107" i="7"/>
  <c r="AF108" i="7"/>
  <c r="AF109" i="7"/>
  <c r="AF110" i="7"/>
  <c r="AF111" i="7"/>
  <c r="AF112" i="7"/>
  <c r="AF113" i="7"/>
  <c r="AF114" i="7"/>
  <c r="AF115" i="7"/>
  <c r="AF116" i="7"/>
  <c r="AF117" i="7"/>
  <c r="AF118" i="7"/>
  <c r="AF119" i="7"/>
  <c r="AF120" i="7"/>
  <c r="AF121" i="7"/>
  <c r="AF122" i="7"/>
  <c r="AF123" i="7"/>
  <c r="AF124" i="7"/>
  <c r="AF125" i="7"/>
  <c r="AF126" i="7"/>
  <c r="AF127" i="7"/>
  <c r="AF128" i="7"/>
  <c r="AF129" i="7"/>
  <c r="AF130" i="7"/>
  <c r="AF131" i="7"/>
  <c r="AF132" i="7"/>
  <c r="AF133" i="7"/>
  <c r="AF134" i="7"/>
  <c r="AF135" i="7"/>
  <c r="AF136" i="7"/>
  <c r="AF137" i="7"/>
  <c r="AF138" i="7"/>
  <c r="AF139" i="7"/>
  <c r="AF140" i="7"/>
  <c r="AF141" i="7"/>
  <c r="AF142" i="7"/>
  <c r="AF143" i="7"/>
  <c r="AF144" i="7"/>
  <c r="AF145" i="7"/>
  <c r="AF146" i="7"/>
  <c r="AF147" i="7"/>
  <c r="AF148" i="7"/>
  <c r="AF149" i="7"/>
  <c r="AF150" i="7"/>
  <c r="AF151" i="7"/>
  <c r="AF152" i="7"/>
  <c r="AF153" i="7"/>
  <c r="AF154" i="7"/>
  <c r="AF155" i="7"/>
  <c r="AF156" i="7"/>
  <c r="AF157" i="7"/>
  <c r="AF158" i="7"/>
  <c r="AF159" i="7"/>
  <c r="AF160" i="7"/>
  <c r="AF161" i="7"/>
  <c r="AF162" i="7"/>
  <c r="AF163" i="7"/>
  <c r="AF164" i="7"/>
  <c r="AF165" i="7"/>
  <c r="AF166" i="7"/>
  <c r="AF167" i="7"/>
  <c r="AF168" i="7"/>
  <c r="AF169" i="7"/>
  <c r="AF170" i="7"/>
  <c r="AF171" i="7"/>
  <c r="AF172" i="7"/>
  <c r="AF173" i="7"/>
  <c r="AF174" i="7"/>
  <c r="AF175" i="7"/>
  <c r="AF176" i="7"/>
  <c r="AF177" i="7"/>
  <c r="AF178" i="7"/>
  <c r="AF179" i="7"/>
  <c r="AF180" i="7"/>
  <c r="AF181" i="7"/>
  <c r="AF182" i="7"/>
  <c r="AF183" i="7"/>
  <c r="AF184" i="7"/>
  <c r="AF185" i="7"/>
  <c r="AF186" i="7"/>
  <c r="AF187" i="7"/>
  <c r="AF188" i="7"/>
  <c r="AF189" i="7"/>
  <c r="AF190" i="7"/>
  <c r="AF191" i="7"/>
  <c r="AF192" i="7"/>
  <c r="AF193" i="7"/>
  <c r="AF194" i="7"/>
  <c r="AF195" i="7"/>
  <c r="AF196" i="7"/>
  <c r="AF197" i="7"/>
  <c r="AF198" i="7"/>
  <c r="AF199" i="7"/>
  <c r="AF200" i="7"/>
  <c r="AF201" i="7"/>
  <c r="AF202" i="7"/>
  <c r="AF203" i="7"/>
  <c r="AF204" i="7"/>
  <c r="AF205" i="7"/>
  <c r="AF206" i="7"/>
  <c r="AF207" i="7"/>
  <c r="AF208" i="7"/>
  <c r="AF209" i="7"/>
  <c r="AF210" i="7"/>
  <c r="AF211" i="7"/>
  <c r="AF212" i="7"/>
  <c r="AF213" i="7"/>
  <c r="AF214" i="7"/>
  <c r="AF215" i="7"/>
  <c r="AF216" i="7"/>
  <c r="AF217" i="7"/>
  <c r="AF218" i="7"/>
  <c r="AF219" i="7"/>
  <c r="AF220" i="7"/>
  <c r="AF221" i="7"/>
  <c r="AF222" i="7"/>
  <c r="AF223" i="7"/>
  <c r="AF224" i="7"/>
  <c r="AF225" i="7"/>
  <c r="AF226" i="7"/>
  <c r="AF227" i="7"/>
  <c r="AF228" i="7"/>
  <c r="AF229" i="7"/>
  <c r="AF230" i="7"/>
  <c r="AF231" i="7"/>
  <c r="AF232" i="7"/>
  <c r="AF233" i="7"/>
  <c r="AF234" i="7"/>
  <c r="AF235" i="7"/>
  <c r="AF236" i="7"/>
  <c r="AF237" i="7"/>
  <c r="AF238" i="7"/>
  <c r="AF239" i="7"/>
  <c r="AF240" i="7"/>
  <c r="AF241" i="7"/>
  <c r="AF242" i="7"/>
  <c r="AF243" i="7"/>
  <c r="AF244" i="7"/>
  <c r="AF245" i="7"/>
  <c r="AF246" i="7"/>
  <c r="AF247" i="7"/>
  <c r="AF248" i="7"/>
  <c r="AF249" i="7"/>
  <c r="AF250" i="7"/>
  <c r="AF251" i="7"/>
  <c r="AF252" i="7"/>
  <c r="AF253" i="7"/>
  <c r="AF254" i="7"/>
  <c r="AF255" i="7"/>
  <c r="AF256" i="7"/>
  <c r="AF257" i="7"/>
  <c r="AF258" i="7"/>
  <c r="AF259" i="7"/>
  <c r="AF260" i="7"/>
  <c r="AF261" i="7"/>
  <c r="AF262" i="7"/>
  <c r="AF263" i="7"/>
  <c r="AF264" i="7"/>
  <c r="AF265" i="7"/>
  <c r="AF266" i="7"/>
  <c r="AF267" i="7"/>
  <c r="AF268" i="7"/>
  <c r="AF269" i="7"/>
  <c r="AF270" i="7"/>
  <c r="AF271" i="7"/>
  <c r="AF272" i="7"/>
  <c r="AF273" i="7"/>
  <c r="AF274" i="7"/>
  <c r="AF275" i="7"/>
  <c r="AF276" i="7"/>
  <c r="AF277" i="7"/>
  <c r="AF278" i="7"/>
  <c r="AF279" i="7"/>
  <c r="AF280" i="7"/>
  <c r="AF281" i="7"/>
  <c r="AF282" i="7"/>
  <c r="AF283" i="7"/>
  <c r="AF284" i="7"/>
  <c r="AF285" i="7"/>
  <c r="AF286" i="7"/>
  <c r="AF287" i="7"/>
  <c r="AF288" i="7"/>
  <c r="AF289" i="7"/>
  <c r="AF290" i="7"/>
  <c r="AF291" i="7"/>
  <c r="AF292" i="7"/>
  <c r="AF293" i="7"/>
  <c r="AF294" i="7"/>
  <c r="AF295" i="7"/>
  <c r="AF296" i="7"/>
  <c r="AF297" i="7"/>
  <c r="AF298" i="7"/>
  <c r="AF299" i="7"/>
  <c r="AF300" i="7"/>
  <c r="AF301" i="7"/>
  <c r="AF302" i="7"/>
  <c r="AF303" i="7"/>
  <c r="AF304" i="7"/>
  <c r="AF305" i="7"/>
  <c r="AF306" i="7"/>
  <c r="AF307" i="7"/>
  <c r="AF308" i="7"/>
  <c r="AF309" i="7"/>
  <c r="AF310" i="7"/>
  <c r="AF311" i="7"/>
  <c r="AF312" i="7"/>
  <c r="AF313" i="7"/>
  <c r="AF314" i="7"/>
  <c r="AF315" i="7"/>
  <c r="AF316" i="7"/>
  <c r="AF317" i="7"/>
  <c r="AF318" i="7"/>
  <c r="AF319" i="7"/>
  <c r="AF320" i="7"/>
  <c r="AF321" i="7"/>
  <c r="AF322" i="7"/>
  <c r="AF323" i="7"/>
  <c r="AF324" i="7"/>
  <c r="AF325" i="7"/>
  <c r="AF326" i="7"/>
  <c r="AF327" i="7"/>
  <c r="AF328" i="7"/>
  <c r="AF329" i="7"/>
  <c r="AF330" i="7"/>
  <c r="AF331" i="7"/>
  <c r="AF332" i="7"/>
  <c r="AF333" i="7"/>
  <c r="AF334" i="7"/>
  <c r="AF335" i="7"/>
  <c r="AF336" i="7"/>
  <c r="AF337" i="7"/>
  <c r="AF338" i="7"/>
  <c r="AF339" i="7"/>
  <c r="AF340" i="7"/>
  <c r="AF341" i="7"/>
  <c r="AF342" i="7"/>
  <c r="AF343" i="7"/>
  <c r="AF344" i="7"/>
  <c r="AF345" i="7"/>
  <c r="AF346" i="7"/>
  <c r="AF347" i="7"/>
  <c r="AF348" i="7"/>
  <c r="AF349" i="7"/>
  <c r="AF350" i="7"/>
  <c r="AF351" i="7"/>
  <c r="AF352" i="7"/>
  <c r="AF353" i="7"/>
  <c r="AF354" i="7"/>
  <c r="AF355" i="7"/>
  <c r="AF356" i="7"/>
  <c r="AF357" i="7"/>
  <c r="AF358" i="7"/>
  <c r="AF359" i="7"/>
  <c r="AF360" i="7"/>
  <c r="AF361" i="7"/>
  <c r="AF362" i="7"/>
  <c r="AF363" i="7"/>
  <c r="AF364" i="7"/>
  <c r="AF365" i="7"/>
  <c r="AF366" i="7"/>
  <c r="AF367" i="7"/>
  <c r="AF368" i="7"/>
  <c r="AF369" i="7"/>
  <c r="AF370" i="7"/>
  <c r="AF371" i="7"/>
  <c r="AF372" i="7"/>
  <c r="AF373" i="7"/>
  <c r="AF374" i="7"/>
  <c r="AF375" i="7"/>
  <c r="AF376" i="7"/>
  <c r="AF377" i="7"/>
  <c r="AF378" i="7"/>
  <c r="AF379" i="7"/>
  <c r="AF380" i="7"/>
  <c r="AF381" i="7"/>
  <c r="AF382" i="7"/>
  <c r="AF383" i="7"/>
  <c r="AF384" i="7"/>
  <c r="AF385" i="7"/>
  <c r="AF386" i="7"/>
  <c r="AF387" i="7"/>
  <c r="AF388" i="7"/>
  <c r="AF389" i="7"/>
  <c r="AF390" i="7"/>
  <c r="AF391" i="7"/>
  <c r="AF392" i="7"/>
  <c r="AF393" i="7"/>
  <c r="AF394" i="7"/>
  <c r="AF395" i="7"/>
  <c r="AF396" i="7"/>
  <c r="AF397" i="7"/>
  <c r="AF398" i="7"/>
  <c r="AF399" i="7"/>
  <c r="AF400" i="7"/>
  <c r="AF401" i="7"/>
  <c r="AF402" i="7"/>
  <c r="AF403" i="7"/>
  <c r="AF404" i="7"/>
  <c r="AF405" i="7"/>
  <c r="AF406" i="7"/>
  <c r="AF407" i="7"/>
  <c r="AF408" i="7"/>
  <c r="AF409" i="7"/>
  <c r="AF410" i="7"/>
  <c r="AF411" i="7"/>
  <c r="AF412" i="7"/>
  <c r="AF413" i="7"/>
  <c r="AF414" i="7"/>
  <c r="AF415" i="7"/>
  <c r="AF416" i="7"/>
  <c r="AF417" i="7"/>
  <c r="AF418" i="7"/>
  <c r="AF419" i="7"/>
  <c r="AF420" i="7"/>
  <c r="AF421" i="7"/>
  <c r="AF422" i="7"/>
  <c r="AF423" i="7"/>
  <c r="AF424" i="7"/>
  <c r="AF425" i="7"/>
  <c r="AF426" i="7"/>
  <c r="AF427" i="7"/>
  <c r="AF428" i="7"/>
  <c r="AF429" i="7"/>
  <c r="AF430" i="7"/>
  <c r="AF431" i="7"/>
  <c r="AF432" i="7"/>
  <c r="AF433" i="7"/>
  <c r="AF434" i="7"/>
  <c r="AF435" i="7"/>
  <c r="AF436" i="7"/>
  <c r="AF437" i="7"/>
  <c r="AF438" i="7"/>
  <c r="AF439" i="7"/>
  <c r="AF440" i="7"/>
  <c r="AF441" i="7"/>
  <c r="AF442" i="7"/>
  <c r="AF443" i="7"/>
  <c r="AF444" i="7"/>
  <c r="AF445" i="7"/>
  <c r="AF446" i="7"/>
  <c r="AF447" i="7"/>
  <c r="AF448" i="7"/>
  <c r="AF449" i="7"/>
  <c r="AF450" i="7"/>
  <c r="AF451" i="7"/>
  <c r="AF452" i="7"/>
  <c r="AF453" i="7"/>
  <c r="AF454" i="7"/>
  <c r="AF455" i="7"/>
  <c r="AF456" i="7"/>
  <c r="AF457" i="7"/>
  <c r="AF458" i="7"/>
  <c r="AF459" i="7"/>
  <c r="AF460" i="7"/>
  <c r="AF461" i="7"/>
  <c r="AF462" i="7"/>
  <c r="AF463" i="7"/>
  <c r="AF464" i="7"/>
  <c r="AF465" i="7"/>
  <c r="AF466" i="7"/>
  <c r="AF467" i="7"/>
  <c r="AF468" i="7"/>
  <c r="AF469" i="7"/>
  <c r="AF470" i="7"/>
  <c r="AF471" i="7"/>
  <c r="AF472" i="7"/>
  <c r="AF473" i="7"/>
  <c r="AF474" i="7"/>
  <c r="AF475" i="7"/>
  <c r="AF476" i="7"/>
  <c r="AF477" i="7"/>
  <c r="AF478" i="7"/>
  <c r="AF479" i="7"/>
  <c r="AF480" i="7"/>
  <c r="AF481" i="7"/>
  <c r="AF482" i="7"/>
  <c r="AF483" i="7"/>
  <c r="AF484" i="7"/>
  <c r="AF485" i="7"/>
  <c r="AF486" i="7"/>
  <c r="AF487" i="7"/>
  <c r="AF488" i="7"/>
  <c r="AF489" i="7"/>
  <c r="AF490" i="7"/>
  <c r="AF491" i="7"/>
  <c r="AF492" i="7"/>
  <c r="AF493" i="7"/>
  <c r="AF494" i="7"/>
  <c r="AF495" i="7"/>
  <c r="AF496" i="7"/>
  <c r="AF497" i="7"/>
  <c r="AF498" i="7"/>
  <c r="AF499" i="7"/>
  <c r="AF500" i="7"/>
  <c r="AF501" i="7"/>
  <c r="AF502" i="7"/>
  <c r="AF503" i="7"/>
  <c r="AF504" i="7"/>
  <c r="AF505" i="7"/>
  <c r="AF506" i="7"/>
  <c r="AF507" i="7"/>
  <c r="AF508" i="7"/>
  <c r="AF509" i="7"/>
  <c r="AF510" i="7"/>
  <c r="AF511" i="7"/>
  <c r="AF512" i="7"/>
  <c r="AF513" i="7"/>
  <c r="AF514" i="7"/>
  <c r="AF515" i="7"/>
  <c r="AF516" i="7"/>
  <c r="AF517" i="7"/>
  <c r="AF518" i="7"/>
  <c r="AF519" i="7"/>
  <c r="AF520" i="7"/>
  <c r="AF521" i="7"/>
  <c r="AF522" i="7"/>
  <c r="AF523" i="7"/>
  <c r="AF524" i="7"/>
  <c r="AF525" i="7"/>
  <c r="AF526" i="7"/>
  <c r="AF527" i="7"/>
  <c r="AF528" i="7"/>
  <c r="AF529" i="7"/>
  <c r="AF530" i="7"/>
  <c r="AF531" i="7"/>
  <c r="AF532" i="7"/>
  <c r="AF533" i="7"/>
  <c r="AF534" i="7"/>
  <c r="AF535" i="7"/>
  <c r="AF536" i="7"/>
  <c r="AF537" i="7"/>
  <c r="AF538" i="7"/>
  <c r="AF539" i="7"/>
  <c r="AF540" i="7"/>
  <c r="AF541" i="7"/>
  <c r="AF542" i="7"/>
  <c r="AF543" i="7"/>
  <c r="AF544" i="7"/>
  <c r="AF545" i="7"/>
  <c r="AF546" i="7"/>
  <c r="AF547" i="7"/>
  <c r="AF548" i="7"/>
  <c r="AF549" i="7"/>
  <c r="AF550" i="7"/>
  <c r="AF551" i="7"/>
  <c r="AF552" i="7"/>
  <c r="AF553" i="7"/>
  <c r="AF554" i="7"/>
  <c r="AF555" i="7"/>
  <c r="AF556" i="7"/>
  <c r="AF557" i="7"/>
  <c r="AF558" i="7"/>
  <c r="AF559" i="7"/>
  <c r="AF560" i="7"/>
  <c r="AF561" i="7"/>
  <c r="AF562" i="7"/>
  <c r="AF563" i="7"/>
  <c r="AF564" i="7"/>
  <c r="AF565" i="7"/>
  <c r="AF566" i="7"/>
  <c r="AF567" i="7"/>
  <c r="AF568" i="7"/>
  <c r="AF569" i="7"/>
  <c r="AF570" i="7"/>
  <c r="AF571" i="7"/>
  <c r="AF572" i="7"/>
  <c r="AF573" i="7"/>
  <c r="AF574" i="7"/>
  <c r="AF575" i="7"/>
  <c r="AF576" i="7"/>
  <c r="AF577" i="7"/>
  <c r="AF578" i="7"/>
  <c r="AF579" i="7"/>
  <c r="AF580" i="7"/>
  <c r="AF581" i="7"/>
  <c r="AF582" i="7"/>
  <c r="AF583" i="7"/>
  <c r="AF584" i="7"/>
  <c r="AF585" i="7"/>
  <c r="AF586" i="7"/>
  <c r="AF587" i="7"/>
  <c r="AF588" i="7"/>
  <c r="AF589" i="7"/>
  <c r="AF590" i="7"/>
  <c r="AF591" i="7"/>
  <c r="AF592" i="7"/>
  <c r="AF593" i="7"/>
  <c r="AF594" i="7"/>
  <c r="AF595" i="7"/>
  <c r="AF596" i="7"/>
  <c r="AF597" i="7"/>
  <c r="AF598" i="7"/>
  <c r="AF599" i="7"/>
  <c r="AF600" i="7"/>
  <c r="AF601" i="7"/>
  <c r="AF602" i="7"/>
  <c r="AF603" i="7"/>
  <c r="AF604" i="7"/>
  <c r="AF605" i="7"/>
  <c r="AF606" i="7"/>
  <c r="AF607" i="7"/>
  <c r="AF608" i="7"/>
  <c r="AF609" i="7"/>
  <c r="AF610" i="7"/>
  <c r="AF611" i="7"/>
  <c r="AF612" i="7"/>
  <c r="AF613" i="7"/>
  <c r="AF614" i="7"/>
  <c r="AF615" i="7"/>
  <c r="AF616" i="7"/>
  <c r="AF617" i="7"/>
  <c r="AF618" i="7"/>
  <c r="AF619" i="7"/>
  <c r="AF620" i="7"/>
  <c r="AF621" i="7"/>
  <c r="AF622" i="7"/>
  <c r="AF623" i="7"/>
  <c r="AF624" i="7"/>
  <c r="AF625" i="7"/>
  <c r="AF626" i="7"/>
  <c r="AF627" i="7"/>
  <c r="AF628" i="7"/>
  <c r="AF629" i="7"/>
  <c r="AF630" i="7"/>
  <c r="AF631" i="7"/>
  <c r="AF632" i="7"/>
  <c r="AF633" i="7"/>
  <c r="AF634" i="7"/>
  <c r="AF635" i="7"/>
  <c r="AF636" i="7"/>
  <c r="AF637" i="7"/>
  <c r="AF638" i="7"/>
  <c r="AF639" i="7"/>
  <c r="AF640" i="7"/>
  <c r="AF641" i="7"/>
  <c r="AF642" i="7"/>
  <c r="AF643" i="7"/>
  <c r="AF644" i="7"/>
  <c r="AF645" i="7"/>
  <c r="AF646" i="7"/>
  <c r="AF647" i="7"/>
  <c r="AF648" i="7"/>
  <c r="AF649" i="7"/>
  <c r="AF650" i="7"/>
  <c r="AF651" i="7"/>
  <c r="AF652" i="7"/>
  <c r="AF653" i="7"/>
  <c r="AF654" i="7"/>
  <c r="AF655" i="7"/>
  <c r="AF656" i="7"/>
  <c r="AF657" i="7"/>
  <c r="AF658" i="7"/>
  <c r="AF659" i="7"/>
  <c r="AF660" i="7"/>
  <c r="AF661" i="7"/>
  <c r="AF662" i="7"/>
  <c r="AF663" i="7"/>
  <c r="AF664" i="7"/>
  <c r="AF665" i="7"/>
  <c r="AF666" i="7"/>
  <c r="AF667" i="7"/>
  <c r="AF668" i="7"/>
  <c r="AF669" i="7"/>
  <c r="AF670" i="7"/>
  <c r="AF671" i="7"/>
  <c r="AF672" i="7"/>
  <c r="AF673" i="7"/>
  <c r="AF674" i="7"/>
  <c r="AF675" i="7"/>
  <c r="AF676" i="7"/>
  <c r="AF677" i="7"/>
  <c r="AF678" i="7"/>
  <c r="AF679" i="7"/>
  <c r="AF680" i="7"/>
  <c r="AF681" i="7"/>
  <c r="AF682" i="7"/>
  <c r="AF683" i="7"/>
  <c r="AF684" i="7"/>
  <c r="AF685" i="7"/>
  <c r="AF686" i="7"/>
  <c r="AF687" i="7"/>
  <c r="AF688" i="7"/>
  <c r="AF689" i="7"/>
  <c r="AF690" i="7"/>
  <c r="AF691" i="7"/>
  <c r="AF692" i="7"/>
  <c r="AF693" i="7"/>
  <c r="AF694" i="7"/>
  <c r="AF695" i="7"/>
  <c r="AF696" i="7"/>
  <c r="AF697" i="7"/>
  <c r="AF698" i="7"/>
  <c r="AF699" i="7"/>
  <c r="AF700" i="7"/>
  <c r="AF701" i="7"/>
  <c r="AF702" i="7"/>
  <c r="AF703" i="7"/>
  <c r="AF704" i="7"/>
  <c r="AF705" i="7"/>
  <c r="AF706" i="7"/>
  <c r="AF707" i="7"/>
  <c r="AF708" i="7"/>
  <c r="AF709" i="7"/>
  <c r="AF710" i="7"/>
  <c r="AF711" i="7"/>
  <c r="AF712" i="7"/>
  <c r="AF713" i="7"/>
  <c r="AF714" i="7"/>
  <c r="AF715" i="7"/>
  <c r="AF716" i="7"/>
  <c r="AF717" i="7"/>
  <c r="AF718" i="7"/>
  <c r="AF719" i="7"/>
  <c r="AF720" i="7"/>
  <c r="AF721" i="7"/>
  <c r="AF722" i="7"/>
  <c r="AF723" i="7"/>
  <c r="AF724" i="7"/>
  <c r="AF725" i="7"/>
  <c r="AF726" i="7"/>
  <c r="AF727" i="7"/>
  <c r="AF728" i="7"/>
  <c r="AF729" i="7"/>
  <c r="AF730" i="7"/>
  <c r="AF731" i="7"/>
  <c r="AF732" i="7"/>
  <c r="AF733" i="7"/>
  <c r="AF734" i="7"/>
  <c r="AF735" i="7"/>
  <c r="AF736" i="7"/>
  <c r="AF737" i="7"/>
  <c r="AF738" i="7"/>
  <c r="AF739" i="7"/>
  <c r="AF740" i="7"/>
  <c r="AF741" i="7"/>
  <c r="AF742" i="7"/>
  <c r="AF743" i="7"/>
  <c r="AF744" i="7"/>
  <c r="AF745" i="7"/>
  <c r="AF746" i="7"/>
  <c r="AF747" i="7"/>
  <c r="AF748" i="7"/>
  <c r="AF749" i="7"/>
  <c r="AF750" i="7"/>
  <c r="AF751" i="7"/>
  <c r="AF752" i="7"/>
  <c r="AF753" i="7"/>
  <c r="AF754" i="7"/>
  <c r="AF755" i="7"/>
  <c r="AF756" i="7"/>
  <c r="AF757" i="7"/>
  <c r="AF758" i="7"/>
  <c r="AF759" i="7"/>
  <c r="AF760" i="7"/>
  <c r="AF761" i="7"/>
  <c r="AF762" i="7"/>
  <c r="AF763" i="7"/>
  <c r="AF764" i="7"/>
  <c r="AF765" i="7"/>
  <c r="AF766" i="7"/>
  <c r="AF767" i="7"/>
  <c r="AF768" i="7"/>
  <c r="AF769" i="7"/>
  <c r="AF770" i="7"/>
  <c r="AF771" i="7"/>
  <c r="AF772" i="7"/>
  <c r="AF773" i="7"/>
  <c r="AF774" i="7"/>
  <c r="AF775" i="7"/>
  <c r="AF776" i="7"/>
  <c r="AF777" i="7"/>
  <c r="AF778" i="7"/>
  <c r="AF779" i="7"/>
  <c r="AF780" i="7"/>
  <c r="AF781" i="7"/>
  <c r="AF782" i="7"/>
  <c r="AF783" i="7"/>
  <c r="AF784" i="7"/>
  <c r="AF785" i="7"/>
  <c r="AF786" i="7"/>
  <c r="AF787" i="7"/>
  <c r="AF788" i="7"/>
  <c r="AF789" i="7"/>
  <c r="AF790" i="7"/>
  <c r="AF791" i="7"/>
  <c r="AF792" i="7"/>
  <c r="AF793" i="7"/>
  <c r="AF794" i="7"/>
  <c r="AF795" i="7"/>
  <c r="AF796" i="7"/>
  <c r="AF797" i="7"/>
  <c r="AF798" i="7"/>
  <c r="AF799" i="7"/>
  <c r="AF800" i="7"/>
  <c r="AF801" i="7"/>
  <c r="AF802" i="7"/>
  <c r="AF803" i="7"/>
  <c r="AF804" i="7"/>
  <c r="AF805" i="7"/>
  <c r="AF806" i="7"/>
  <c r="AF807" i="7"/>
  <c r="AF808" i="7"/>
  <c r="AF809" i="7"/>
  <c r="AF810" i="7"/>
  <c r="AF811" i="7"/>
  <c r="AF812" i="7"/>
  <c r="AF813" i="7"/>
  <c r="AF814" i="7"/>
  <c r="AF815" i="7"/>
  <c r="AF816" i="7"/>
  <c r="AF817" i="7"/>
  <c r="AF818" i="7"/>
  <c r="AF819" i="7"/>
  <c r="AF820" i="7"/>
  <c r="AF821" i="7"/>
  <c r="AF822" i="7"/>
  <c r="AF823" i="7"/>
  <c r="AF824" i="7"/>
  <c r="AF825" i="7"/>
  <c r="AF826" i="7"/>
  <c r="AF827" i="7"/>
  <c r="AF828" i="7"/>
  <c r="AF829" i="7"/>
  <c r="AF830" i="7"/>
  <c r="AF831" i="7"/>
  <c r="AF832" i="7"/>
  <c r="AF833" i="7"/>
  <c r="AF834" i="7"/>
  <c r="AF835" i="7"/>
  <c r="AF836" i="7"/>
  <c r="AF837" i="7"/>
  <c r="AF838" i="7"/>
  <c r="AF839" i="7"/>
  <c r="AF840" i="7"/>
  <c r="AF841" i="7"/>
  <c r="AF842" i="7"/>
  <c r="AF843" i="7"/>
  <c r="AF844" i="7"/>
  <c r="AF845" i="7"/>
  <c r="AF846" i="7"/>
  <c r="AF847" i="7"/>
  <c r="AF848" i="7"/>
  <c r="AF849" i="7"/>
  <c r="AF850" i="7"/>
  <c r="AF851" i="7"/>
  <c r="AF852" i="7"/>
  <c r="AF853" i="7"/>
  <c r="AF854" i="7"/>
  <c r="AF855" i="7"/>
  <c r="AF856" i="7"/>
  <c r="AF857" i="7"/>
  <c r="AF858" i="7"/>
  <c r="AF859" i="7"/>
  <c r="AF860" i="7"/>
  <c r="AF861" i="7"/>
  <c r="AF862" i="7"/>
  <c r="AF863" i="7"/>
  <c r="AF864" i="7"/>
  <c r="AF865" i="7"/>
  <c r="AF866" i="7"/>
  <c r="AF867" i="7"/>
  <c r="AF868" i="7"/>
  <c r="AF869" i="7"/>
  <c r="AF870" i="7"/>
  <c r="AF871" i="7"/>
  <c r="AF872" i="7"/>
  <c r="AF873" i="7"/>
  <c r="AF874" i="7"/>
  <c r="AF875" i="7"/>
  <c r="AF876" i="7"/>
  <c r="AF877" i="7"/>
  <c r="AF878" i="7"/>
  <c r="AF879" i="7"/>
  <c r="AF880" i="7"/>
  <c r="AF881" i="7"/>
  <c r="AF882" i="7"/>
  <c r="AF883" i="7"/>
  <c r="AF884" i="7"/>
  <c r="AF885" i="7"/>
  <c r="AF886" i="7"/>
  <c r="AF887" i="7"/>
  <c r="AF888" i="7"/>
  <c r="AF889" i="7"/>
  <c r="AF890" i="7"/>
  <c r="AF891" i="7"/>
  <c r="AF892" i="7"/>
  <c r="AF893" i="7"/>
  <c r="AF894" i="7"/>
  <c r="AF895" i="7"/>
  <c r="AF896" i="7"/>
  <c r="AF897" i="7"/>
  <c r="AF898" i="7"/>
  <c r="AF899" i="7"/>
  <c r="AF900" i="7"/>
  <c r="AF901" i="7"/>
  <c r="AF902" i="7"/>
  <c r="AF903" i="7"/>
  <c r="AF904" i="7"/>
  <c r="AF905" i="7"/>
  <c r="AF906" i="7"/>
  <c r="AF907" i="7"/>
  <c r="AF908" i="7"/>
  <c r="AF909" i="7"/>
  <c r="AF910" i="7"/>
  <c r="AF911" i="7"/>
  <c r="AF912" i="7"/>
  <c r="AF913" i="7"/>
  <c r="AF914" i="7"/>
  <c r="AF915" i="7"/>
  <c r="AF916" i="7"/>
  <c r="AF917" i="7"/>
  <c r="AF918" i="7"/>
  <c r="AF919" i="7"/>
  <c r="AF920" i="7"/>
  <c r="AF921" i="7"/>
  <c r="AF922" i="7"/>
  <c r="AF923" i="7"/>
  <c r="AF924" i="7"/>
  <c r="AF925" i="7"/>
  <c r="AF926" i="7"/>
  <c r="AF927" i="7"/>
  <c r="AF928" i="7"/>
  <c r="AF929" i="7"/>
  <c r="AF930" i="7"/>
  <c r="AF931" i="7"/>
  <c r="AF932" i="7"/>
  <c r="AF933" i="7"/>
  <c r="AF934" i="7"/>
  <c r="AF935" i="7"/>
  <c r="AF936" i="7"/>
  <c r="AF937" i="7"/>
  <c r="AF938" i="7"/>
  <c r="AF939" i="7"/>
  <c r="AF940" i="7"/>
  <c r="AF941" i="7"/>
  <c r="AF942" i="7"/>
  <c r="AF943" i="7"/>
  <c r="AF944" i="7"/>
  <c r="AF945" i="7"/>
  <c r="AF946" i="7"/>
  <c r="AF947" i="7"/>
  <c r="AF948" i="7"/>
  <c r="AF949" i="7"/>
  <c r="AF950" i="7"/>
  <c r="AF951" i="7"/>
  <c r="AF952" i="7"/>
  <c r="AF953" i="7"/>
  <c r="AF954" i="7"/>
  <c r="AF955" i="7"/>
  <c r="AF956" i="7"/>
  <c r="AF957" i="7"/>
  <c r="AF958" i="7"/>
  <c r="AF959" i="7"/>
  <c r="AF960" i="7"/>
  <c r="AF961" i="7"/>
  <c r="AF962" i="7"/>
  <c r="AF963" i="7"/>
  <c r="AF964" i="7"/>
  <c r="AF965" i="7"/>
  <c r="AF966" i="7"/>
  <c r="AF967" i="7"/>
  <c r="AF968" i="7"/>
  <c r="AF969" i="7"/>
  <c r="AF970" i="7"/>
  <c r="AF971" i="7"/>
  <c r="AF972" i="7"/>
  <c r="AF973" i="7"/>
  <c r="AF974" i="7"/>
  <c r="AF975" i="7"/>
  <c r="AF976" i="7"/>
  <c r="AF977" i="7"/>
  <c r="AF978" i="7"/>
  <c r="AF979" i="7"/>
  <c r="AF980" i="7"/>
  <c r="AF981" i="7"/>
  <c r="AF982" i="7"/>
  <c r="AF983" i="7"/>
  <c r="AF984" i="7"/>
  <c r="AF985" i="7"/>
  <c r="AF986" i="7"/>
  <c r="AF987" i="7"/>
  <c r="AF988" i="7"/>
  <c r="AF989" i="7"/>
  <c r="AF990" i="7"/>
  <c r="AF991" i="7"/>
  <c r="AF992" i="7"/>
  <c r="AF993" i="7"/>
  <c r="AF994" i="7"/>
  <c r="AF995" i="7"/>
  <c r="AF996" i="7"/>
  <c r="AF997" i="7"/>
  <c r="AF998" i="7"/>
  <c r="AF999" i="7"/>
  <c r="AF1000" i="7"/>
  <c r="AF1001" i="7"/>
  <c r="AF1002" i="7"/>
  <c r="AF1003" i="7"/>
  <c r="AF1004" i="7"/>
  <c r="AF1005" i="7"/>
  <c r="AF1006" i="7"/>
  <c r="AF1007" i="7"/>
  <c r="AF1008" i="7"/>
  <c r="AF1009" i="7"/>
  <c r="AF1010" i="7"/>
  <c r="AF1011" i="7"/>
  <c r="AF1012" i="7"/>
  <c r="AF1013" i="7"/>
  <c r="AF1014" i="7"/>
  <c r="AF1015" i="7"/>
  <c r="AF1016" i="7"/>
  <c r="AF1017" i="7"/>
  <c r="AF1018" i="7"/>
  <c r="AF1019" i="7"/>
  <c r="AF1020" i="7"/>
  <c r="AF1021" i="7"/>
  <c r="AF1022" i="7"/>
  <c r="AF1023" i="7"/>
  <c r="AF1024" i="7"/>
  <c r="AF1025" i="7"/>
  <c r="AF1026" i="7"/>
  <c r="AF1027" i="7"/>
  <c r="AF1028" i="7"/>
  <c r="AF1029" i="7"/>
  <c r="AF1030" i="7"/>
  <c r="AF1031" i="7"/>
  <c r="AF1032" i="7"/>
  <c r="AF1033" i="7"/>
  <c r="AF1034" i="7"/>
  <c r="AF1035" i="7"/>
  <c r="AF1036" i="7"/>
  <c r="AF1037" i="7"/>
  <c r="AF1038" i="7"/>
  <c r="AF1039" i="7"/>
  <c r="AF1040" i="7"/>
  <c r="AF1041" i="7"/>
  <c r="AF1042" i="7"/>
  <c r="AF1043" i="7"/>
  <c r="AF1044" i="7"/>
  <c r="AF1045" i="7"/>
  <c r="AF1046" i="7"/>
  <c r="AF1047" i="7"/>
  <c r="AF1048" i="7"/>
  <c r="AF21" i="7"/>
  <c r="U21" i="7"/>
  <c r="AA1269" i="7"/>
  <c r="AA1268" i="7"/>
  <c r="AA1261" i="7"/>
  <c r="AA1260" i="7"/>
  <c r="AA1253" i="7"/>
  <c r="AA1252" i="7"/>
  <c r="AA1245" i="7"/>
  <c r="AA1244" i="7"/>
  <c r="AA1237" i="7"/>
  <c r="AA1236" i="7"/>
  <c r="AA1229" i="7"/>
  <c r="AA1228" i="7"/>
  <c r="AA1221" i="7"/>
  <c r="AA1220" i="7"/>
  <c r="AA1213" i="7"/>
  <c r="AA1212" i="7"/>
  <c r="AA1205" i="7"/>
  <c r="AA1204" i="7"/>
  <c r="AA1197" i="7"/>
  <c r="AA1196" i="7"/>
  <c r="AA1189" i="7"/>
  <c r="AA1188" i="7"/>
  <c r="AA1181" i="7"/>
  <c r="AA1180" i="7"/>
  <c r="AA1173" i="7"/>
  <c r="AA1172" i="7"/>
  <c r="AA1165" i="7"/>
  <c r="AA1164" i="7"/>
  <c r="AA1157" i="7"/>
  <c r="AA1156" i="7"/>
  <c r="AA1149" i="7"/>
  <c r="AA1148" i="7"/>
  <c r="AA1141" i="7"/>
  <c r="AA1140" i="7"/>
  <c r="AA1133" i="7"/>
  <c r="AA1132" i="7"/>
  <c r="AA1125" i="7"/>
  <c r="AA1124" i="7"/>
  <c r="AA1117" i="7"/>
  <c r="AA1116" i="7"/>
  <c r="AA1109" i="7"/>
  <c r="AA1108" i="7"/>
  <c r="AA1101" i="7"/>
  <c r="AA1100" i="7"/>
  <c r="AA1093" i="7"/>
  <c r="AA1092" i="7"/>
  <c r="AA1085" i="7"/>
  <c r="AA1084" i="7"/>
  <c r="AA1077" i="7"/>
  <c r="AA1076" i="7"/>
  <c r="AA1069" i="7"/>
  <c r="AA1068" i="7"/>
  <c r="AA1061" i="7"/>
  <c r="AA1060" i="7"/>
  <c r="AA1053" i="7"/>
  <c r="AA1052" i="7"/>
  <c r="AA1045" i="7"/>
  <c r="AA1044" i="7"/>
  <c r="AA1037" i="7"/>
  <c r="AA1036" i="7"/>
  <c r="AA1029" i="7"/>
  <c r="AA1028" i="7"/>
  <c r="AA1021" i="7"/>
  <c r="AA1020" i="7"/>
  <c r="AA1013" i="7"/>
  <c r="AA1012" i="7"/>
  <c r="AA1005" i="7"/>
  <c r="AA1004" i="7"/>
  <c r="AA997" i="7"/>
  <c r="AA996" i="7"/>
  <c r="AA989" i="7"/>
  <c r="AA988" i="7"/>
  <c r="AA981" i="7"/>
  <c r="AA980" i="7"/>
  <c r="AA973" i="7"/>
  <c r="AA972" i="7"/>
  <c r="AA965" i="7"/>
  <c r="AA964" i="7"/>
  <c r="AA957" i="7"/>
  <c r="AA956" i="7"/>
  <c r="AA949" i="7"/>
  <c r="AA948" i="7"/>
  <c r="AA941" i="7"/>
  <c r="AA940" i="7"/>
  <c r="AA933" i="7"/>
  <c r="AA932" i="7"/>
  <c r="AA925" i="7"/>
  <c r="AA924" i="7"/>
  <c r="AA917" i="7"/>
  <c r="AA916" i="7"/>
  <c r="AA909" i="7"/>
  <c r="AA908" i="7"/>
  <c r="AA901" i="7"/>
  <c r="AA900" i="7"/>
  <c r="AA893" i="7"/>
  <c r="AA892" i="7"/>
  <c r="AA885" i="7"/>
  <c r="AA884" i="7"/>
  <c r="AA877" i="7"/>
  <c r="AA876" i="7"/>
  <c r="AA869" i="7"/>
  <c r="AA868" i="7"/>
  <c r="AA861" i="7"/>
  <c r="AA860" i="7"/>
  <c r="AA853" i="7"/>
  <c r="AA852" i="7"/>
  <c r="AA845" i="7"/>
  <c r="AA844" i="7"/>
  <c r="AA837" i="7"/>
  <c r="AA836" i="7"/>
  <c r="AA829" i="7"/>
  <c r="AA828" i="7"/>
  <c r="AA821" i="7"/>
  <c r="AA820" i="7"/>
  <c r="AA813" i="7"/>
  <c r="AA812" i="7"/>
  <c r="AA805" i="7"/>
  <c r="AA804" i="7"/>
  <c r="AA797" i="7"/>
  <c r="AA796" i="7"/>
  <c r="AA789" i="7"/>
  <c r="AA788" i="7"/>
  <c r="AA781" i="7"/>
  <c r="AA780" i="7"/>
  <c r="AA773" i="7"/>
  <c r="AA772" i="7"/>
  <c r="AA765" i="7"/>
  <c r="AA764" i="7"/>
  <c r="AA757" i="7"/>
  <c r="AA756" i="7"/>
  <c r="AA749" i="7"/>
  <c r="AA748" i="7"/>
  <c r="AA741" i="7"/>
  <c r="AA740" i="7"/>
  <c r="AA733" i="7"/>
  <c r="AA732" i="7"/>
  <c r="AA725" i="7"/>
  <c r="AA724" i="7"/>
  <c r="AA717" i="7"/>
  <c r="AA716" i="7"/>
  <c r="AA709" i="7"/>
  <c r="AA708" i="7"/>
  <c r="AA701" i="7"/>
  <c r="AA700" i="7"/>
  <c r="AA693" i="7"/>
  <c r="AA692" i="7"/>
  <c r="AA685" i="7"/>
  <c r="AA684" i="7"/>
  <c r="AA677" i="7"/>
  <c r="AA676" i="7"/>
  <c r="AA669" i="7"/>
  <c r="AA668" i="7"/>
  <c r="AA661" i="7"/>
  <c r="AA660" i="7"/>
  <c r="AA653" i="7"/>
  <c r="AA652" i="7"/>
  <c r="AA645" i="7"/>
  <c r="AA644" i="7"/>
  <c r="AA637" i="7"/>
  <c r="AA636" i="7"/>
  <c r="AA629" i="7"/>
  <c r="AA628" i="7"/>
  <c r="AA621" i="7"/>
  <c r="AA620" i="7"/>
  <c r="AA613" i="7"/>
  <c r="AA612" i="7"/>
  <c r="AA605" i="7"/>
  <c r="AA604" i="7"/>
  <c r="AA597" i="7"/>
  <c r="AA596" i="7"/>
  <c r="AA590" i="7"/>
  <c r="AA589" i="7"/>
  <c r="AA588" i="7"/>
  <c r="AA587" i="7"/>
  <c r="AA586" i="7"/>
  <c r="AA585" i="7"/>
  <c r="AA584" i="7"/>
  <c r="AA583" i="7"/>
  <c r="AA582" i="7"/>
  <c r="AA581" i="7"/>
  <c r="AA580" i="7"/>
  <c r="AA579" i="7"/>
  <c r="AA578" i="7"/>
  <c r="AA577" i="7"/>
  <c r="AA576" i="7"/>
  <c r="AA575" i="7"/>
  <c r="AA574" i="7"/>
  <c r="AA573" i="7"/>
  <c r="AA572" i="7"/>
  <c r="AA571" i="7"/>
  <c r="AA570" i="7"/>
  <c r="AA569" i="7"/>
  <c r="AA568" i="7"/>
  <c r="AA567" i="7"/>
  <c r="AA566" i="7"/>
  <c r="AA565" i="7"/>
  <c r="AA564" i="7"/>
  <c r="AA563" i="7"/>
  <c r="AA562" i="7"/>
  <c r="AA561" i="7"/>
  <c r="AA560" i="7"/>
  <c r="AA559" i="7"/>
  <c r="AA558" i="7"/>
  <c r="AA557" i="7"/>
  <c r="AA556" i="7"/>
  <c r="AA555" i="7"/>
  <c r="AA554" i="7"/>
  <c r="AA553" i="7"/>
  <c r="AA552" i="7"/>
  <c r="AA551" i="7"/>
  <c r="AA550" i="7"/>
  <c r="AA549" i="7"/>
  <c r="AA548" i="7"/>
  <c r="AA547" i="7"/>
  <c r="AA546" i="7"/>
  <c r="AA545" i="7"/>
  <c r="AA544" i="7"/>
  <c r="AA543" i="7"/>
  <c r="AA542" i="7"/>
  <c r="AA541" i="7"/>
  <c r="AA540" i="7"/>
  <c r="AA539" i="7"/>
  <c r="AA538" i="7"/>
  <c r="AA537" i="7"/>
  <c r="AA536" i="7"/>
  <c r="AA535" i="7"/>
  <c r="AA534" i="7"/>
  <c r="AA533" i="7"/>
  <c r="AA532" i="7"/>
  <c r="AA531" i="7"/>
  <c r="AA530" i="7"/>
  <c r="AA529" i="7"/>
  <c r="AA528" i="7"/>
  <c r="AA527" i="7"/>
  <c r="AA526" i="7"/>
  <c r="AA525" i="7"/>
  <c r="AA524" i="7"/>
  <c r="AA523" i="7"/>
  <c r="AA522" i="7"/>
  <c r="AA521" i="7"/>
  <c r="AA520" i="7"/>
  <c r="AA519" i="7"/>
  <c r="AA518" i="7"/>
  <c r="AA517" i="7"/>
  <c r="AA516" i="7"/>
  <c r="AA515" i="7"/>
  <c r="AA514" i="7"/>
  <c r="AA513" i="7"/>
  <c r="AA512" i="7"/>
  <c r="AA511" i="7"/>
  <c r="AA510" i="7"/>
  <c r="AA509" i="7"/>
  <c r="AA508" i="7"/>
  <c r="AA507" i="7"/>
  <c r="AA506" i="7"/>
  <c r="AA505" i="7"/>
  <c r="AA504" i="7"/>
  <c r="AA503" i="7"/>
  <c r="AA502" i="7"/>
  <c r="AA501" i="7"/>
  <c r="AA500" i="7"/>
  <c r="AA499" i="7"/>
  <c r="AA498" i="7"/>
  <c r="AA497" i="7"/>
  <c r="AA496" i="7"/>
  <c r="AA495" i="7"/>
  <c r="AA494" i="7"/>
  <c r="AA493" i="7"/>
  <c r="AA492" i="7"/>
  <c r="AA491" i="7"/>
  <c r="AA490" i="7"/>
  <c r="AA489" i="7"/>
  <c r="AA488" i="7"/>
  <c r="AA487" i="7"/>
  <c r="AA486" i="7"/>
  <c r="AA485" i="7"/>
  <c r="AA484" i="7"/>
  <c r="AA483" i="7"/>
  <c r="AA482" i="7"/>
  <c r="AA481" i="7"/>
  <c r="AA480" i="7"/>
  <c r="AA479" i="7"/>
  <c r="AA478" i="7"/>
  <c r="AA477" i="7"/>
  <c r="AA476" i="7"/>
  <c r="AA475" i="7"/>
  <c r="AA474" i="7"/>
  <c r="AA473" i="7"/>
  <c r="AA472" i="7"/>
  <c r="AA471" i="7"/>
  <c r="AA470" i="7"/>
  <c r="AA469" i="7"/>
  <c r="AA468" i="7"/>
  <c r="AA467" i="7"/>
  <c r="AA466" i="7"/>
  <c r="AA465" i="7"/>
  <c r="AA464" i="7"/>
  <c r="AA463" i="7"/>
  <c r="AA462" i="7"/>
  <c r="AA461" i="7"/>
  <c r="AA460" i="7"/>
  <c r="AA459" i="7"/>
  <c r="AA458" i="7"/>
  <c r="AA457" i="7"/>
  <c r="AA456" i="7"/>
  <c r="AA455" i="7"/>
  <c r="AA454" i="7"/>
  <c r="AA453" i="7"/>
  <c r="AA452" i="7"/>
  <c r="AA451" i="7"/>
  <c r="AA450" i="7"/>
  <c r="AA449" i="7"/>
  <c r="AA448" i="7"/>
  <c r="AA447" i="7"/>
  <c r="AA446" i="7"/>
  <c r="AA445" i="7"/>
  <c r="AA444" i="7"/>
  <c r="AA443" i="7"/>
  <c r="AA442" i="7"/>
  <c r="AA441" i="7"/>
  <c r="AA440" i="7"/>
  <c r="AA439" i="7"/>
  <c r="AA438" i="7"/>
  <c r="AA437" i="7"/>
  <c r="AA436" i="7"/>
  <c r="AA435" i="7"/>
  <c r="AA434" i="7"/>
  <c r="AA433" i="7"/>
  <c r="AA432" i="7"/>
  <c r="AA431" i="7"/>
  <c r="AA430" i="7"/>
  <c r="AA429" i="7"/>
  <c r="AA428" i="7"/>
  <c r="AA427" i="7"/>
  <c r="AA426" i="7"/>
  <c r="AA425" i="7"/>
  <c r="AA424" i="7"/>
  <c r="AA423" i="7"/>
  <c r="AA422" i="7"/>
  <c r="AA421" i="7"/>
  <c r="AA420" i="7"/>
  <c r="AA419" i="7"/>
  <c r="AA418" i="7"/>
  <c r="AA417" i="7"/>
  <c r="AA416" i="7"/>
  <c r="AA415" i="7"/>
  <c r="AA414" i="7"/>
  <c r="AA413" i="7"/>
  <c r="AA412" i="7"/>
  <c r="AA411" i="7"/>
  <c r="AA410" i="7"/>
  <c r="AA409" i="7"/>
  <c r="AA408" i="7"/>
  <c r="AA407" i="7"/>
  <c r="AA406" i="7"/>
  <c r="AA405" i="7"/>
  <c r="AA404" i="7"/>
  <c r="AA403" i="7"/>
  <c r="AA402" i="7"/>
  <c r="AA401" i="7"/>
  <c r="AA400" i="7"/>
  <c r="AA399" i="7"/>
  <c r="AA398" i="7"/>
  <c r="AA397" i="7"/>
  <c r="AA396" i="7"/>
  <c r="AA395" i="7"/>
  <c r="AA394" i="7"/>
  <c r="AA393" i="7"/>
  <c r="AA392" i="7"/>
  <c r="AA391" i="7"/>
  <c r="AA390" i="7"/>
  <c r="AA389" i="7"/>
  <c r="AA388" i="7"/>
  <c r="AA387" i="7"/>
  <c r="AA386" i="7"/>
  <c r="AA385" i="7"/>
  <c r="AA384" i="7"/>
  <c r="AA383" i="7"/>
  <c r="AA382" i="7"/>
  <c r="AA381" i="7"/>
  <c r="AA380" i="7"/>
  <c r="AA379" i="7"/>
  <c r="AA378" i="7"/>
  <c r="AA377" i="7"/>
  <c r="AA376" i="7"/>
  <c r="AA375" i="7"/>
  <c r="AA374" i="7"/>
  <c r="AA373" i="7"/>
  <c r="AA372" i="7"/>
  <c r="AA371" i="7"/>
  <c r="AA370" i="7"/>
  <c r="AA369" i="7"/>
  <c r="AA368" i="7"/>
  <c r="AA367" i="7"/>
  <c r="AA366" i="7"/>
  <c r="AA365" i="7"/>
  <c r="AA364" i="7"/>
  <c r="AA363" i="7"/>
  <c r="AA362" i="7"/>
  <c r="AA361" i="7"/>
  <c r="AA360" i="7"/>
  <c r="AA359" i="7"/>
  <c r="AA358" i="7"/>
  <c r="AA357" i="7"/>
  <c r="AA356" i="7"/>
  <c r="AA355" i="7"/>
  <c r="AA354" i="7"/>
  <c r="AA353" i="7"/>
  <c r="AA352" i="7"/>
  <c r="AA351" i="7"/>
  <c r="AA350" i="7"/>
  <c r="AA349" i="7"/>
  <c r="AA348" i="7"/>
  <c r="AA347" i="7"/>
  <c r="AA346" i="7"/>
  <c r="AA345" i="7"/>
  <c r="AA344" i="7"/>
  <c r="AA343" i="7"/>
  <c r="AA342" i="7"/>
  <c r="AA341" i="7"/>
  <c r="AA340" i="7"/>
  <c r="AA339" i="7"/>
  <c r="AA338" i="7"/>
  <c r="AA337" i="7"/>
  <c r="AA336" i="7"/>
  <c r="AA335" i="7"/>
  <c r="AA334" i="7"/>
  <c r="AA333" i="7"/>
  <c r="AA332" i="7"/>
  <c r="AA331" i="7"/>
  <c r="AA330" i="7"/>
  <c r="AA329" i="7"/>
  <c r="AA328" i="7"/>
  <c r="AA327" i="7"/>
  <c r="AA326" i="7"/>
  <c r="AA325" i="7"/>
  <c r="AA324" i="7"/>
  <c r="AA323" i="7"/>
  <c r="AA322" i="7"/>
  <c r="AA321" i="7"/>
  <c r="AA320" i="7"/>
  <c r="AA319" i="7"/>
  <c r="AA318" i="7"/>
  <c r="AA317" i="7"/>
  <c r="AA316" i="7"/>
  <c r="AA315" i="7"/>
  <c r="AA314" i="7"/>
  <c r="AA313" i="7"/>
  <c r="AA312" i="7"/>
  <c r="AA311" i="7"/>
  <c r="AA310" i="7"/>
  <c r="AA309" i="7"/>
  <c r="AA308" i="7"/>
  <c r="AA307" i="7"/>
  <c r="AA306" i="7"/>
  <c r="AA305" i="7"/>
  <c r="AA304" i="7"/>
  <c r="AA303" i="7"/>
  <c r="AA302" i="7"/>
  <c r="AA301" i="7"/>
  <c r="AA300" i="7"/>
  <c r="AA299" i="7"/>
  <c r="AA298" i="7"/>
  <c r="AA297" i="7"/>
  <c r="AA296" i="7"/>
  <c r="AA295" i="7"/>
  <c r="AA294" i="7"/>
  <c r="AA293" i="7"/>
  <c r="AA292" i="7"/>
  <c r="AA291" i="7"/>
  <c r="AA290" i="7"/>
  <c r="AA289" i="7"/>
  <c r="AA288" i="7"/>
  <c r="AA287" i="7"/>
  <c r="AA286" i="7"/>
  <c r="AA285" i="7"/>
  <c r="AA284" i="7"/>
  <c r="AA283" i="7"/>
  <c r="AA282" i="7"/>
  <c r="AA281" i="7"/>
  <c r="AA280" i="7"/>
  <c r="AA279" i="7"/>
  <c r="AA278" i="7"/>
  <c r="AA277" i="7"/>
  <c r="AA276" i="7"/>
  <c r="AA275" i="7"/>
  <c r="AA274" i="7"/>
  <c r="AA273" i="7"/>
  <c r="AA272" i="7"/>
  <c r="AA271" i="7"/>
  <c r="AA270" i="7"/>
  <c r="AA269" i="7"/>
  <c r="AA268" i="7"/>
  <c r="AA267" i="7"/>
  <c r="AA266" i="7"/>
  <c r="AA265" i="7"/>
  <c r="AA264" i="7"/>
  <c r="AA263" i="7"/>
  <c r="AA262" i="7"/>
  <c r="AA261" i="7"/>
  <c r="AA260" i="7"/>
  <c r="AA259" i="7"/>
  <c r="AA258" i="7"/>
  <c r="AA257" i="7"/>
  <c r="AA256" i="7"/>
  <c r="AA255" i="7"/>
  <c r="AA254" i="7"/>
  <c r="AA253" i="7"/>
  <c r="AA252" i="7"/>
  <c r="AA251" i="7"/>
  <c r="AA250" i="7"/>
  <c r="AA249" i="7"/>
  <c r="AA248" i="7"/>
  <c r="AA247" i="7"/>
  <c r="AA246" i="7"/>
  <c r="AA245" i="7"/>
  <c r="AA244" i="7"/>
  <c r="AA243" i="7"/>
  <c r="AA242" i="7"/>
  <c r="AA241" i="7"/>
  <c r="AA240" i="7"/>
  <c r="AA239" i="7"/>
  <c r="AA238" i="7"/>
  <c r="AA237" i="7"/>
  <c r="AA236" i="7"/>
  <c r="AA235" i="7"/>
  <c r="AA234" i="7"/>
  <c r="AA233" i="7"/>
  <c r="AA232" i="7"/>
  <c r="AA231" i="7"/>
  <c r="AA230" i="7"/>
  <c r="AA229" i="7"/>
  <c r="AA228" i="7"/>
  <c r="AA227" i="7"/>
  <c r="AA226" i="7"/>
  <c r="AA225" i="7"/>
  <c r="AA224" i="7"/>
  <c r="AA223" i="7"/>
  <c r="AA222" i="7"/>
  <c r="AA221" i="7"/>
  <c r="AA220" i="7"/>
  <c r="AA219" i="7"/>
  <c r="AA218" i="7"/>
  <c r="AA217" i="7"/>
  <c r="AA216" i="7"/>
  <c r="AA215" i="7"/>
  <c r="AA214" i="7"/>
  <c r="AA213" i="7"/>
  <c r="AA212" i="7"/>
  <c r="AA211" i="7"/>
  <c r="AA210" i="7"/>
  <c r="AA209" i="7"/>
  <c r="AA208" i="7"/>
  <c r="AA207" i="7"/>
  <c r="AA206" i="7"/>
  <c r="AA205" i="7"/>
  <c r="AA204" i="7"/>
  <c r="AA203" i="7"/>
  <c r="AA202" i="7"/>
  <c r="AA201" i="7"/>
  <c r="AA200" i="7"/>
  <c r="AA199" i="7"/>
  <c r="AA198" i="7"/>
  <c r="AA197" i="7"/>
  <c r="AA196" i="7"/>
  <c r="AA195" i="7"/>
  <c r="AA194" i="7"/>
  <c r="AA193" i="7"/>
  <c r="AA192" i="7"/>
  <c r="AA191" i="7"/>
  <c r="AA190" i="7"/>
  <c r="AA189" i="7"/>
  <c r="AA188" i="7"/>
  <c r="AA187" i="7"/>
  <c r="AA186" i="7"/>
  <c r="AA185" i="7"/>
  <c r="AA184" i="7"/>
  <c r="AA183" i="7"/>
  <c r="AA182" i="7"/>
  <c r="AA181" i="7"/>
  <c r="AA180" i="7"/>
  <c r="AA179" i="7"/>
  <c r="AA178" i="7"/>
  <c r="AA177" i="7"/>
  <c r="AA176" i="7"/>
  <c r="AA175" i="7"/>
  <c r="AA174" i="7"/>
  <c r="AA173" i="7"/>
  <c r="AA172" i="7"/>
  <c r="AA171" i="7"/>
  <c r="AA170" i="7"/>
  <c r="AA169" i="7"/>
  <c r="AA168" i="7"/>
  <c r="AA167" i="7"/>
  <c r="AA166" i="7"/>
  <c r="AA165" i="7"/>
  <c r="AA164" i="7"/>
  <c r="AA163" i="7"/>
  <c r="AA162" i="7"/>
  <c r="AA161" i="7"/>
  <c r="AA160" i="7"/>
  <c r="AA159" i="7"/>
  <c r="AA158" i="7"/>
  <c r="AA157" i="7"/>
  <c r="AA156" i="7"/>
  <c r="AA155" i="7"/>
  <c r="AA154" i="7"/>
  <c r="AA153" i="7"/>
  <c r="AA152" i="7"/>
  <c r="AA151" i="7"/>
  <c r="AA150" i="7"/>
  <c r="AA149" i="7"/>
  <c r="AA148" i="7"/>
  <c r="AA147" i="7"/>
  <c r="AA146" i="7"/>
  <c r="AA145" i="7"/>
  <c r="AA144" i="7"/>
  <c r="AA143" i="7"/>
  <c r="AA142" i="7"/>
  <c r="AA141" i="7"/>
  <c r="AA140" i="7"/>
  <c r="AA139" i="7"/>
  <c r="AA138" i="7"/>
  <c r="AA137" i="7"/>
  <c r="AA136" i="7"/>
  <c r="AA135" i="7"/>
  <c r="AA134" i="7"/>
  <c r="AA133" i="7"/>
  <c r="AA132" i="7"/>
  <c r="AA131" i="7"/>
  <c r="AA130" i="7"/>
  <c r="AA129" i="7"/>
  <c r="AA128" i="7"/>
  <c r="AA127" i="7"/>
  <c r="AA126" i="7"/>
  <c r="AA125" i="7"/>
  <c r="AA124" i="7"/>
  <c r="AA123" i="7"/>
  <c r="AA122" i="7"/>
  <c r="AA121" i="7"/>
  <c r="AA120" i="7"/>
  <c r="AA119" i="7"/>
  <c r="AA118" i="7"/>
  <c r="AA117" i="7"/>
  <c r="AA116" i="7"/>
  <c r="AA115" i="7"/>
  <c r="AA114" i="7"/>
  <c r="AA113" i="7"/>
  <c r="AA112" i="7"/>
  <c r="AA111" i="7"/>
  <c r="AA110" i="7"/>
  <c r="AA109" i="7"/>
  <c r="AA108" i="7"/>
  <c r="AA107" i="7"/>
  <c r="AA106" i="7"/>
  <c r="AA105" i="7"/>
  <c r="AA104" i="7"/>
  <c r="AA103" i="7"/>
  <c r="AA102" i="7"/>
  <c r="AA101" i="7"/>
  <c r="AA100" i="7"/>
  <c r="AA99" i="7"/>
  <c r="AA98" i="7"/>
  <c r="AA97" i="7"/>
  <c r="AA96" i="7"/>
  <c r="AA95" i="7"/>
  <c r="AA94" i="7"/>
  <c r="AA93" i="7"/>
  <c r="AA92" i="7"/>
  <c r="AA91" i="7"/>
  <c r="AA90" i="7"/>
  <c r="AA89" i="7"/>
  <c r="AA88" i="7"/>
  <c r="AA87" i="7"/>
  <c r="AA86" i="7"/>
  <c r="AA85" i="7"/>
  <c r="AA84" i="7"/>
  <c r="AA83" i="7"/>
  <c r="AA82" i="7"/>
  <c r="AA81" i="7"/>
  <c r="AA80" i="7"/>
  <c r="AA79" i="7"/>
  <c r="AA78" i="7"/>
  <c r="AA77" i="7"/>
  <c r="AA76" i="7"/>
  <c r="AA75" i="7"/>
  <c r="AA74" i="7"/>
  <c r="AA73" i="7"/>
  <c r="AA72" i="7"/>
  <c r="AA71" i="7"/>
  <c r="AA70" i="7"/>
  <c r="AA69" i="7"/>
  <c r="AA68" i="7"/>
  <c r="AA67" i="7"/>
  <c r="AA66" i="7"/>
  <c r="AA65" i="7"/>
  <c r="AA64" i="7"/>
  <c r="AA63" i="7"/>
  <c r="AA62" i="7"/>
  <c r="AA61" i="7"/>
  <c r="AA60" i="7"/>
  <c r="AA59" i="7"/>
  <c r="AA58" i="7"/>
  <c r="AA57" i="7"/>
  <c r="AA56" i="7"/>
  <c r="AA55" i="7"/>
  <c r="AA54" i="7"/>
  <c r="AA53" i="7"/>
  <c r="AA52" i="7"/>
  <c r="AA51" i="7"/>
  <c r="AA50" i="7"/>
  <c r="AA49" i="7"/>
  <c r="AA48" i="7"/>
  <c r="AA47" i="7"/>
  <c r="AA46" i="7"/>
  <c r="AA45" i="7"/>
  <c r="AA44" i="7"/>
  <c r="AA43" i="7"/>
  <c r="AA42" i="7"/>
  <c r="AA41" i="7"/>
  <c r="AA40" i="7"/>
  <c r="AA39" i="7"/>
  <c r="AA38" i="7"/>
  <c r="AA37" i="7"/>
  <c r="AA36" i="7"/>
  <c r="AA35" i="7"/>
  <c r="AA34" i="7"/>
  <c r="AA33" i="7"/>
  <c r="AA32" i="7"/>
  <c r="AA31" i="7"/>
  <c r="AA30" i="7"/>
  <c r="AA29" i="7"/>
  <c r="AA28" i="7"/>
  <c r="AA27" i="7"/>
  <c r="AA26" i="7"/>
  <c r="AA25" i="7"/>
  <c r="AA24" i="7"/>
  <c r="AA23" i="7"/>
  <c r="AA22" i="7"/>
  <c r="AA21" i="7"/>
  <c r="AA598" i="7" l="1"/>
  <c r="AA606" i="7"/>
  <c r="AA614" i="7"/>
  <c r="AA622" i="7"/>
  <c r="AA630" i="7"/>
  <c r="AA638" i="7"/>
  <c r="AA646" i="7"/>
  <c r="AA654" i="7"/>
  <c r="AA662" i="7"/>
  <c r="AA670" i="7"/>
  <c r="AA678" i="7"/>
  <c r="AA686" i="7"/>
  <c r="AA694" i="7"/>
  <c r="AA702" i="7"/>
  <c r="AA710" i="7"/>
  <c r="AA718" i="7"/>
  <c r="AA726" i="7"/>
  <c r="AA734" i="7"/>
  <c r="AA742" i="7"/>
  <c r="AA750" i="7"/>
  <c r="AA758" i="7"/>
  <c r="AA766" i="7"/>
  <c r="AA774" i="7"/>
  <c r="AA782" i="7"/>
  <c r="AA790" i="7"/>
  <c r="AA798" i="7"/>
  <c r="AA806" i="7"/>
  <c r="AA814" i="7"/>
  <c r="AA822" i="7"/>
  <c r="AA830" i="7"/>
  <c r="AA838" i="7"/>
  <c r="AA846" i="7"/>
  <c r="AA854" i="7"/>
  <c r="AA862" i="7"/>
  <c r="AA870" i="7"/>
  <c r="AA878" i="7"/>
  <c r="AA886" i="7"/>
  <c r="AA894" i="7"/>
  <c r="AA902" i="7"/>
  <c r="AA910" i="7"/>
  <c r="AA918" i="7"/>
  <c r="AA926" i="7"/>
  <c r="AA934" i="7"/>
  <c r="AA942" i="7"/>
  <c r="AA950" i="7"/>
  <c r="AA958" i="7"/>
  <c r="AA966" i="7"/>
  <c r="AA974" i="7"/>
  <c r="AA982" i="7"/>
  <c r="AA990" i="7"/>
  <c r="AA998" i="7"/>
  <c r="AA1006" i="7"/>
  <c r="AA1014" i="7"/>
  <c r="AA1022" i="7"/>
  <c r="AA1030" i="7"/>
  <c r="AA1038" i="7"/>
  <c r="AA1046" i="7"/>
  <c r="AA1054" i="7"/>
  <c r="AA1062" i="7"/>
  <c r="AA1070" i="7"/>
  <c r="AA1078" i="7"/>
  <c r="AA1086" i="7"/>
  <c r="AA1094" i="7"/>
  <c r="AA1102" i="7"/>
  <c r="AA1110" i="7"/>
  <c r="AA1118" i="7"/>
  <c r="AA1126" i="7"/>
  <c r="AA1134" i="7"/>
  <c r="AA1142" i="7"/>
  <c r="AA1150" i="7"/>
  <c r="AA1158" i="7"/>
  <c r="AA1166" i="7"/>
  <c r="AA1174" i="7"/>
  <c r="AA1182" i="7"/>
  <c r="AA1190" i="7"/>
  <c r="AA1198" i="7"/>
  <c r="AA1206" i="7"/>
  <c r="AA1214" i="7"/>
  <c r="AA1222" i="7"/>
  <c r="AA1230" i="7"/>
  <c r="AA1238" i="7"/>
  <c r="AA1246" i="7"/>
  <c r="AA1254" i="7"/>
  <c r="AA1262" i="7"/>
  <c r="AA1270" i="7"/>
  <c r="AA591" i="7"/>
  <c r="AA599" i="7"/>
  <c r="AA607" i="7"/>
  <c r="AA615" i="7"/>
  <c r="AA623" i="7"/>
  <c r="AA631" i="7"/>
  <c r="AA639" i="7"/>
  <c r="AA647" i="7"/>
  <c r="AA655" i="7"/>
  <c r="AA663" i="7"/>
  <c r="AA671" i="7"/>
  <c r="AA679" i="7"/>
  <c r="AA687" i="7"/>
  <c r="AA695" i="7"/>
  <c r="AA703" i="7"/>
  <c r="AA711" i="7"/>
  <c r="AA719" i="7"/>
  <c r="AA727" i="7"/>
  <c r="AA735" i="7"/>
  <c r="AA743" i="7"/>
  <c r="AA751" i="7"/>
  <c r="AA759" i="7"/>
  <c r="AA767" i="7"/>
  <c r="AA775" i="7"/>
  <c r="AA783" i="7"/>
  <c r="AA791" i="7"/>
  <c r="AA799" i="7"/>
  <c r="AA807" i="7"/>
  <c r="AA815" i="7"/>
  <c r="AA823" i="7"/>
  <c r="AA831" i="7"/>
  <c r="AA839" i="7"/>
  <c r="AA847" i="7"/>
  <c r="AA855" i="7"/>
  <c r="AA863" i="7"/>
  <c r="AA871" i="7"/>
  <c r="AA879" i="7"/>
  <c r="AA887" i="7"/>
  <c r="AA895" i="7"/>
  <c r="AA903" i="7"/>
  <c r="AA911" i="7"/>
  <c r="AA919" i="7"/>
  <c r="AA927" i="7"/>
  <c r="AA935" i="7"/>
  <c r="AA943" i="7"/>
  <c r="AA951" i="7"/>
  <c r="AA959" i="7"/>
  <c r="AA967" i="7"/>
  <c r="AA975" i="7"/>
  <c r="AA983" i="7"/>
  <c r="AA991" i="7"/>
  <c r="AA999" i="7"/>
  <c r="AA1007" i="7"/>
  <c r="AA1015" i="7"/>
  <c r="AA1023" i="7"/>
  <c r="AA1031" i="7"/>
  <c r="AA1039" i="7"/>
  <c r="AA1047" i="7"/>
  <c r="AA1055" i="7"/>
  <c r="AA1063" i="7"/>
  <c r="AA1071" i="7"/>
  <c r="AA1079" i="7"/>
  <c r="AA1087" i="7"/>
  <c r="AA1095" i="7"/>
  <c r="AA1103" i="7"/>
  <c r="AA1111" i="7"/>
  <c r="AA1119" i="7"/>
  <c r="AA1127" i="7"/>
  <c r="AA1135" i="7"/>
  <c r="AA1143" i="7"/>
  <c r="AA1151" i="7"/>
  <c r="AA1159" i="7"/>
  <c r="AA1167" i="7"/>
  <c r="AA1175" i="7"/>
  <c r="AA1183" i="7"/>
  <c r="AA1191" i="7"/>
  <c r="AA1199" i="7"/>
  <c r="AA1207" i="7"/>
  <c r="AA1215" i="7"/>
  <c r="AA1223" i="7"/>
  <c r="AA1231" i="7"/>
  <c r="AA1239" i="7"/>
  <c r="AA1247" i="7"/>
  <c r="AA1255" i="7"/>
  <c r="AA1263" i="7"/>
  <c r="AA592" i="7"/>
  <c r="AA600" i="7"/>
  <c r="AA608" i="7"/>
  <c r="AA616" i="7"/>
  <c r="AA624" i="7"/>
  <c r="AA632" i="7"/>
  <c r="AA640" i="7"/>
  <c r="AA648" i="7"/>
  <c r="AA656" i="7"/>
  <c r="AA664" i="7"/>
  <c r="AA672" i="7"/>
  <c r="AA680" i="7"/>
  <c r="AA688" i="7"/>
  <c r="AA696" i="7"/>
  <c r="AA704" i="7"/>
  <c r="AA712" i="7"/>
  <c r="AA720" i="7"/>
  <c r="AA728" i="7"/>
  <c r="AA736" i="7"/>
  <c r="AA744" i="7"/>
  <c r="AA752" i="7"/>
  <c r="AA760" i="7"/>
  <c r="AA768" i="7"/>
  <c r="AA776" i="7"/>
  <c r="AA784" i="7"/>
  <c r="AA792" i="7"/>
  <c r="AA800" i="7"/>
  <c r="AA808" i="7"/>
  <c r="AA816" i="7"/>
  <c r="AA824" i="7"/>
  <c r="AA832" i="7"/>
  <c r="AA840" i="7"/>
  <c r="AA848" i="7"/>
  <c r="AA856" i="7"/>
  <c r="AA864" i="7"/>
  <c r="AA872" i="7"/>
  <c r="AA880" i="7"/>
  <c r="AA888" i="7"/>
  <c r="AA896" i="7"/>
  <c r="AA904" i="7"/>
  <c r="AA912" i="7"/>
  <c r="AA920" i="7"/>
  <c r="AA928" i="7"/>
  <c r="AA936" i="7"/>
  <c r="AA944" i="7"/>
  <c r="AA952" i="7"/>
  <c r="AA960" i="7"/>
  <c r="AA968" i="7"/>
  <c r="AA976" i="7"/>
  <c r="AA984" i="7"/>
  <c r="AA992" i="7"/>
  <c r="AA1000" i="7"/>
  <c r="AA1008" i="7"/>
  <c r="AA1016" i="7"/>
  <c r="AA1024" i="7"/>
  <c r="AA1032" i="7"/>
  <c r="AA1040" i="7"/>
  <c r="AA1048" i="7"/>
  <c r="AA1056" i="7"/>
  <c r="AA1064" i="7"/>
  <c r="AA1072" i="7"/>
  <c r="AA1080" i="7"/>
  <c r="AA1088" i="7"/>
  <c r="AA1096" i="7"/>
  <c r="AA1104" i="7"/>
  <c r="AA1112" i="7"/>
  <c r="AA1120" i="7"/>
  <c r="AA1128" i="7"/>
  <c r="AA1136" i="7"/>
  <c r="AA1144" i="7"/>
  <c r="AA1152" i="7"/>
  <c r="AA1160" i="7"/>
  <c r="AA1168" i="7"/>
  <c r="AA1176" i="7"/>
  <c r="AA1184" i="7"/>
  <c r="AA1192" i="7"/>
  <c r="AA1200" i="7"/>
  <c r="AA1208" i="7"/>
  <c r="AA1216" i="7"/>
  <c r="AA1224" i="7"/>
  <c r="AA1232" i="7"/>
  <c r="AA1240" i="7"/>
  <c r="AA1248" i="7"/>
  <c r="AA1256" i="7"/>
  <c r="AA1264" i="7"/>
  <c r="AA593" i="7"/>
  <c r="AA601" i="7"/>
  <c r="AA609" i="7"/>
  <c r="AA617" i="7"/>
  <c r="AA625" i="7"/>
  <c r="AA633" i="7"/>
  <c r="AA641" i="7"/>
  <c r="AA649" i="7"/>
  <c r="AA657" i="7"/>
  <c r="AA665" i="7"/>
  <c r="AA673" i="7"/>
  <c r="AA681" i="7"/>
  <c r="AA689" i="7"/>
  <c r="AA697" i="7"/>
  <c r="AA705" i="7"/>
  <c r="AA713" i="7"/>
  <c r="AA721" i="7"/>
  <c r="AA729" i="7"/>
  <c r="AA737" i="7"/>
  <c r="AA745" i="7"/>
  <c r="AA753" i="7"/>
  <c r="AA761" i="7"/>
  <c r="AA769" i="7"/>
  <c r="AA777" i="7"/>
  <c r="AA785" i="7"/>
  <c r="AA793" i="7"/>
  <c r="AA801" i="7"/>
  <c r="AA809" i="7"/>
  <c r="AA817" i="7"/>
  <c r="AA825" i="7"/>
  <c r="AA833" i="7"/>
  <c r="AA841" i="7"/>
  <c r="AA849" i="7"/>
  <c r="AA857" i="7"/>
  <c r="AA865" i="7"/>
  <c r="AA873" i="7"/>
  <c r="AA881" i="7"/>
  <c r="AA889" i="7"/>
  <c r="AA897" i="7"/>
  <c r="AA905" i="7"/>
  <c r="AA913" i="7"/>
  <c r="AA921" i="7"/>
  <c r="AA929" i="7"/>
  <c r="AA937" i="7"/>
  <c r="AA945" i="7"/>
  <c r="AA953" i="7"/>
  <c r="AA961" i="7"/>
  <c r="AA969" i="7"/>
  <c r="AA977" i="7"/>
  <c r="AA985" i="7"/>
  <c r="AA993" i="7"/>
  <c r="AA1001" i="7"/>
  <c r="AA1009" i="7"/>
  <c r="AA1017" i="7"/>
  <c r="AA1025" i="7"/>
  <c r="AA1033" i="7"/>
  <c r="AA1041" i="7"/>
  <c r="AA1049" i="7"/>
  <c r="AA1057" i="7"/>
  <c r="AA1065" i="7"/>
  <c r="AA1073" i="7"/>
  <c r="AA1081" i="7"/>
  <c r="AA1089" i="7"/>
  <c r="AA1097" i="7"/>
  <c r="AA1105" i="7"/>
  <c r="AA1113" i="7"/>
  <c r="AA1121" i="7"/>
  <c r="AA1129" i="7"/>
  <c r="AA1137" i="7"/>
  <c r="AA1145" i="7"/>
  <c r="AA1153" i="7"/>
  <c r="AA1161" i="7"/>
  <c r="AA1169" i="7"/>
  <c r="AA1177" i="7"/>
  <c r="AA1185" i="7"/>
  <c r="AA1193" i="7"/>
  <c r="AA1201" i="7"/>
  <c r="AA1209" i="7"/>
  <c r="AA1217" i="7"/>
  <c r="AA1225" i="7"/>
  <c r="AA1233" i="7"/>
  <c r="AA1241" i="7"/>
  <c r="AA1249" i="7"/>
  <c r="AA1257" i="7"/>
  <c r="AA1265" i="7"/>
  <c r="AA594" i="7"/>
  <c r="AA602" i="7"/>
  <c r="AA610" i="7"/>
  <c r="AA618" i="7"/>
  <c r="AA626" i="7"/>
  <c r="AA634" i="7"/>
  <c r="AA642" i="7"/>
  <c r="AA650" i="7"/>
  <c r="AA658" i="7"/>
  <c r="AA666" i="7"/>
  <c r="AA674" i="7"/>
  <c r="AA682" i="7"/>
  <c r="AA690" i="7"/>
  <c r="AA698" i="7"/>
  <c r="AA706" i="7"/>
  <c r="AA714" i="7"/>
  <c r="AA722" i="7"/>
  <c r="AA730" i="7"/>
  <c r="AA738" i="7"/>
  <c r="AA746" i="7"/>
  <c r="AA754" i="7"/>
  <c r="AA762" i="7"/>
  <c r="AA770" i="7"/>
  <c r="AA778" i="7"/>
  <c r="AA786" i="7"/>
  <c r="AA794" i="7"/>
  <c r="AA802" i="7"/>
  <c r="AA810" i="7"/>
  <c r="AA818" i="7"/>
  <c r="AA826" i="7"/>
  <c r="AA834" i="7"/>
  <c r="AA842" i="7"/>
  <c r="AA850" i="7"/>
  <c r="AA858" i="7"/>
  <c r="AA866" i="7"/>
  <c r="AA874" i="7"/>
  <c r="AA882" i="7"/>
  <c r="AA890" i="7"/>
  <c r="AA898" i="7"/>
  <c r="AA906" i="7"/>
  <c r="AA914" i="7"/>
  <c r="AA922" i="7"/>
  <c r="AA930" i="7"/>
  <c r="AA938" i="7"/>
  <c r="AA946" i="7"/>
  <c r="AA954" i="7"/>
  <c r="AA962" i="7"/>
  <c r="AA970" i="7"/>
  <c r="AA978" i="7"/>
  <c r="AA986" i="7"/>
  <c r="AA994" i="7"/>
  <c r="AA1002" i="7"/>
  <c r="AA1010" i="7"/>
  <c r="AA1018" i="7"/>
  <c r="AA1026" i="7"/>
  <c r="AA1034" i="7"/>
  <c r="AA1042" i="7"/>
  <c r="AA1050" i="7"/>
  <c r="AA1058" i="7"/>
  <c r="AA1066" i="7"/>
  <c r="AA1074" i="7"/>
  <c r="AA1082" i="7"/>
  <c r="AA1090" i="7"/>
  <c r="AA1098" i="7"/>
  <c r="AA1106" i="7"/>
  <c r="AA1114" i="7"/>
  <c r="AA1122" i="7"/>
  <c r="AA1130" i="7"/>
  <c r="AA1138" i="7"/>
  <c r="AA1146" i="7"/>
  <c r="AA1154" i="7"/>
  <c r="AA1162" i="7"/>
  <c r="AA1170" i="7"/>
  <c r="AA1178" i="7"/>
  <c r="AA1186" i="7"/>
  <c r="AA1194" i="7"/>
  <c r="AA1202" i="7"/>
  <c r="AA1210" i="7"/>
  <c r="AA1218" i="7"/>
  <c r="AA1226" i="7"/>
  <c r="AA1234" i="7"/>
  <c r="AA1242" i="7"/>
  <c r="AA1250" i="7"/>
  <c r="AA1258" i="7"/>
  <c r="AA1266" i="7"/>
  <c r="AA595" i="7"/>
  <c r="AA603" i="7"/>
  <c r="AA611" i="7"/>
  <c r="AA619" i="7"/>
  <c r="AA627" i="7"/>
  <c r="AA635" i="7"/>
  <c r="AA643" i="7"/>
  <c r="AA651" i="7"/>
  <c r="AA659" i="7"/>
  <c r="AA667" i="7"/>
  <c r="AA675" i="7"/>
  <c r="AA683" i="7"/>
  <c r="AA691" i="7"/>
  <c r="AA699" i="7"/>
  <c r="AA707" i="7"/>
  <c r="AA715" i="7"/>
  <c r="AA723" i="7"/>
  <c r="AA731" i="7"/>
  <c r="AA739" i="7"/>
  <c r="AA747" i="7"/>
  <c r="AA755" i="7"/>
  <c r="AA763" i="7"/>
  <c r="AA771" i="7"/>
  <c r="AA779" i="7"/>
  <c r="AA787" i="7"/>
  <c r="AA795" i="7"/>
  <c r="AA803" i="7"/>
  <c r="AA811" i="7"/>
  <c r="AA819" i="7"/>
  <c r="AA827" i="7"/>
  <c r="AA835" i="7"/>
  <c r="AA843" i="7"/>
  <c r="AA851" i="7"/>
  <c r="AA859" i="7"/>
  <c r="AA867" i="7"/>
  <c r="AA875" i="7"/>
  <c r="AA883" i="7"/>
  <c r="AA891" i="7"/>
  <c r="AA899" i="7"/>
  <c r="AA907" i="7"/>
  <c r="AA915" i="7"/>
  <c r="AA923" i="7"/>
  <c r="AA931" i="7"/>
  <c r="AA939" i="7"/>
  <c r="AA947" i="7"/>
  <c r="AA955" i="7"/>
  <c r="AA963" i="7"/>
  <c r="AA971" i="7"/>
  <c r="AA979" i="7"/>
  <c r="AA987" i="7"/>
  <c r="AA995" i="7"/>
  <c r="AA1003" i="7"/>
  <c r="AA1011" i="7"/>
  <c r="AA1019" i="7"/>
  <c r="AA1027" i="7"/>
  <c r="AA1035" i="7"/>
  <c r="AA1043" i="7"/>
  <c r="AA1051" i="7"/>
  <c r="AA1059" i="7"/>
  <c r="AA1067" i="7"/>
  <c r="AA1075" i="7"/>
  <c r="AA1083" i="7"/>
  <c r="AA1091" i="7"/>
  <c r="AA1099" i="7"/>
  <c r="AA1107" i="7"/>
  <c r="AA1115" i="7"/>
  <c r="AA1123" i="7"/>
  <c r="AA1131" i="7"/>
  <c r="AA1139" i="7"/>
  <c r="AA1147" i="7"/>
  <c r="AA1155" i="7"/>
  <c r="AA1163" i="7"/>
  <c r="AA1171" i="7"/>
  <c r="AA1179" i="7"/>
  <c r="AA1187" i="7"/>
  <c r="AA1195" i="7"/>
  <c r="AA1203" i="7"/>
  <c r="AA1211" i="7"/>
  <c r="AA1219" i="7"/>
  <c r="AA1227" i="7"/>
  <c r="AA1235" i="7"/>
  <c r="AA1243" i="7"/>
  <c r="AA1251" i="7"/>
  <c r="AA1259" i="7"/>
  <c r="N12" i="8"/>
  <c r="B2" i="7"/>
  <c r="R59" i="2"/>
  <c r="P9" i="2"/>
  <c r="B65" i="2"/>
  <c r="P11" i="2"/>
  <c r="P10" i="2"/>
  <c r="P8" i="2"/>
  <c r="N60" i="2"/>
  <c r="M60" i="2"/>
  <c r="N58" i="2"/>
  <c r="M58" i="2"/>
  <c r="L60" i="2"/>
  <c r="L58" i="2"/>
  <c r="S59" i="2" l="1"/>
  <c r="N56" i="2"/>
  <c r="M56" i="2"/>
  <c r="L56" i="2"/>
  <c r="J56" i="2"/>
  <c r="H56" i="2"/>
  <c r="G56" i="2"/>
  <c r="F56" i="2"/>
  <c r="E56" i="2"/>
  <c r="D56" i="2"/>
  <c r="C56" i="2"/>
  <c r="L55" i="2"/>
  <c r="J55" i="2"/>
  <c r="E55" i="2"/>
  <c r="D55" i="2"/>
  <c r="C55" i="2"/>
  <c r="O42" i="2"/>
  <c r="O41" i="2"/>
  <c r="P41" i="2" s="1"/>
  <c r="O22" i="2"/>
  <c r="O18" i="2"/>
  <c r="O20" i="2" s="1"/>
  <c r="O26" i="2" s="1"/>
  <c r="N13" i="2"/>
  <c r="N55" i="2" s="1"/>
  <c r="O20" i="1"/>
  <c r="O16" i="1"/>
  <c r="O12" i="1"/>
  <c r="B20" i="2"/>
  <c r="B26" i="2" s="1"/>
  <c r="B28" i="2" s="1"/>
  <c r="B25" i="2"/>
  <c r="B30" i="2"/>
  <c r="B34" i="2"/>
  <c r="B42" i="2"/>
  <c r="B58" i="2"/>
  <c r="B60" i="2"/>
  <c r="C3" i="2"/>
  <c r="D3" i="2" s="1"/>
  <c r="E3" i="2" s="1"/>
  <c r="B12" i="5"/>
  <c r="G7" i="9"/>
  <c r="C21" i="9"/>
  <c r="L67" i="2" l="1"/>
  <c r="B62" i="2"/>
  <c r="B23" i="2"/>
  <c r="T59" i="2"/>
  <c r="B63" i="2"/>
  <c r="B31" i="2"/>
  <c r="C24" i="9" l="1"/>
  <c r="D20" i="9"/>
  <c r="C8" i="9"/>
  <c r="J16" i="2" l="1"/>
  <c r="J5" i="2" l="1"/>
  <c r="C34" i="13"/>
  <c r="K15" i="13"/>
  <c r="K16" i="13" s="1"/>
  <c r="K17" i="13" s="1"/>
  <c r="I17" i="13" l="1"/>
  <c r="I16" i="13"/>
  <c r="I15" i="13"/>
  <c r="D10" i="11" l="1"/>
  <c r="D7" i="16"/>
  <c r="D43" i="13" l="1"/>
  <c r="D42" i="13"/>
  <c r="E53" i="13"/>
  <c r="E52" i="13"/>
  <c r="E51" i="13"/>
  <c r="D53" i="13"/>
  <c r="D52" i="13"/>
  <c r="D51" i="13"/>
  <c r="C53" i="13"/>
  <c r="C51" i="13"/>
  <c r="B53" i="13"/>
  <c r="B52" i="13"/>
  <c r="C52" i="13"/>
  <c r="B51" i="13"/>
  <c r="J41" i="16"/>
  <c r="K41" i="16"/>
  <c r="L41" i="16"/>
  <c r="J43" i="16"/>
  <c r="K43" i="16"/>
  <c r="J46" i="16"/>
  <c r="L43" i="16"/>
  <c r="U24" i="16"/>
  <c r="U23" i="16"/>
  <c r="L58" i="16"/>
  <c r="K58" i="16"/>
  <c r="J58" i="16"/>
  <c r="M43" i="16" l="1"/>
  <c r="J49" i="16" l="1"/>
  <c r="R41" i="16"/>
  <c r="N41" i="16"/>
  <c r="O41" i="16"/>
  <c r="P41" i="16"/>
  <c r="N47" i="16"/>
  <c r="V23" i="16"/>
  <c r="P47" i="16"/>
  <c r="O47" i="16"/>
  <c r="P45" i="16"/>
  <c r="O45" i="16"/>
  <c r="O56" i="16"/>
  <c r="P56" i="16"/>
  <c r="N56" i="16"/>
  <c r="N45" i="16"/>
  <c r="N58" i="16"/>
  <c r="O58" i="16"/>
  <c r="P58" i="16"/>
  <c r="J55" i="16"/>
  <c r="L49" i="16"/>
  <c r="L46" i="16"/>
  <c r="L45" i="16"/>
  <c r="K45" i="16"/>
  <c r="K55" i="16"/>
  <c r="K49" i="16"/>
  <c r="K46" i="16"/>
  <c r="M58" i="16" l="1"/>
  <c r="L47" i="16"/>
  <c r="M41" i="16"/>
  <c r="M49" i="16"/>
  <c r="J45" i="16"/>
  <c r="K47" i="16"/>
  <c r="J47" i="16" l="1"/>
  <c r="M45" i="16"/>
  <c r="M47" i="16" l="1"/>
  <c r="R47" i="16"/>
  <c r="O40" i="16" l="1"/>
  <c r="P40" i="16" s="1"/>
  <c r="P32" i="16"/>
  <c r="P34" i="16" s="1"/>
  <c r="L52" i="16" s="1"/>
  <c r="N31" i="16"/>
  <c r="N30" i="16"/>
  <c r="L32" i="16"/>
  <c r="L34" i="16" s="1"/>
  <c r="K52" i="16" s="1"/>
  <c r="J31" i="16"/>
  <c r="J30" i="16"/>
  <c r="F30" i="16"/>
  <c r="F34" i="16" s="1"/>
  <c r="J51" i="16" s="1"/>
  <c r="O19" i="16"/>
  <c r="J63" i="2"/>
  <c r="G63" i="2"/>
  <c r="F63" i="2"/>
  <c r="D63" i="2"/>
  <c r="C63" i="2"/>
  <c r="H34" i="16"/>
  <c r="J52" i="16" s="1"/>
  <c r="K25" i="16"/>
  <c r="V53" i="2"/>
  <c r="G22" i="16"/>
  <c r="G20" i="16"/>
  <c r="F15" i="16"/>
  <c r="G14" i="16" s="1"/>
  <c r="J54" i="16" l="1"/>
  <c r="J56" i="16" s="1"/>
  <c r="N34" i="16"/>
  <c r="L51" i="16" s="1"/>
  <c r="J34" i="16"/>
  <c r="K51" i="16" s="1"/>
  <c r="K54" i="16" s="1"/>
  <c r="L54" i="16"/>
  <c r="L56" i="16" s="1"/>
  <c r="L59" i="16" s="1"/>
  <c r="J59" i="16" l="1"/>
  <c r="R56" i="16"/>
  <c r="K56" i="16"/>
  <c r="K59" i="16" s="1"/>
  <c r="M54" i="16"/>
  <c r="M56" i="16" l="1"/>
  <c r="M59" i="16" s="1"/>
  <c r="F54" i="8"/>
  <c r="E54" i="8"/>
  <c r="E53" i="8"/>
  <c r="E52" i="8"/>
  <c r="F52" i="8" s="1"/>
  <c r="D53" i="8"/>
  <c r="F53" i="8" s="1"/>
  <c r="C54" i="8"/>
  <c r="C53" i="8"/>
  <c r="C52" i="8"/>
  <c r="D6" i="16"/>
  <c r="G11" i="16"/>
  <c r="F9" i="16"/>
  <c r="E9" i="16"/>
  <c r="Z22" i="7"/>
  <c r="Z23" i="7"/>
  <c r="Z24" i="7"/>
  <c r="Z25" i="7"/>
  <c r="Z26" i="7"/>
  <c r="Z27" i="7"/>
  <c r="Z28" i="7"/>
  <c r="Z29" i="7"/>
  <c r="Z30" i="7"/>
  <c r="Z21" i="7"/>
  <c r="E43" i="13"/>
  <c r="E42" i="13"/>
  <c r="B14" i="12"/>
  <c r="B15" i="12"/>
  <c r="C21" i="8" l="1"/>
  <c r="D16" i="12"/>
  <c r="D9" i="16"/>
  <c r="G9" i="16" s="1"/>
  <c r="W23" i="16"/>
  <c r="X23" i="16" s="1"/>
  <c r="D21" i="8"/>
  <c r="F43" i="13"/>
  <c r="G21" i="16" l="1"/>
  <c r="G23" i="16" s="1"/>
  <c r="F16" i="12" s="1"/>
  <c r="E16" i="12"/>
  <c r="Y23" i="16"/>
  <c r="Z23" i="16" s="1"/>
  <c r="AA23" i="16"/>
  <c r="G42" i="13"/>
  <c r="H42" i="13" s="1"/>
  <c r="G43" i="13"/>
  <c r="H43" i="13" s="1"/>
  <c r="O61" i="11"/>
  <c r="O46" i="11"/>
  <c r="O48" i="11"/>
  <c r="O50" i="11" s="1"/>
  <c r="O52" i="11"/>
  <c r="N61" i="11"/>
  <c r="N52" i="11"/>
  <c r="N48" i="11"/>
  <c r="N46" i="11"/>
  <c r="M64" i="11"/>
  <c r="M61" i="11"/>
  <c r="M52" i="11"/>
  <c r="M48" i="11"/>
  <c r="M46" i="11"/>
  <c r="K63" i="11"/>
  <c r="K60" i="11"/>
  <c r="K51" i="11"/>
  <c r="K48" i="11"/>
  <c r="K46" i="11"/>
  <c r="J63" i="11"/>
  <c r="J60" i="11"/>
  <c r="J54" i="11"/>
  <c r="J51" i="11"/>
  <c r="J48" i="11"/>
  <c r="L48" i="11" s="1"/>
  <c r="J46" i="11"/>
  <c r="M16" i="12" l="1"/>
  <c r="R16" i="12"/>
  <c r="N16" i="12"/>
  <c r="S16" i="12"/>
  <c r="L16" i="12"/>
  <c r="G16" i="12"/>
  <c r="I16" i="12"/>
  <c r="H16" i="12"/>
  <c r="O16" i="12"/>
  <c r="T16" i="12"/>
  <c r="J16" i="12"/>
  <c r="H44" i="13"/>
  <c r="N15" i="13" s="1"/>
  <c r="N16" i="13" s="1"/>
  <c r="N17" i="13" s="1"/>
  <c r="I63" i="11"/>
  <c r="L63" i="11" s="1"/>
  <c r="I54" i="11"/>
  <c r="L54" i="11" s="1"/>
  <c r="I51" i="11"/>
  <c r="I50" i="11"/>
  <c r="I46" i="11"/>
  <c r="L46" i="11" s="1"/>
  <c r="K59" i="11"/>
  <c r="K61" i="11" s="1"/>
  <c r="K64" i="11" s="1"/>
  <c r="L57" i="11"/>
  <c r="I55" i="11"/>
  <c r="J59" i="11"/>
  <c r="M50" i="11"/>
  <c r="J50" i="11"/>
  <c r="J52" i="11" s="1"/>
  <c r="N50" i="11"/>
  <c r="K50" i="11"/>
  <c r="K52" i="11" s="1"/>
  <c r="N45" i="11"/>
  <c r="O45" i="11" s="1"/>
  <c r="D35" i="11"/>
  <c r="E35" i="11" s="1"/>
  <c r="G23" i="11"/>
  <c r="G13" i="11"/>
  <c r="F18" i="11"/>
  <c r="G17" i="11" s="1"/>
  <c r="D9" i="11"/>
  <c r="E36" i="11" s="1"/>
  <c r="F36" i="11" s="1"/>
  <c r="G36" i="11" s="1"/>
  <c r="H36" i="11" s="1"/>
  <c r="F20" i="10"/>
  <c r="G14" i="11"/>
  <c r="F12" i="11"/>
  <c r="E12" i="11"/>
  <c r="A2" i="11"/>
  <c r="O57" i="10"/>
  <c r="O55" i="10"/>
  <c r="N55" i="10"/>
  <c r="O53" i="10"/>
  <c r="O51" i="10"/>
  <c r="O66" i="10"/>
  <c r="N66" i="10"/>
  <c r="M66" i="10"/>
  <c r="N57" i="10"/>
  <c r="N53" i="10"/>
  <c r="N51" i="10"/>
  <c r="M57" i="10"/>
  <c r="M53" i="10"/>
  <c r="M55" i="10" s="1"/>
  <c r="M51" i="10"/>
  <c r="I59" i="11" l="1"/>
  <c r="L50" i="11"/>
  <c r="J61" i="11"/>
  <c r="J64" i="11" s="1"/>
  <c r="I52" i="11"/>
  <c r="L52" i="11" s="1"/>
  <c r="L59" i="11"/>
  <c r="Q46" i="11"/>
  <c r="F35" i="11"/>
  <c r="I36" i="11"/>
  <c r="K68" i="10"/>
  <c r="K59" i="10"/>
  <c r="K64" i="10" s="1"/>
  <c r="K66" i="10" s="1"/>
  <c r="K69" i="10" s="1"/>
  <c r="K56" i="10"/>
  <c r="K53" i="10"/>
  <c r="K55" i="10" s="1"/>
  <c r="K57" i="10" s="1"/>
  <c r="G35" i="11" l="1"/>
  <c r="H35" i="11" s="1"/>
  <c r="I35" i="11" s="1"/>
  <c r="I40" i="11" s="1"/>
  <c r="D11" i="11" s="1"/>
  <c r="D12" i="11" s="1"/>
  <c r="G12" i="11" s="1"/>
  <c r="E15" i="12" s="1"/>
  <c r="O15" i="12" s="1"/>
  <c r="I61" i="11"/>
  <c r="J68" i="10"/>
  <c r="J59" i="10"/>
  <c r="J64" i="10" s="1"/>
  <c r="J66" i="10" s="1"/>
  <c r="J69" i="10" s="1"/>
  <c r="J56" i="10"/>
  <c r="J53" i="10"/>
  <c r="J55" i="10" s="1"/>
  <c r="J57" i="10" s="1"/>
  <c r="I68" i="10"/>
  <c r="L62" i="10"/>
  <c r="I59" i="10"/>
  <c r="I56" i="10"/>
  <c r="D33" i="10"/>
  <c r="E33" i="10" s="1"/>
  <c r="C32" i="10"/>
  <c r="D32" i="10" s="1"/>
  <c r="E32" i="10" s="1"/>
  <c r="F32" i="10" s="1"/>
  <c r="G32" i="10" s="1"/>
  <c r="F14" i="10"/>
  <c r="L53" i="10" l="1"/>
  <c r="G24" i="11"/>
  <c r="G26" i="11" s="1"/>
  <c r="F15" i="12" s="1"/>
  <c r="G27" i="11"/>
  <c r="D15" i="12" s="1"/>
  <c r="L59" i="10"/>
  <c r="I55" i="10"/>
  <c r="L68" i="10"/>
  <c r="Q51" i="10"/>
  <c r="L51" i="10"/>
  <c r="L61" i="11"/>
  <c r="J15" i="12" s="1"/>
  <c r="I64" i="11"/>
  <c r="F33" i="10"/>
  <c r="G33" i="10" s="1"/>
  <c r="H33" i="10" s="1"/>
  <c r="N15" i="12" l="1"/>
  <c r="Q15" i="12"/>
  <c r="M15" i="12"/>
  <c r="R15" i="12"/>
  <c r="S15" i="12"/>
  <c r="H15" i="12"/>
  <c r="L15" i="12"/>
  <c r="G15" i="12"/>
  <c r="I15" i="12"/>
  <c r="T15" i="12"/>
  <c r="I57" i="10"/>
  <c r="L57" i="10" s="1"/>
  <c r="L55" i="10"/>
  <c r="L64" i="11"/>
  <c r="H32" i="10"/>
  <c r="H37" i="10" s="1"/>
  <c r="C8" i="10" s="1"/>
  <c r="C9" i="10" s="1"/>
  <c r="F9" i="10" l="1"/>
  <c r="E38" i="8"/>
  <c r="E37" i="8"/>
  <c r="E36" i="8"/>
  <c r="C45" i="8"/>
  <c r="C44" i="8"/>
  <c r="C43" i="8"/>
  <c r="C19" i="8" s="1"/>
  <c r="C22" i="8" s="1"/>
  <c r="E45" i="8"/>
  <c r="E44" i="8"/>
  <c r="E43" i="8"/>
  <c r="E50" i="8"/>
  <c r="F50" i="8" s="1"/>
  <c r="E49" i="8"/>
  <c r="F49" i="8" s="1"/>
  <c r="E48" i="8"/>
  <c r="C50" i="8"/>
  <c r="C49" i="8"/>
  <c r="C48" i="8"/>
  <c r="C20" i="8" s="1"/>
  <c r="F21" i="10" l="1"/>
  <c r="F23" i="10" s="1"/>
  <c r="F14" i="12" s="1"/>
  <c r="F24" i="10"/>
  <c r="D14" i="12" s="1"/>
  <c r="D20" i="8"/>
  <c r="D19" i="8"/>
  <c r="D22" i="8" s="1"/>
  <c r="E14" i="12"/>
  <c r="F48" i="8"/>
  <c r="R14" i="12" l="1"/>
  <c r="R20" i="12" s="1"/>
  <c r="G14" i="12"/>
  <c r="G17" i="12" s="1"/>
  <c r="B15" i="13" s="1"/>
  <c r="D15" i="13" s="1"/>
  <c r="Q14" i="12"/>
  <c r="Q17" i="12" s="1"/>
  <c r="B17" i="13" s="1"/>
  <c r="D17" i="13" s="1"/>
  <c r="M14" i="12"/>
  <c r="M17" i="12" s="1"/>
  <c r="S14" i="12"/>
  <c r="S20" i="12" s="1"/>
  <c r="I14" i="12"/>
  <c r="I17" i="12" s="1"/>
  <c r="H14" i="12"/>
  <c r="H19" i="12" s="1"/>
  <c r="L14" i="12"/>
  <c r="N14" i="12"/>
  <c r="N20" i="12" s="1"/>
  <c r="T14" i="12"/>
  <c r="O14" i="12"/>
  <c r="R17" i="12"/>
  <c r="R19" i="12"/>
  <c r="Y1275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Z230" i="7"/>
  <c r="Z231" i="7"/>
  <c r="Z232" i="7"/>
  <c r="Z233" i="7"/>
  <c r="Z234" i="7"/>
  <c r="Z235" i="7"/>
  <c r="Z236" i="7"/>
  <c r="Z237" i="7"/>
  <c r="Z238" i="7"/>
  <c r="Z239" i="7"/>
  <c r="Z240" i="7"/>
  <c r="Z241" i="7"/>
  <c r="Z242" i="7"/>
  <c r="Z243" i="7"/>
  <c r="Z244" i="7"/>
  <c r="Z245" i="7"/>
  <c r="Z246" i="7"/>
  <c r="Z247" i="7"/>
  <c r="Z248" i="7"/>
  <c r="Z249" i="7"/>
  <c r="Z250" i="7"/>
  <c r="Z251" i="7"/>
  <c r="Z252" i="7"/>
  <c r="Z253" i="7"/>
  <c r="Z254" i="7"/>
  <c r="Z255" i="7"/>
  <c r="Z256" i="7"/>
  <c r="Z257" i="7"/>
  <c r="Z258" i="7"/>
  <c r="Z259" i="7"/>
  <c r="Z260" i="7"/>
  <c r="Z261" i="7"/>
  <c r="Z262" i="7"/>
  <c r="Z263" i="7"/>
  <c r="Z264" i="7"/>
  <c r="Z265" i="7"/>
  <c r="Z266" i="7"/>
  <c r="Z267" i="7"/>
  <c r="Z268" i="7"/>
  <c r="Z269" i="7"/>
  <c r="Z270" i="7"/>
  <c r="Z271" i="7"/>
  <c r="Z272" i="7"/>
  <c r="Z273" i="7"/>
  <c r="Z274" i="7"/>
  <c r="Z275" i="7"/>
  <c r="Z276" i="7"/>
  <c r="Z277" i="7"/>
  <c r="Z278" i="7"/>
  <c r="Z279" i="7"/>
  <c r="Z280" i="7"/>
  <c r="Z281" i="7"/>
  <c r="Z282" i="7"/>
  <c r="Z283" i="7"/>
  <c r="Z284" i="7"/>
  <c r="Z285" i="7"/>
  <c r="Z286" i="7"/>
  <c r="Z287" i="7"/>
  <c r="Z288" i="7"/>
  <c r="Z289" i="7"/>
  <c r="Z290" i="7"/>
  <c r="Z291" i="7"/>
  <c r="Z292" i="7"/>
  <c r="Z293" i="7"/>
  <c r="Z294" i="7"/>
  <c r="Z295" i="7"/>
  <c r="Z296" i="7"/>
  <c r="Z297" i="7"/>
  <c r="Z298" i="7"/>
  <c r="Z299" i="7"/>
  <c r="Z300" i="7"/>
  <c r="Z301" i="7"/>
  <c r="Z302" i="7"/>
  <c r="Z303" i="7"/>
  <c r="Z304" i="7"/>
  <c r="Z305" i="7"/>
  <c r="Z306" i="7"/>
  <c r="Z307" i="7"/>
  <c r="Z308" i="7"/>
  <c r="Z309" i="7"/>
  <c r="Z310" i="7"/>
  <c r="Z311" i="7"/>
  <c r="Z312" i="7"/>
  <c r="Z313" i="7"/>
  <c r="Z314" i="7"/>
  <c r="Z315" i="7"/>
  <c r="Z316" i="7"/>
  <c r="Z317" i="7"/>
  <c r="Z318" i="7"/>
  <c r="Z319" i="7"/>
  <c r="Z320" i="7"/>
  <c r="Z321" i="7"/>
  <c r="Z322" i="7"/>
  <c r="Z323" i="7"/>
  <c r="Z324" i="7"/>
  <c r="Z325" i="7"/>
  <c r="Z326" i="7"/>
  <c r="Z327" i="7"/>
  <c r="Z328" i="7"/>
  <c r="Z329" i="7"/>
  <c r="Z330" i="7"/>
  <c r="Z331" i="7"/>
  <c r="Z332" i="7"/>
  <c r="Z333" i="7"/>
  <c r="Z334" i="7"/>
  <c r="Z335" i="7"/>
  <c r="Z336" i="7"/>
  <c r="Z337" i="7"/>
  <c r="Z338" i="7"/>
  <c r="Z339" i="7"/>
  <c r="Z340" i="7"/>
  <c r="Z341" i="7"/>
  <c r="Z342" i="7"/>
  <c r="Z343" i="7"/>
  <c r="Z344" i="7"/>
  <c r="Z345" i="7"/>
  <c r="Z346" i="7"/>
  <c r="Z347" i="7"/>
  <c r="Z348" i="7"/>
  <c r="Z349" i="7"/>
  <c r="Z350" i="7"/>
  <c r="Z351" i="7"/>
  <c r="Z352" i="7"/>
  <c r="Z353" i="7"/>
  <c r="Z354" i="7"/>
  <c r="Z355" i="7"/>
  <c r="Z356" i="7"/>
  <c r="Z357" i="7"/>
  <c r="Z358" i="7"/>
  <c r="Z359" i="7"/>
  <c r="Z360" i="7"/>
  <c r="Z361" i="7"/>
  <c r="Z362" i="7"/>
  <c r="Z363" i="7"/>
  <c r="Z364" i="7"/>
  <c r="Z365" i="7"/>
  <c r="Z366" i="7"/>
  <c r="Z367" i="7"/>
  <c r="Z368" i="7"/>
  <c r="Z369" i="7"/>
  <c r="Z370" i="7"/>
  <c r="Z371" i="7"/>
  <c r="Z372" i="7"/>
  <c r="Z373" i="7"/>
  <c r="Z374" i="7"/>
  <c r="Z375" i="7"/>
  <c r="Z376" i="7"/>
  <c r="Z377" i="7"/>
  <c r="Z378" i="7"/>
  <c r="Z379" i="7"/>
  <c r="Z380" i="7"/>
  <c r="Z381" i="7"/>
  <c r="Z382" i="7"/>
  <c r="Z383" i="7"/>
  <c r="Z384" i="7"/>
  <c r="Z385" i="7"/>
  <c r="Z386" i="7"/>
  <c r="Z387" i="7"/>
  <c r="Z388" i="7"/>
  <c r="Z389" i="7"/>
  <c r="Z390" i="7"/>
  <c r="Z391" i="7"/>
  <c r="Z392" i="7"/>
  <c r="Z393" i="7"/>
  <c r="Z394" i="7"/>
  <c r="Z395" i="7"/>
  <c r="Z396" i="7"/>
  <c r="Z397" i="7"/>
  <c r="Z398" i="7"/>
  <c r="Z399" i="7"/>
  <c r="Z400" i="7"/>
  <c r="Z401" i="7"/>
  <c r="Z402" i="7"/>
  <c r="Z403" i="7"/>
  <c r="Z404" i="7"/>
  <c r="Z405" i="7"/>
  <c r="Z406" i="7"/>
  <c r="Z407" i="7"/>
  <c r="Z408" i="7"/>
  <c r="Z409" i="7"/>
  <c r="Z410" i="7"/>
  <c r="Z411" i="7"/>
  <c r="Z412" i="7"/>
  <c r="Z413" i="7"/>
  <c r="Z414" i="7"/>
  <c r="Z415" i="7"/>
  <c r="Z416" i="7"/>
  <c r="Z417" i="7"/>
  <c r="Z418" i="7"/>
  <c r="Z419" i="7"/>
  <c r="Z420" i="7"/>
  <c r="Z421" i="7"/>
  <c r="Z422" i="7"/>
  <c r="Z423" i="7"/>
  <c r="Z424" i="7"/>
  <c r="Z425" i="7"/>
  <c r="Z426" i="7"/>
  <c r="Z427" i="7"/>
  <c r="Z428" i="7"/>
  <c r="Z429" i="7"/>
  <c r="Z430" i="7"/>
  <c r="Z431" i="7"/>
  <c r="Z432" i="7"/>
  <c r="Z433" i="7"/>
  <c r="Z434" i="7"/>
  <c r="Z435" i="7"/>
  <c r="Z436" i="7"/>
  <c r="Z437" i="7"/>
  <c r="Z438" i="7"/>
  <c r="Z439" i="7"/>
  <c r="Z440" i="7"/>
  <c r="Z441" i="7"/>
  <c r="Z442" i="7"/>
  <c r="Z443" i="7"/>
  <c r="Z444" i="7"/>
  <c r="Z445" i="7"/>
  <c r="Z446" i="7"/>
  <c r="Z447" i="7"/>
  <c r="Z448" i="7"/>
  <c r="Z449" i="7"/>
  <c r="Z450" i="7"/>
  <c r="Z451" i="7"/>
  <c r="Z452" i="7"/>
  <c r="Z453" i="7"/>
  <c r="Z454" i="7"/>
  <c r="Z455" i="7"/>
  <c r="Z456" i="7"/>
  <c r="Z457" i="7"/>
  <c r="Z458" i="7"/>
  <c r="Z459" i="7"/>
  <c r="Z460" i="7"/>
  <c r="Z461" i="7"/>
  <c r="Z462" i="7"/>
  <c r="Z463" i="7"/>
  <c r="Z464" i="7"/>
  <c r="Z465" i="7"/>
  <c r="Z466" i="7"/>
  <c r="Z467" i="7"/>
  <c r="Z468" i="7"/>
  <c r="Z469" i="7"/>
  <c r="Z470" i="7"/>
  <c r="Z471" i="7"/>
  <c r="Z472" i="7"/>
  <c r="Z473" i="7"/>
  <c r="Z474" i="7"/>
  <c r="Z475" i="7"/>
  <c r="Z476" i="7"/>
  <c r="Z477" i="7"/>
  <c r="Z478" i="7"/>
  <c r="Z479" i="7"/>
  <c r="Z480" i="7"/>
  <c r="Z481" i="7"/>
  <c r="Z482" i="7"/>
  <c r="Z483" i="7"/>
  <c r="Z484" i="7"/>
  <c r="Z485" i="7"/>
  <c r="Z486" i="7"/>
  <c r="Z487" i="7"/>
  <c r="Z488" i="7"/>
  <c r="Z489" i="7"/>
  <c r="Z490" i="7"/>
  <c r="Z491" i="7"/>
  <c r="Z492" i="7"/>
  <c r="Z493" i="7"/>
  <c r="Z494" i="7"/>
  <c r="Z495" i="7"/>
  <c r="Z496" i="7"/>
  <c r="Z497" i="7"/>
  <c r="Z498" i="7"/>
  <c r="Z499" i="7"/>
  <c r="Z500" i="7"/>
  <c r="Z501" i="7"/>
  <c r="Z502" i="7"/>
  <c r="Z503" i="7"/>
  <c r="Z504" i="7"/>
  <c r="Z505" i="7"/>
  <c r="Z506" i="7"/>
  <c r="Z507" i="7"/>
  <c r="Z508" i="7"/>
  <c r="Z509" i="7"/>
  <c r="Z510" i="7"/>
  <c r="Z511" i="7"/>
  <c r="Z512" i="7"/>
  <c r="Z513" i="7"/>
  <c r="Z514" i="7"/>
  <c r="Z515" i="7"/>
  <c r="Z516" i="7"/>
  <c r="Z517" i="7"/>
  <c r="Z518" i="7"/>
  <c r="Z519" i="7"/>
  <c r="Z520" i="7"/>
  <c r="Z521" i="7"/>
  <c r="Z522" i="7"/>
  <c r="Z523" i="7"/>
  <c r="Z524" i="7"/>
  <c r="Z525" i="7"/>
  <c r="Z526" i="7"/>
  <c r="Z527" i="7"/>
  <c r="Z528" i="7"/>
  <c r="Z529" i="7"/>
  <c r="Z530" i="7"/>
  <c r="Z531" i="7"/>
  <c r="Z532" i="7"/>
  <c r="Z533" i="7"/>
  <c r="Z534" i="7"/>
  <c r="Z535" i="7"/>
  <c r="Z536" i="7"/>
  <c r="Z537" i="7"/>
  <c r="Z538" i="7"/>
  <c r="Z539" i="7"/>
  <c r="Z540" i="7"/>
  <c r="Z541" i="7"/>
  <c r="Z542" i="7"/>
  <c r="Z543" i="7"/>
  <c r="Z544" i="7"/>
  <c r="Z545" i="7"/>
  <c r="Z546" i="7"/>
  <c r="Z547" i="7"/>
  <c r="Z548" i="7"/>
  <c r="Z549" i="7"/>
  <c r="Z550" i="7"/>
  <c r="Z551" i="7"/>
  <c r="Z552" i="7"/>
  <c r="Z553" i="7"/>
  <c r="Z554" i="7"/>
  <c r="Z555" i="7"/>
  <c r="Z556" i="7"/>
  <c r="Z557" i="7"/>
  <c r="Z558" i="7"/>
  <c r="Z559" i="7"/>
  <c r="Z560" i="7"/>
  <c r="Z561" i="7"/>
  <c r="Z562" i="7"/>
  <c r="Z563" i="7"/>
  <c r="Z564" i="7"/>
  <c r="Z565" i="7"/>
  <c r="Z566" i="7"/>
  <c r="Z567" i="7"/>
  <c r="Z568" i="7"/>
  <c r="Z569" i="7"/>
  <c r="Z570" i="7"/>
  <c r="Z571" i="7"/>
  <c r="Z572" i="7"/>
  <c r="Z573" i="7"/>
  <c r="Z574" i="7"/>
  <c r="Z575" i="7"/>
  <c r="Z576" i="7"/>
  <c r="Z577" i="7"/>
  <c r="Z578" i="7"/>
  <c r="Z579" i="7"/>
  <c r="Z580" i="7"/>
  <c r="Z581" i="7"/>
  <c r="Z582" i="7"/>
  <c r="Z583" i="7"/>
  <c r="Z584" i="7"/>
  <c r="Z585" i="7"/>
  <c r="Z586" i="7"/>
  <c r="Z587" i="7"/>
  <c r="Z588" i="7"/>
  <c r="Z589" i="7"/>
  <c r="Z590" i="7"/>
  <c r="Z591" i="7"/>
  <c r="Z592" i="7"/>
  <c r="Z593" i="7"/>
  <c r="Z594" i="7"/>
  <c r="Z595" i="7"/>
  <c r="Z596" i="7"/>
  <c r="Z597" i="7"/>
  <c r="Z598" i="7"/>
  <c r="Z599" i="7"/>
  <c r="Z600" i="7"/>
  <c r="Z601" i="7"/>
  <c r="Z602" i="7"/>
  <c r="Z603" i="7"/>
  <c r="Z604" i="7"/>
  <c r="Z605" i="7"/>
  <c r="Z606" i="7"/>
  <c r="Z607" i="7"/>
  <c r="Z608" i="7"/>
  <c r="Z609" i="7"/>
  <c r="Z610" i="7"/>
  <c r="Z611" i="7"/>
  <c r="Z612" i="7"/>
  <c r="Z613" i="7"/>
  <c r="Z614" i="7"/>
  <c r="Z615" i="7"/>
  <c r="Z616" i="7"/>
  <c r="Z617" i="7"/>
  <c r="Z618" i="7"/>
  <c r="Z619" i="7"/>
  <c r="Z620" i="7"/>
  <c r="Z621" i="7"/>
  <c r="Z622" i="7"/>
  <c r="Z623" i="7"/>
  <c r="Z624" i="7"/>
  <c r="Z625" i="7"/>
  <c r="Z626" i="7"/>
  <c r="Z627" i="7"/>
  <c r="Z628" i="7"/>
  <c r="Z629" i="7"/>
  <c r="Z630" i="7"/>
  <c r="Z631" i="7"/>
  <c r="Z632" i="7"/>
  <c r="Z633" i="7"/>
  <c r="Z634" i="7"/>
  <c r="Z635" i="7"/>
  <c r="Z636" i="7"/>
  <c r="Z637" i="7"/>
  <c r="Z638" i="7"/>
  <c r="Z639" i="7"/>
  <c r="Z640" i="7"/>
  <c r="Z641" i="7"/>
  <c r="Z642" i="7"/>
  <c r="Z643" i="7"/>
  <c r="Z644" i="7"/>
  <c r="Z645" i="7"/>
  <c r="Z646" i="7"/>
  <c r="Z647" i="7"/>
  <c r="Z648" i="7"/>
  <c r="Z649" i="7"/>
  <c r="Z650" i="7"/>
  <c r="Z651" i="7"/>
  <c r="Z652" i="7"/>
  <c r="Z653" i="7"/>
  <c r="Z654" i="7"/>
  <c r="Z655" i="7"/>
  <c r="Z656" i="7"/>
  <c r="Z657" i="7"/>
  <c r="Z658" i="7"/>
  <c r="Z659" i="7"/>
  <c r="Z660" i="7"/>
  <c r="Z661" i="7"/>
  <c r="Z662" i="7"/>
  <c r="Z663" i="7"/>
  <c r="Z664" i="7"/>
  <c r="Z665" i="7"/>
  <c r="Z666" i="7"/>
  <c r="Z667" i="7"/>
  <c r="Z668" i="7"/>
  <c r="Z669" i="7"/>
  <c r="Z670" i="7"/>
  <c r="Z671" i="7"/>
  <c r="Z672" i="7"/>
  <c r="Z673" i="7"/>
  <c r="Z674" i="7"/>
  <c r="Z675" i="7"/>
  <c r="Z676" i="7"/>
  <c r="Z677" i="7"/>
  <c r="Z678" i="7"/>
  <c r="Z679" i="7"/>
  <c r="Z680" i="7"/>
  <c r="Z681" i="7"/>
  <c r="Z682" i="7"/>
  <c r="Z683" i="7"/>
  <c r="Z684" i="7"/>
  <c r="Z685" i="7"/>
  <c r="Z686" i="7"/>
  <c r="Z687" i="7"/>
  <c r="Z688" i="7"/>
  <c r="Z689" i="7"/>
  <c r="Z690" i="7"/>
  <c r="Z691" i="7"/>
  <c r="Z692" i="7"/>
  <c r="Z693" i="7"/>
  <c r="Z694" i="7"/>
  <c r="Z695" i="7"/>
  <c r="Z696" i="7"/>
  <c r="Z697" i="7"/>
  <c r="Z698" i="7"/>
  <c r="Z699" i="7"/>
  <c r="Z700" i="7"/>
  <c r="Z701" i="7"/>
  <c r="Z702" i="7"/>
  <c r="Z703" i="7"/>
  <c r="Z704" i="7"/>
  <c r="Z705" i="7"/>
  <c r="Z706" i="7"/>
  <c r="Z707" i="7"/>
  <c r="Z708" i="7"/>
  <c r="Z709" i="7"/>
  <c r="Z710" i="7"/>
  <c r="Z711" i="7"/>
  <c r="Z712" i="7"/>
  <c r="Z713" i="7"/>
  <c r="Z714" i="7"/>
  <c r="Z715" i="7"/>
  <c r="Z716" i="7"/>
  <c r="Z717" i="7"/>
  <c r="Z718" i="7"/>
  <c r="Z719" i="7"/>
  <c r="Z720" i="7"/>
  <c r="Z721" i="7"/>
  <c r="Z722" i="7"/>
  <c r="Z723" i="7"/>
  <c r="Z724" i="7"/>
  <c r="Z725" i="7"/>
  <c r="Z726" i="7"/>
  <c r="Z727" i="7"/>
  <c r="Z728" i="7"/>
  <c r="Z729" i="7"/>
  <c r="Z730" i="7"/>
  <c r="Z731" i="7"/>
  <c r="Z732" i="7"/>
  <c r="Z733" i="7"/>
  <c r="Z734" i="7"/>
  <c r="Z735" i="7"/>
  <c r="Z736" i="7"/>
  <c r="Z737" i="7"/>
  <c r="Z738" i="7"/>
  <c r="Z739" i="7"/>
  <c r="Z740" i="7"/>
  <c r="Z741" i="7"/>
  <c r="Z742" i="7"/>
  <c r="Z743" i="7"/>
  <c r="Z744" i="7"/>
  <c r="Z745" i="7"/>
  <c r="Z746" i="7"/>
  <c r="Z747" i="7"/>
  <c r="Z748" i="7"/>
  <c r="Z749" i="7"/>
  <c r="Z750" i="7"/>
  <c r="Z751" i="7"/>
  <c r="Z752" i="7"/>
  <c r="Z753" i="7"/>
  <c r="Z754" i="7"/>
  <c r="Z755" i="7"/>
  <c r="Z756" i="7"/>
  <c r="Z757" i="7"/>
  <c r="Z758" i="7"/>
  <c r="Z759" i="7"/>
  <c r="Z760" i="7"/>
  <c r="Z761" i="7"/>
  <c r="Z762" i="7"/>
  <c r="Z763" i="7"/>
  <c r="Z764" i="7"/>
  <c r="Z765" i="7"/>
  <c r="Z766" i="7"/>
  <c r="Z767" i="7"/>
  <c r="Z768" i="7"/>
  <c r="Z769" i="7"/>
  <c r="Z770" i="7"/>
  <c r="Z771" i="7"/>
  <c r="Z772" i="7"/>
  <c r="Z773" i="7"/>
  <c r="Z774" i="7"/>
  <c r="Z775" i="7"/>
  <c r="Z776" i="7"/>
  <c r="Z777" i="7"/>
  <c r="Z778" i="7"/>
  <c r="Z779" i="7"/>
  <c r="Z780" i="7"/>
  <c r="Z781" i="7"/>
  <c r="Z782" i="7"/>
  <c r="Z783" i="7"/>
  <c r="Z784" i="7"/>
  <c r="Z785" i="7"/>
  <c r="Z786" i="7"/>
  <c r="Z787" i="7"/>
  <c r="Z788" i="7"/>
  <c r="Z789" i="7"/>
  <c r="Z790" i="7"/>
  <c r="Z791" i="7"/>
  <c r="Z792" i="7"/>
  <c r="Z793" i="7"/>
  <c r="Z794" i="7"/>
  <c r="Z795" i="7"/>
  <c r="Z796" i="7"/>
  <c r="Z797" i="7"/>
  <c r="Z798" i="7"/>
  <c r="Z799" i="7"/>
  <c r="Z800" i="7"/>
  <c r="Z801" i="7"/>
  <c r="Z802" i="7"/>
  <c r="Z803" i="7"/>
  <c r="Z804" i="7"/>
  <c r="Z805" i="7"/>
  <c r="Z806" i="7"/>
  <c r="Z807" i="7"/>
  <c r="Z808" i="7"/>
  <c r="Z809" i="7"/>
  <c r="Z810" i="7"/>
  <c r="Z811" i="7"/>
  <c r="Z812" i="7"/>
  <c r="Z813" i="7"/>
  <c r="Z814" i="7"/>
  <c r="Z815" i="7"/>
  <c r="Z816" i="7"/>
  <c r="Z817" i="7"/>
  <c r="Z818" i="7"/>
  <c r="Z819" i="7"/>
  <c r="Z820" i="7"/>
  <c r="Z821" i="7"/>
  <c r="Z822" i="7"/>
  <c r="Z823" i="7"/>
  <c r="Z824" i="7"/>
  <c r="Z825" i="7"/>
  <c r="Z826" i="7"/>
  <c r="Z827" i="7"/>
  <c r="Z828" i="7"/>
  <c r="Z829" i="7"/>
  <c r="Z830" i="7"/>
  <c r="Z831" i="7"/>
  <c r="Z832" i="7"/>
  <c r="Z833" i="7"/>
  <c r="Z834" i="7"/>
  <c r="Z835" i="7"/>
  <c r="Z836" i="7"/>
  <c r="Z837" i="7"/>
  <c r="Z838" i="7"/>
  <c r="Z839" i="7"/>
  <c r="Z840" i="7"/>
  <c r="Z841" i="7"/>
  <c r="Z842" i="7"/>
  <c r="Z843" i="7"/>
  <c r="Z844" i="7"/>
  <c r="Z845" i="7"/>
  <c r="Z846" i="7"/>
  <c r="Z847" i="7"/>
  <c r="Z848" i="7"/>
  <c r="Z849" i="7"/>
  <c r="Z850" i="7"/>
  <c r="Z851" i="7"/>
  <c r="Z852" i="7"/>
  <c r="Z853" i="7"/>
  <c r="Z854" i="7"/>
  <c r="Z855" i="7"/>
  <c r="Z856" i="7"/>
  <c r="Z857" i="7"/>
  <c r="Z858" i="7"/>
  <c r="Z859" i="7"/>
  <c r="Z860" i="7"/>
  <c r="Z861" i="7"/>
  <c r="Z862" i="7"/>
  <c r="Z863" i="7"/>
  <c r="Z864" i="7"/>
  <c r="Z865" i="7"/>
  <c r="Z866" i="7"/>
  <c r="Z867" i="7"/>
  <c r="Z868" i="7"/>
  <c r="Z869" i="7"/>
  <c r="Z870" i="7"/>
  <c r="Z871" i="7"/>
  <c r="Z872" i="7"/>
  <c r="Z873" i="7"/>
  <c r="Z874" i="7"/>
  <c r="Z875" i="7"/>
  <c r="Z876" i="7"/>
  <c r="Z877" i="7"/>
  <c r="Z878" i="7"/>
  <c r="Z879" i="7"/>
  <c r="Z880" i="7"/>
  <c r="Z881" i="7"/>
  <c r="Z882" i="7"/>
  <c r="Z883" i="7"/>
  <c r="Z884" i="7"/>
  <c r="Z885" i="7"/>
  <c r="Z886" i="7"/>
  <c r="Z887" i="7"/>
  <c r="Z888" i="7"/>
  <c r="Z889" i="7"/>
  <c r="Z890" i="7"/>
  <c r="Z891" i="7"/>
  <c r="Z892" i="7"/>
  <c r="Z893" i="7"/>
  <c r="Z894" i="7"/>
  <c r="Z895" i="7"/>
  <c r="Z896" i="7"/>
  <c r="Z897" i="7"/>
  <c r="Z898" i="7"/>
  <c r="Z899" i="7"/>
  <c r="Z900" i="7"/>
  <c r="Z901" i="7"/>
  <c r="Z902" i="7"/>
  <c r="Z903" i="7"/>
  <c r="Z904" i="7"/>
  <c r="Z905" i="7"/>
  <c r="Z906" i="7"/>
  <c r="Z907" i="7"/>
  <c r="Z908" i="7"/>
  <c r="Z909" i="7"/>
  <c r="Z910" i="7"/>
  <c r="Z911" i="7"/>
  <c r="Z912" i="7"/>
  <c r="Z913" i="7"/>
  <c r="Z914" i="7"/>
  <c r="Z915" i="7"/>
  <c r="Z916" i="7"/>
  <c r="Z917" i="7"/>
  <c r="Z918" i="7"/>
  <c r="Z919" i="7"/>
  <c r="Z920" i="7"/>
  <c r="Z921" i="7"/>
  <c r="Z922" i="7"/>
  <c r="Z923" i="7"/>
  <c r="Z924" i="7"/>
  <c r="Z925" i="7"/>
  <c r="Z926" i="7"/>
  <c r="Z927" i="7"/>
  <c r="Z928" i="7"/>
  <c r="Z929" i="7"/>
  <c r="Z930" i="7"/>
  <c r="Z931" i="7"/>
  <c r="Z932" i="7"/>
  <c r="Z933" i="7"/>
  <c r="Z934" i="7"/>
  <c r="Z935" i="7"/>
  <c r="Z936" i="7"/>
  <c r="Z937" i="7"/>
  <c r="Z938" i="7"/>
  <c r="Z939" i="7"/>
  <c r="Z940" i="7"/>
  <c r="Z941" i="7"/>
  <c r="Z942" i="7"/>
  <c r="Z943" i="7"/>
  <c r="Z944" i="7"/>
  <c r="Z945" i="7"/>
  <c r="Z946" i="7"/>
  <c r="Z947" i="7"/>
  <c r="Z948" i="7"/>
  <c r="Z949" i="7"/>
  <c r="Z950" i="7"/>
  <c r="Z951" i="7"/>
  <c r="Z952" i="7"/>
  <c r="Z953" i="7"/>
  <c r="Z954" i="7"/>
  <c r="Z955" i="7"/>
  <c r="Z956" i="7"/>
  <c r="Z957" i="7"/>
  <c r="Z958" i="7"/>
  <c r="Z959" i="7"/>
  <c r="Z960" i="7"/>
  <c r="Z961" i="7"/>
  <c r="Z962" i="7"/>
  <c r="Z963" i="7"/>
  <c r="Z964" i="7"/>
  <c r="Z965" i="7"/>
  <c r="Z966" i="7"/>
  <c r="Z967" i="7"/>
  <c r="Z968" i="7"/>
  <c r="Z969" i="7"/>
  <c r="Z970" i="7"/>
  <c r="Z971" i="7"/>
  <c r="Z972" i="7"/>
  <c r="Z973" i="7"/>
  <c r="Z974" i="7"/>
  <c r="Z975" i="7"/>
  <c r="Z976" i="7"/>
  <c r="Z977" i="7"/>
  <c r="Z978" i="7"/>
  <c r="Z979" i="7"/>
  <c r="Z980" i="7"/>
  <c r="Z981" i="7"/>
  <c r="Z982" i="7"/>
  <c r="Z983" i="7"/>
  <c r="Z984" i="7"/>
  <c r="Z985" i="7"/>
  <c r="Z986" i="7"/>
  <c r="Z987" i="7"/>
  <c r="Z988" i="7"/>
  <c r="Z989" i="7"/>
  <c r="Z990" i="7"/>
  <c r="Z991" i="7"/>
  <c r="Z992" i="7"/>
  <c r="Z993" i="7"/>
  <c r="Z994" i="7"/>
  <c r="Z995" i="7"/>
  <c r="Z996" i="7"/>
  <c r="Z997" i="7"/>
  <c r="Z998" i="7"/>
  <c r="Z999" i="7"/>
  <c r="Z1000" i="7"/>
  <c r="Z1001" i="7"/>
  <c r="Z1002" i="7"/>
  <c r="Z1003" i="7"/>
  <c r="Z1004" i="7"/>
  <c r="Z1005" i="7"/>
  <c r="Z1006" i="7"/>
  <c r="Z1007" i="7"/>
  <c r="Z1008" i="7"/>
  <c r="Z1009" i="7"/>
  <c r="Z1010" i="7"/>
  <c r="Z1011" i="7"/>
  <c r="Z1012" i="7"/>
  <c r="Z1013" i="7"/>
  <c r="Z1014" i="7"/>
  <c r="Z1015" i="7"/>
  <c r="Z1016" i="7"/>
  <c r="Z1017" i="7"/>
  <c r="Z1018" i="7"/>
  <c r="Z1019" i="7"/>
  <c r="Z1020" i="7"/>
  <c r="Z1021" i="7"/>
  <c r="Z1022" i="7"/>
  <c r="Z1023" i="7"/>
  <c r="Z1024" i="7"/>
  <c r="Z1025" i="7"/>
  <c r="Z1026" i="7"/>
  <c r="Z1027" i="7"/>
  <c r="Z1028" i="7"/>
  <c r="Z1029" i="7"/>
  <c r="Z1030" i="7"/>
  <c r="Z1031" i="7"/>
  <c r="Z1032" i="7"/>
  <c r="Z1033" i="7"/>
  <c r="Z1034" i="7"/>
  <c r="Z1035" i="7"/>
  <c r="Z1036" i="7"/>
  <c r="Z1037" i="7"/>
  <c r="Z1038" i="7"/>
  <c r="Z1039" i="7"/>
  <c r="Z1040" i="7"/>
  <c r="Z1041" i="7"/>
  <c r="Z1042" i="7"/>
  <c r="Z1043" i="7"/>
  <c r="Z1044" i="7"/>
  <c r="Z1045" i="7"/>
  <c r="Z1046" i="7"/>
  <c r="Z1047" i="7"/>
  <c r="Z1048" i="7"/>
  <c r="Z1049" i="7"/>
  <c r="Z1050" i="7"/>
  <c r="Z1051" i="7"/>
  <c r="Z1052" i="7"/>
  <c r="Z1053" i="7"/>
  <c r="Z1054" i="7"/>
  <c r="Z1055" i="7"/>
  <c r="Z1056" i="7"/>
  <c r="Z1057" i="7"/>
  <c r="Z1058" i="7"/>
  <c r="Z1059" i="7"/>
  <c r="Z1060" i="7"/>
  <c r="Z1061" i="7"/>
  <c r="Z1062" i="7"/>
  <c r="Z1063" i="7"/>
  <c r="Z1064" i="7"/>
  <c r="Z1065" i="7"/>
  <c r="Z1066" i="7"/>
  <c r="Z1067" i="7"/>
  <c r="Z1068" i="7"/>
  <c r="Z1069" i="7"/>
  <c r="Z1070" i="7"/>
  <c r="Z1071" i="7"/>
  <c r="Z1072" i="7"/>
  <c r="Z1073" i="7"/>
  <c r="Z1074" i="7"/>
  <c r="Z1075" i="7"/>
  <c r="Z1076" i="7"/>
  <c r="Z1077" i="7"/>
  <c r="Z1078" i="7"/>
  <c r="Z1079" i="7"/>
  <c r="Z1080" i="7"/>
  <c r="Z1081" i="7"/>
  <c r="Z1082" i="7"/>
  <c r="Z1083" i="7"/>
  <c r="Z1084" i="7"/>
  <c r="Z1085" i="7"/>
  <c r="Z1086" i="7"/>
  <c r="Z1087" i="7"/>
  <c r="Z1088" i="7"/>
  <c r="Z1089" i="7"/>
  <c r="Z1090" i="7"/>
  <c r="Z1091" i="7"/>
  <c r="Z1092" i="7"/>
  <c r="Z1093" i="7"/>
  <c r="Z1094" i="7"/>
  <c r="Z1095" i="7"/>
  <c r="Z1096" i="7"/>
  <c r="Z1097" i="7"/>
  <c r="Z1098" i="7"/>
  <c r="Z1099" i="7"/>
  <c r="Z1100" i="7"/>
  <c r="Z1101" i="7"/>
  <c r="Z1102" i="7"/>
  <c r="Z1103" i="7"/>
  <c r="Z1104" i="7"/>
  <c r="Z1105" i="7"/>
  <c r="Z1106" i="7"/>
  <c r="Z1107" i="7"/>
  <c r="Z1108" i="7"/>
  <c r="Z1109" i="7"/>
  <c r="Z1110" i="7"/>
  <c r="Z1111" i="7"/>
  <c r="Z1112" i="7"/>
  <c r="Z1113" i="7"/>
  <c r="Z1114" i="7"/>
  <c r="Z1115" i="7"/>
  <c r="Z1116" i="7"/>
  <c r="Z1117" i="7"/>
  <c r="Z1118" i="7"/>
  <c r="Z1119" i="7"/>
  <c r="Z1120" i="7"/>
  <c r="Z1121" i="7"/>
  <c r="Z1122" i="7"/>
  <c r="Z1123" i="7"/>
  <c r="Z1124" i="7"/>
  <c r="Z1125" i="7"/>
  <c r="Z1126" i="7"/>
  <c r="Z1127" i="7"/>
  <c r="Z1128" i="7"/>
  <c r="Z1129" i="7"/>
  <c r="Z1130" i="7"/>
  <c r="Z1131" i="7"/>
  <c r="Z1132" i="7"/>
  <c r="Z1133" i="7"/>
  <c r="Z1134" i="7"/>
  <c r="Z1135" i="7"/>
  <c r="Z1136" i="7"/>
  <c r="Z1137" i="7"/>
  <c r="Z1138" i="7"/>
  <c r="Z1139" i="7"/>
  <c r="Z1140" i="7"/>
  <c r="Z1141" i="7"/>
  <c r="Z1142" i="7"/>
  <c r="Z1143" i="7"/>
  <c r="Z1144" i="7"/>
  <c r="Z1145" i="7"/>
  <c r="Z1146" i="7"/>
  <c r="Z1147" i="7"/>
  <c r="Z1148" i="7"/>
  <c r="Z1149" i="7"/>
  <c r="Z1150" i="7"/>
  <c r="Z1151" i="7"/>
  <c r="Z1152" i="7"/>
  <c r="Z1153" i="7"/>
  <c r="Z1154" i="7"/>
  <c r="Z1155" i="7"/>
  <c r="Z1156" i="7"/>
  <c r="Z1157" i="7"/>
  <c r="Z1158" i="7"/>
  <c r="Z1159" i="7"/>
  <c r="Z1160" i="7"/>
  <c r="Z1161" i="7"/>
  <c r="Z1162" i="7"/>
  <c r="Z1163" i="7"/>
  <c r="Z1164" i="7"/>
  <c r="Z1165" i="7"/>
  <c r="Z1166" i="7"/>
  <c r="Z1167" i="7"/>
  <c r="Z1168" i="7"/>
  <c r="Z1169" i="7"/>
  <c r="Z1170" i="7"/>
  <c r="Z1171" i="7"/>
  <c r="Z1172" i="7"/>
  <c r="Z1173" i="7"/>
  <c r="Z1174" i="7"/>
  <c r="Z1175" i="7"/>
  <c r="Z1176" i="7"/>
  <c r="Z1177" i="7"/>
  <c r="Z1178" i="7"/>
  <c r="Z1179" i="7"/>
  <c r="Z1180" i="7"/>
  <c r="Z1181" i="7"/>
  <c r="Z1182" i="7"/>
  <c r="Z1183" i="7"/>
  <c r="Z1184" i="7"/>
  <c r="Z1185" i="7"/>
  <c r="Z1186" i="7"/>
  <c r="Z1187" i="7"/>
  <c r="Z1188" i="7"/>
  <c r="Z1189" i="7"/>
  <c r="Z1190" i="7"/>
  <c r="Z1191" i="7"/>
  <c r="Z1192" i="7"/>
  <c r="Z1193" i="7"/>
  <c r="Z1194" i="7"/>
  <c r="Z1195" i="7"/>
  <c r="Z1196" i="7"/>
  <c r="Z1197" i="7"/>
  <c r="Z1198" i="7"/>
  <c r="Z1199" i="7"/>
  <c r="Z1200" i="7"/>
  <c r="Z1201" i="7"/>
  <c r="Z1202" i="7"/>
  <c r="Z1203" i="7"/>
  <c r="Z1204" i="7"/>
  <c r="Z1205" i="7"/>
  <c r="Z1206" i="7"/>
  <c r="Z1207" i="7"/>
  <c r="Z1208" i="7"/>
  <c r="Z1209" i="7"/>
  <c r="Z1210" i="7"/>
  <c r="Z1211" i="7"/>
  <c r="Z1212" i="7"/>
  <c r="Z1213" i="7"/>
  <c r="Z1214" i="7"/>
  <c r="Z1215" i="7"/>
  <c r="Z1216" i="7"/>
  <c r="Z1217" i="7"/>
  <c r="Z1218" i="7"/>
  <c r="Z1219" i="7"/>
  <c r="Z1220" i="7"/>
  <c r="Z1221" i="7"/>
  <c r="Z1222" i="7"/>
  <c r="Z1223" i="7"/>
  <c r="Z1224" i="7"/>
  <c r="Z1225" i="7"/>
  <c r="Z1226" i="7"/>
  <c r="Z1227" i="7"/>
  <c r="Z1228" i="7"/>
  <c r="Z1229" i="7"/>
  <c r="Z1230" i="7"/>
  <c r="Z1231" i="7"/>
  <c r="Z1232" i="7"/>
  <c r="Z1233" i="7"/>
  <c r="Z1234" i="7"/>
  <c r="Z1235" i="7"/>
  <c r="Z1236" i="7"/>
  <c r="Z1237" i="7"/>
  <c r="Z1238" i="7"/>
  <c r="Z1239" i="7"/>
  <c r="Z1240" i="7"/>
  <c r="Z1241" i="7"/>
  <c r="Z1242" i="7"/>
  <c r="Z1243" i="7"/>
  <c r="Z1244" i="7"/>
  <c r="Z1245" i="7"/>
  <c r="Z1246" i="7"/>
  <c r="Z1247" i="7"/>
  <c r="Z1248" i="7"/>
  <c r="Z1249" i="7"/>
  <c r="Z1250" i="7"/>
  <c r="Z1251" i="7"/>
  <c r="Z1252" i="7"/>
  <c r="Z1253" i="7"/>
  <c r="Z1254" i="7"/>
  <c r="Z1255" i="7"/>
  <c r="Z1256" i="7"/>
  <c r="Z1257" i="7"/>
  <c r="Z1258" i="7"/>
  <c r="Z1259" i="7"/>
  <c r="Z1260" i="7"/>
  <c r="Z1261" i="7"/>
  <c r="Z1262" i="7"/>
  <c r="Z1263" i="7"/>
  <c r="Z1264" i="7"/>
  <c r="Z1265" i="7"/>
  <c r="Z1266" i="7"/>
  <c r="Z1267" i="7"/>
  <c r="Z1268" i="7"/>
  <c r="Z1269" i="7"/>
  <c r="Z1270" i="7"/>
  <c r="V1275" i="7"/>
  <c r="U62" i="7"/>
  <c r="U22" i="7"/>
  <c r="U23" i="7"/>
  <c r="U24" i="7"/>
  <c r="U25" i="7"/>
  <c r="U26" i="7"/>
  <c r="U27" i="7"/>
  <c r="U28" i="7"/>
  <c r="U29" i="7"/>
  <c r="U30" i="7"/>
  <c r="U31" i="7"/>
  <c r="U32" i="7"/>
  <c r="U33" i="7"/>
  <c r="U34" i="7"/>
  <c r="U35" i="7"/>
  <c r="U36" i="7"/>
  <c r="U37" i="7"/>
  <c r="U38" i="7"/>
  <c r="U39" i="7"/>
  <c r="U40" i="7"/>
  <c r="U41" i="7"/>
  <c r="U42" i="7"/>
  <c r="U43" i="7"/>
  <c r="U44" i="7"/>
  <c r="U45" i="7"/>
  <c r="U46" i="7"/>
  <c r="U47" i="7"/>
  <c r="U48" i="7"/>
  <c r="U49" i="7"/>
  <c r="U50" i="7"/>
  <c r="U51" i="7"/>
  <c r="U52" i="7"/>
  <c r="U53" i="7"/>
  <c r="U54" i="7"/>
  <c r="U55" i="7"/>
  <c r="U56" i="7"/>
  <c r="U57" i="7"/>
  <c r="U58" i="7"/>
  <c r="U59" i="7"/>
  <c r="U60" i="7"/>
  <c r="U61" i="7"/>
  <c r="U63" i="7"/>
  <c r="U64" i="7"/>
  <c r="U65" i="7"/>
  <c r="U66" i="7"/>
  <c r="U67" i="7"/>
  <c r="U68" i="7"/>
  <c r="U69" i="7"/>
  <c r="U70" i="7"/>
  <c r="U71" i="7"/>
  <c r="U72" i="7"/>
  <c r="U73" i="7"/>
  <c r="U74" i="7"/>
  <c r="U75" i="7"/>
  <c r="U76" i="7"/>
  <c r="U77" i="7"/>
  <c r="U78" i="7"/>
  <c r="U79" i="7"/>
  <c r="U80" i="7"/>
  <c r="U81" i="7"/>
  <c r="U82" i="7"/>
  <c r="U83" i="7"/>
  <c r="U84" i="7"/>
  <c r="U85" i="7"/>
  <c r="U86" i="7"/>
  <c r="U87" i="7"/>
  <c r="U88" i="7"/>
  <c r="U89" i="7"/>
  <c r="U90" i="7"/>
  <c r="U91" i="7"/>
  <c r="U92" i="7"/>
  <c r="U93" i="7"/>
  <c r="U94" i="7"/>
  <c r="U95" i="7"/>
  <c r="U96" i="7"/>
  <c r="U97" i="7"/>
  <c r="U98" i="7"/>
  <c r="U99" i="7"/>
  <c r="U100" i="7"/>
  <c r="U101" i="7"/>
  <c r="U102" i="7"/>
  <c r="U103" i="7"/>
  <c r="U104" i="7"/>
  <c r="U105" i="7"/>
  <c r="U106" i="7"/>
  <c r="U107" i="7"/>
  <c r="U108" i="7"/>
  <c r="U109" i="7"/>
  <c r="U110" i="7"/>
  <c r="U111" i="7"/>
  <c r="U112" i="7"/>
  <c r="U113" i="7"/>
  <c r="U114" i="7"/>
  <c r="U115" i="7"/>
  <c r="U116" i="7"/>
  <c r="U117" i="7"/>
  <c r="U118" i="7"/>
  <c r="U119" i="7"/>
  <c r="U120" i="7"/>
  <c r="U121" i="7"/>
  <c r="U122" i="7"/>
  <c r="U123" i="7"/>
  <c r="U124" i="7"/>
  <c r="U125" i="7"/>
  <c r="U126" i="7"/>
  <c r="U127" i="7"/>
  <c r="U128" i="7"/>
  <c r="U129" i="7"/>
  <c r="U130" i="7"/>
  <c r="U131" i="7"/>
  <c r="U132" i="7"/>
  <c r="U133" i="7"/>
  <c r="U134" i="7"/>
  <c r="U135" i="7"/>
  <c r="U136" i="7"/>
  <c r="U137" i="7"/>
  <c r="U138" i="7"/>
  <c r="U139" i="7"/>
  <c r="U140" i="7"/>
  <c r="U141" i="7"/>
  <c r="U142" i="7"/>
  <c r="U143" i="7"/>
  <c r="U144" i="7"/>
  <c r="U145" i="7"/>
  <c r="U146" i="7"/>
  <c r="U147" i="7"/>
  <c r="U148" i="7"/>
  <c r="U149" i="7"/>
  <c r="U150" i="7"/>
  <c r="U151" i="7"/>
  <c r="U152" i="7"/>
  <c r="U153" i="7"/>
  <c r="U154" i="7"/>
  <c r="U155" i="7"/>
  <c r="U156" i="7"/>
  <c r="U157" i="7"/>
  <c r="U158" i="7"/>
  <c r="U159" i="7"/>
  <c r="U160" i="7"/>
  <c r="U161" i="7"/>
  <c r="U162" i="7"/>
  <c r="U163" i="7"/>
  <c r="U164" i="7"/>
  <c r="U165" i="7"/>
  <c r="U166" i="7"/>
  <c r="U167" i="7"/>
  <c r="U168" i="7"/>
  <c r="U169" i="7"/>
  <c r="U170" i="7"/>
  <c r="U171" i="7"/>
  <c r="U172" i="7"/>
  <c r="U173" i="7"/>
  <c r="U174" i="7"/>
  <c r="U175" i="7"/>
  <c r="U176" i="7"/>
  <c r="U177" i="7"/>
  <c r="U178" i="7"/>
  <c r="U179" i="7"/>
  <c r="U180" i="7"/>
  <c r="U181" i="7"/>
  <c r="U182" i="7"/>
  <c r="U183" i="7"/>
  <c r="U184" i="7"/>
  <c r="U185" i="7"/>
  <c r="U186" i="7"/>
  <c r="U187" i="7"/>
  <c r="U188" i="7"/>
  <c r="U189" i="7"/>
  <c r="U190" i="7"/>
  <c r="U191" i="7"/>
  <c r="U192" i="7"/>
  <c r="U193" i="7"/>
  <c r="U194" i="7"/>
  <c r="U195" i="7"/>
  <c r="U196" i="7"/>
  <c r="U197" i="7"/>
  <c r="U198" i="7"/>
  <c r="U199" i="7"/>
  <c r="U200" i="7"/>
  <c r="U201" i="7"/>
  <c r="U202" i="7"/>
  <c r="U203" i="7"/>
  <c r="U204" i="7"/>
  <c r="U205" i="7"/>
  <c r="U206" i="7"/>
  <c r="U207" i="7"/>
  <c r="U208" i="7"/>
  <c r="U209" i="7"/>
  <c r="U210" i="7"/>
  <c r="U211" i="7"/>
  <c r="U212" i="7"/>
  <c r="U213" i="7"/>
  <c r="U214" i="7"/>
  <c r="U215" i="7"/>
  <c r="U216" i="7"/>
  <c r="U217" i="7"/>
  <c r="U218" i="7"/>
  <c r="U219" i="7"/>
  <c r="U220" i="7"/>
  <c r="U221" i="7"/>
  <c r="U222" i="7"/>
  <c r="U223" i="7"/>
  <c r="U224" i="7"/>
  <c r="U225" i="7"/>
  <c r="U226" i="7"/>
  <c r="U227" i="7"/>
  <c r="U228" i="7"/>
  <c r="U229" i="7"/>
  <c r="U230" i="7"/>
  <c r="U231" i="7"/>
  <c r="U232" i="7"/>
  <c r="U233" i="7"/>
  <c r="U234" i="7"/>
  <c r="U235" i="7"/>
  <c r="U236" i="7"/>
  <c r="U237" i="7"/>
  <c r="U238" i="7"/>
  <c r="U239" i="7"/>
  <c r="U240" i="7"/>
  <c r="U241" i="7"/>
  <c r="U242" i="7"/>
  <c r="U243" i="7"/>
  <c r="U244" i="7"/>
  <c r="U245" i="7"/>
  <c r="U246" i="7"/>
  <c r="U247" i="7"/>
  <c r="U248" i="7"/>
  <c r="U249" i="7"/>
  <c r="U250" i="7"/>
  <c r="U251" i="7"/>
  <c r="U252" i="7"/>
  <c r="U253" i="7"/>
  <c r="U254" i="7"/>
  <c r="U255" i="7"/>
  <c r="U256" i="7"/>
  <c r="U257" i="7"/>
  <c r="U258" i="7"/>
  <c r="U259" i="7"/>
  <c r="U260" i="7"/>
  <c r="U261" i="7"/>
  <c r="U262" i="7"/>
  <c r="U263" i="7"/>
  <c r="U264" i="7"/>
  <c r="U265" i="7"/>
  <c r="U266" i="7"/>
  <c r="U267" i="7"/>
  <c r="U268" i="7"/>
  <c r="U269" i="7"/>
  <c r="U270" i="7"/>
  <c r="U271" i="7"/>
  <c r="U272" i="7"/>
  <c r="U273" i="7"/>
  <c r="U274" i="7"/>
  <c r="U275" i="7"/>
  <c r="U276" i="7"/>
  <c r="U277" i="7"/>
  <c r="U278" i="7"/>
  <c r="U279" i="7"/>
  <c r="U280" i="7"/>
  <c r="U281" i="7"/>
  <c r="U282" i="7"/>
  <c r="U283" i="7"/>
  <c r="U284" i="7"/>
  <c r="U285" i="7"/>
  <c r="U286" i="7"/>
  <c r="U287" i="7"/>
  <c r="U288" i="7"/>
  <c r="U289" i="7"/>
  <c r="U290" i="7"/>
  <c r="U291" i="7"/>
  <c r="U292" i="7"/>
  <c r="U293" i="7"/>
  <c r="U294" i="7"/>
  <c r="U295" i="7"/>
  <c r="U296" i="7"/>
  <c r="U297" i="7"/>
  <c r="U298" i="7"/>
  <c r="U299" i="7"/>
  <c r="U300" i="7"/>
  <c r="U301" i="7"/>
  <c r="U302" i="7"/>
  <c r="U303" i="7"/>
  <c r="U304" i="7"/>
  <c r="U305" i="7"/>
  <c r="U306" i="7"/>
  <c r="U307" i="7"/>
  <c r="U308" i="7"/>
  <c r="U309" i="7"/>
  <c r="U310" i="7"/>
  <c r="U311" i="7"/>
  <c r="U312" i="7"/>
  <c r="U313" i="7"/>
  <c r="U314" i="7"/>
  <c r="U315" i="7"/>
  <c r="U316" i="7"/>
  <c r="U317" i="7"/>
  <c r="U318" i="7"/>
  <c r="U319" i="7"/>
  <c r="U320" i="7"/>
  <c r="U321" i="7"/>
  <c r="U322" i="7"/>
  <c r="U323" i="7"/>
  <c r="U324" i="7"/>
  <c r="U325" i="7"/>
  <c r="U326" i="7"/>
  <c r="U327" i="7"/>
  <c r="U328" i="7"/>
  <c r="U329" i="7"/>
  <c r="U330" i="7"/>
  <c r="U331" i="7"/>
  <c r="U332" i="7"/>
  <c r="U333" i="7"/>
  <c r="U334" i="7"/>
  <c r="U335" i="7"/>
  <c r="U336" i="7"/>
  <c r="U337" i="7"/>
  <c r="U338" i="7"/>
  <c r="U339" i="7"/>
  <c r="U340" i="7"/>
  <c r="U341" i="7"/>
  <c r="U342" i="7"/>
  <c r="U343" i="7"/>
  <c r="U344" i="7"/>
  <c r="U345" i="7"/>
  <c r="U346" i="7"/>
  <c r="U347" i="7"/>
  <c r="U348" i="7"/>
  <c r="U349" i="7"/>
  <c r="U350" i="7"/>
  <c r="U351" i="7"/>
  <c r="U352" i="7"/>
  <c r="U353" i="7"/>
  <c r="U354" i="7"/>
  <c r="U355" i="7"/>
  <c r="U356" i="7"/>
  <c r="U357" i="7"/>
  <c r="U358" i="7"/>
  <c r="U359" i="7"/>
  <c r="U360" i="7"/>
  <c r="U361" i="7"/>
  <c r="U362" i="7"/>
  <c r="U363" i="7"/>
  <c r="U364" i="7"/>
  <c r="U365" i="7"/>
  <c r="U366" i="7"/>
  <c r="U367" i="7"/>
  <c r="U368" i="7"/>
  <c r="U369" i="7"/>
  <c r="U370" i="7"/>
  <c r="U371" i="7"/>
  <c r="U372" i="7"/>
  <c r="U373" i="7"/>
  <c r="U374" i="7"/>
  <c r="U375" i="7"/>
  <c r="U376" i="7"/>
  <c r="U377" i="7"/>
  <c r="U378" i="7"/>
  <c r="U379" i="7"/>
  <c r="U380" i="7"/>
  <c r="U381" i="7"/>
  <c r="U382" i="7"/>
  <c r="U383" i="7"/>
  <c r="U384" i="7"/>
  <c r="U385" i="7"/>
  <c r="U386" i="7"/>
  <c r="U387" i="7"/>
  <c r="U388" i="7"/>
  <c r="U389" i="7"/>
  <c r="U390" i="7"/>
  <c r="U391" i="7"/>
  <c r="U392" i="7"/>
  <c r="U393" i="7"/>
  <c r="U394" i="7"/>
  <c r="U395" i="7"/>
  <c r="U396" i="7"/>
  <c r="U397" i="7"/>
  <c r="U398" i="7"/>
  <c r="U399" i="7"/>
  <c r="U400" i="7"/>
  <c r="U401" i="7"/>
  <c r="U402" i="7"/>
  <c r="U403" i="7"/>
  <c r="U404" i="7"/>
  <c r="U405" i="7"/>
  <c r="U406" i="7"/>
  <c r="U407" i="7"/>
  <c r="U408" i="7"/>
  <c r="U409" i="7"/>
  <c r="U410" i="7"/>
  <c r="U411" i="7"/>
  <c r="U412" i="7"/>
  <c r="U413" i="7"/>
  <c r="U414" i="7"/>
  <c r="U415" i="7"/>
  <c r="U416" i="7"/>
  <c r="U417" i="7"/>
  <c r="U418" i="7"/>
  <c r="U419" i="7"/>
  <c r="U420" i="7"/>
  <c r="U421" i="7"/>
  <c r="U422" i="7"/>
  <c r="U423" i="7"/>
  <c r="U424" i="7"/>
  <c r="U425" i="7"/>
  <c r="U426" i="7"/>
  <c r="U427" i="7"/>
  <c r="U428" i="7"/>
  <c r="U429" i="7"/>
  <c r="U430" i="7"/>
  <c r="U431" i="7"/>
  <c r="U432" i="7"/>
  <c r="U433" i="7"/>
  <c r="U434" i="7"/>
  <c r="U435" i="7"/>
  <c r="U436" i="7"/>
  <c r="U437" i="7"/>
  <c r="U438" i="7"/>
  <c r="U439" i="7"/>
  <c r="U440" i="7"/>
  <c r="U441" i="7"/>
  <c r="U442" i="7"/>
  <c r="U443" i="7"/>
  <c r="U444" i="7"/>
  <c r="U445" i="7"/>
  <c r="U446" i="7"/>
  <c r="U447" i="7"/>
  <c r="U448" i="7"/>
  <c r="U449" i="7"/>
  <c r="U450" i="7"/>
  <c r="U451" i="7"/>
  <c r="U452" i="7"/>
  <c r="U453" i="7"/>
  <c r="U454" i="7"/>
  <c r="U455" i="7"/>
  <c r="U456" i="7"/>
  <c r="U457" i="7"/>
  <c r="U458" i="7"/>
  <c r="U459" i="7"/>
  <c r="U460" i="7"/>
  <c r="U461" i="7"/>
  <c r="U462" i="7"/>
  <c r="U463" i="7"/>
  <c r="U464" i="7"/>
  <c r="U465" i="7"/>
  <c r="U466" i="7"/>
  <c r="U467" i="7"/>
  <c r="U468" i="7"/>
  <c r="U469" i="7"/>
  <c r="U470" i="7"/>
  <c r="U471" i="7"/>
  <c r="U472" i="7"/>
  <c r="U473" i="7"/>
  <c r="U474" i="7"/>
  <c r="U475" i="7"/>
  <c r="U476" i="7"/>
  <c r="U477" i="7"/>
  <c r="U478" i="7"/>
  <c r="U479" i="7"/>
  <c r="U480" i="7"/>
  <c r="U481" i="7"/>
  <c r="U482" i="7"/>
  <c r="U483" i="7"/>
  <c r="U484" i="7"/>
  <c r="U485" i="7"/>
  <c r="U486" i="7"/>
  <c r="U487" i="7"/>
  <c r="U488" i="7"/>
  <c r="U489" i="7"/>
  <c r="U490" i="7"/>
  <c r="U491" i="7"/>
  <c r="U492" i="7"/>
  <c r="U493" i="7"/>
  <c r="U494" i="7"/>
  <c r="U495" i="7"/>
  <c r="U496" i="7"/>
  <c r="U497" i="7"/>
  <c r="U498" i="7"/>
  <c r="U499" i="7"/>
  <c r="U500" i="7"/>
  <c r="U501" i="7"/>
  <c r="U502" i="7"/>
  <c r="U503" i="7"/>
  <c r="U504" i="7"/>
  <c r="U505" i="7"/>
  <c r="U506" i="7"/>
  <c r="U507" i="7"/>
  <c r="U508" i="7"/>
  <c r="U509" i="7"/>
  <c r="U510" i="7"/>
  <c r="U511" i="7"/>
  <c r="U512" i="7"/>
  <c r="U513" i="7"/>
  <c r="U514" i="7"/>
  <c r="U515" i="7"/>
  <c r="U516" i="7"/>
  <c r="U517" i="7"/>
  <c r="U518" i="7"/>
  <c r="U519" i="7"/>
  <c r="U520" i="7"/>
  <c r="U521" i="7"/>
  <c r="U522" i="7"/>
  <c r="U523" i="7"/>
  <c r="U524" i="7"/>
  <c r="U525" i="7"/>
  <c r="U526" i="7"/>
  <c r="U527" i="7"/>
  <c r="U528" i="7"/>
  <c r="U529" i="7"/>
  <c r="U530" i="7"/>
  <c r="U531" i="7"/>
  <c r="U532" i="7"/>
  <c r="U533" i="7"/>
  <c r="U534" i="7"/>
  <c r="U535" i="7"/>
  <c r="U536" i="7"/>
  <c r="U537" i="7"/>
  <c r="U538" i="7"/>
  <c r="U539" i="7"/>
  <c r="U540" i="7"/>
  <c r="U541" i="7"/>
  <c r="U542" i="7"/>
  <c r="U543" i="7"/>
  <c r="U544" i="7"/>
  <c r="U545" i="7"/>
  <c r="U546" i="7"/>
  <c r="U547" i="7"/>
  <c r="U548" i="7"/>
  <c r="U549" i="7"/>
  <c r="U550" i="7"/>
  <c r="U551" i="7"/>
  <c r="U552" i="7"/>
  <c r="U553" i="7"/>
  <c r="U554" i="7"/>
  <c r="U555" i="7"/>
  <c r="U556" i="7"/>
  <c r="U557" i="7"/>
  <c r="U558" i="7"/>
  <c r="U559" i="7"/>
  <c r="U560" i="7"/>
  <c r="U561" i="7"/>
  <c r="U562" i="7"/>
  <c r="U563" i="7"/>
  <c r="U564" i="7"/>
  <c r="U565" i="7"/>
  <c r="U566" i="7"/>
  <c r="U567" i="7"/>
  <c r="U568" i="7"/>
  <c r="U569" i="7"/>
  <c r="U570" i="7"/>
  <c r="U571" i="7"/>
  <c r="U572" i="7"/>
  <c r="U573" i="7"/>
  <c r="U574" i="7"/>
  <c r="U575" i="7"/>
  <c r="U576" i="7"/>
  <c r="U577" i="7"/>
  <c r="U578" i="7"/>
  <c r="U579" i="7"/>
  <c r="U580" i="7"/>
  <c r="U581" i="7"/>
  <c r="U582" i="7"/>
  <c r="U583" i="7"/>
  <c r="U584" i="7"/>
  <c r="U585" i="7"/>
  <c r="U586" i="7"/>
  <c r="U587" i="7"/>
  <c r="U588" i="7"/>
  <c r="U589" i="7"/>
  <c r="U590" i="7"/>
  <c r="U591" i="7"/>
  <c r="U592" i="7"/>
  <c r="U593" i="7"/>
  <c r="U594" i="7"/>
  <c r="U595" i="7"/>
  <c r="U596" i="7"/>
  <c r="U597" i="7"/>
  <c r="U598" i="7"/>
  <c r="U599" i="7"/>
  <c r="U600" i="7"/>
  <c r="U601" i="7"/>
  <c r="U602" i="7"/>
  <c r="U603" i="7"/>
  <c r="U604" i="7"/>
  <c r="U605" i="7"/>
  <c r="U606" i="7"/>
  <c r="U607" i="7"/>
  <c r="U608" i="7"/>
  <c r="U609" i="7"/>
  <c r="U610" i="7"/>
  <c r="U611" i="7"/>
  <c r="U612" i="7"/>
  <c r="U613" i="7"/>
  <c r="U614" i="7"/>
  <c r="U615" i="7"/>
  <c r="U616" i="7"/>
  <c r="U617" i="7"/>
  <c r="U618" i="7"/>
  <c r="U619" i="7"/>
  <c r="U620" i="7"/>
  <c r="U621" i="7"/>
  <c r="U622" i="7"/>
  <c r="U623" i="7"/>
  <c r="U624" i="7"/>
  <c r="U625" i="7"/>
  <c r="U626" i="7"/>
  <c r="U627" i="7"/>
  <c r="U628" i="7"/>
  <c r="U629" i="7"/>
  <c r="U630" i="7"/>
  <c r="U631" i="7"/>
  <c r="U632" i="7"/>
  <c r="U633" i="7"/>
  <c r="U634" i="7"/>
  <c r="U635" i="7"/>
  <c r="U636" i="7"/>
  <c r="U637" i="7"/>
  <c r="U638" i="7"/>
  <c r="U639" i="7"/>
  <c r="U640" i="7"/>
  <c r="U641" i="7"/>
  <c r="U642" i="7"/>
  <c r="U643" i="7"/>
  <c r="U644" i="7"/>
  <c r="U645" i="7"/>
  <c r="U646" i="7"/>
  <c r="U647" i="7"/>
  <c r="U648" i="7"/>
  <c r="U649" i="7"/>
  <c r="U650" i="7"/>
  <c r="U651" i="7"/>
  <c r="U652" i="7"/>
  <c r="U653" i="7"/>
  <c r="U654" i="7"/>
  <c r="U655" i="7"/>
  <c r="U656" i="7"/>
  <c r="U657" i="7"/>
  <c r="U658" i="7"/>
  <c r="U659" i="7"/>
  <c r="U660" i="7"/>
  <c r="U661" i="7"/>
  <c r="U662" i="7"/>
  <c r="U663" i="7"/>
  <c r="U664" i="7"/>
  <c r="U665" i="7"/>
  <c r="U666" i="7"/>
  <c r="U667" i="7"/>
  <c r="U668" i="7"/>
  <c r="U669" i="7"/>
  <c r="U670" i="7"/>
  <c r="U671" i="7"/>
  <c r="U672" i="7"/>
  <c r="U673" i="7"/>
  <c r="U674" i="7"/>
  <c r="U675" i="7"/>
  <c r="U676" i="7"/>
  <c r="U677" i="7"/>
  <c r="U678" i="7"/>
  <c r="U679" i="7"/>
  <c r="U680" i="7"/>
  <c r="U681" i="7"/>
  <c r="U682" i="7"/>
  <c r="U683" i="7"/>
  <c r="U684" i="7"/>
  <c r="U685" i="7"/>
  <c r="U686" i="7"/>
  <c r="U687" i="7"/>
  <c r="U688" i="7"/>
  <c r="U689" i="7"/>
  <c r="U690" i="7"/>
  <c r="U691" i="7"/>
  <c r="U692" i="7"/>
  <c r="U693" i="7"/>
  <c r="U694" i="7"/>
  <c r="U695" i="7"/>
  <c r="U696" i="7"/>
  <c r="U697" i="7"/>
  <c r="U698" i="7"/>
  <c r="U699" i="7"/>
  <c r="U700" i="7"/>
  <c r="U701" i="7"/>
  <c r="U702" i="7"/>
  <c r="U703" i="7"/>
  <c r="U704" i="7"/>
  <c r="U705" i="7"/>
  <c r="U706" i="7"/>
  <c r="U707" i="7"/>
  <c r="U708" i="7"/>
  <c r="U709" i="7"/>
  <c r="U710" i="7"/>
  <c r="U711" i="7"/>
  <c r="U712" i="7"/>
  <c r="U713" i="7"/>
  <c r="U714" i="7"/>
  <c r="U715" i="7"/>
  <c r="U716" i="7"/>
  <c r="U717" i="7"/>
  <c r="U718" i="7"/>
  <c r="U719" i="7"/>
  <c r="U720" i="7"/>
  <c r="U721" i="7"/>
  <c r="U722" i="7"/>
  <c r="U723" i="7"/>
  <c r="U724" i="7"/>
  <c r="U725" i="7"/>
  <c r="U726" i="7"/>
  <c r="U727" i="7"/>
  <c r="U728" i="7"/>
  <c r="U729" i="7"/>
  <c r="U730" i="7"/>
  <c r="U731" i="7"/>
  <c r="U732" i="7"/>
  <c r="U733" i="7"/>
  <c r="U734" i="7"/>
  <c r="U735" i="7"/>
  <c r="U736" i="7"/>
  <c r="U737" i="7"/>
  <c r="U738" i="7"/>
  <c r="U739" i="7"/>
  <c r="U740" i="7"/>
  <c r="U741" i="7"/>
  <c r="U742" i="7"/>
  <c r="U743" i="7"/>
  <c r="U744" i="7"/>
  <c r="U745" i="7"/>
  <c r="U746" i="7"/>
  <c r="U747" i="7"/>
  <c r="U748" i="7"/>
  <c r="U749" i="7"/>
  <c r="U750" i="7"/>
  <c r="U751" i="7"/>
  <c r="U752" i="7"/>
  <c r="U753" i="7"/>
  <c r="U754" i="7"/>
  <c r="U755" i="7"/>
  <c r="U756" i="7"/>
  <c r="U757" i="7"/>
  <c r="U758" i="7"/>
  <c r="U759" i="7"/>
  <c r="U760" i="7"/>
  <c r="U761" i="7"/>
  <c r="U762" i="7"/>
  <c r="U763" i="7"/>
  <c r="U764" i="7"/>
  <c r="U765" i="7"/>
  <c r="U766" i="7"/>
  <c r="U767" i="7"/>
  <c r="U768" i="7"/>
  <c r="U769" i="7"/>
  <c r="U770" i="7"/>
  <c r="U771" i="7"/>
  <c r="U772" i="7"/>
  <c r="U773" i="7"/>
  <c r="U774" i="7"/>
  <c r="U775" i="7"/>
  <c r="U776" i="7"/>
  <c r="U777" i="7"/>
  <c r="U778" i="7"/>
  <c r="U779" i="7"/>
  <c r="U780" i="7"/>
  <c r="U781" i="7"/>
  <c r="U782" i="7"/>
  <c r="U783" i="7"/>
  <c r="U784" i="7"/>
  <c r="U785" i="7"/>
  <c r="U786" i="7"/>
  <c r="U787" i="7"/>
  <c r="U788" i="7"/>
  <c r="U789" i="7"/>
  <c r="U790" i="7"/>
  <c r="U791" i="7"/>
  <c r="U792" i="7"/>
  <c r="U793" i="7"/>
  <c r="U794" i="7"/>
  <c r="U795" i="7"/>
  <c r="U796" i="7"/>
  <c r="U797" i="7"/>
  <c r="U798" i="7"/>
  <c r="U799" i="7"/>
  <c r="U800" i="7"/>
  <c r="U801" i="7"/>
  <c r="U802" i="7"/>
  <c r="U803" i="7"/>
  <c r="U804" i="7"/>
  <c r="U805" i="7"/>
  <c r="I52" i="2"/>
  <c r="R52" i="2"/>
  <c r="S52" i="2" s="1"/>
  <c r="T52" i="2" s="1"/>
  <c r="D21" i="1"/>
  <c r="F21" i="1"/>
  <c r="R18" i="12" l="1"/>
  <c r="Q18" i="12"/>
  <c r="M19" i="12"/>
  <c r="Q19" i="12"/>
  <c r="Q20" i="12"/>
  <c r="V231" i="7"/>
  <c r="V589" i="7"/>
  <c r="V277" i="7"/>
  <c r="V133" i="7"/>
  <c r="V557" i="7"/>
  <c r="V253" i="7"/>
  <c r="V723" i="7"/>
  <c r="V579" i="7"/>
  <c r="V443" i="7"/>
  <c r="V315" i="7"/>
  <c r="V187" i="7"/>
  <c r="V75" i="7"/>
  <c r="V49" i="7"/>
  <c r="V645" i="7"/>
  <c r="V309" i="7"/>
  <c r="V731" i="7"/>
  <c r="V587" i="7"/>
  <c r="V467" i="7"/>
  <c r="V339" i="7"/>
  <c r="V211" i="7"/>
  <c r="V34" i="7"/>
  <c r="V345" i="7"/>
  <c r="V273" i="7"/>
  <c r="V209" i="7"/>
  <c r="V145" i="7"/>
  <c r="V81" i="7"/>
  <c r="V733" i="7"/>
  <c r="V429" i="7"/>
  <c r="V69" i="7"/>
  <c r="V55" i="7"/>
  <c r="V804" i="7"/>
  <c r="V740" i="7"/>
  <c r="V676" i="7"/>
  <c r="V604" i="7"/>
  <c r="V540" i="7"/>
  <c r="V476" i="7"/>
  <c r="V412" i="7"/>
  <c r="V348" i="7"/>
  <c r="V284" i="7"/>
  <c r="V236" i="7"/>
  <c r="V220" i="7"/>
  <c r="V172" i="7"/>
  <c r="V156" i="7"/>
  <c r="V108" i="7"/>
  <c r="V92" i="7"/>
  <c r="V706" i="7"/>
  <c r="V642" i="7"/>
  <c r="V506" i="7"/>
  <c r="V466" i="7"/>
  <c r="V330" i="7"/>
  <c r="V282" i="7"/>
  <c r="V154" i="7"/>
  <c r="V114" i="7"/>
  <c r="V785" i="7"/>
  <c r="V769" i="7"/>
  <c r="V713" i="7"/>
  <c r="V697" i="7"/>
  <c r="V649" i="7"/>
  <c r="V633" i="7"/>
  <c r="V585" i="7"/>
  <c r="V569" i="7"/>
  <c r="V481" i="7"/>
  <c r="V449" i="7"/>
  <c r="V353" i="7"/>
  <c r="L17" i="12"/>
  <c r="B16" i="13" s="1"/>
  <c r="D16" i="13" s="1"/>
  <c r="L19" i="12"/>
  <c r="L20" i="12"/>
  <c r="V722" i="7"/>
  <c r="V674" i="7"/>
  <c r="V538" i="7"/>
  <c r="V498" i="7"/>
  <c r="V362" i="7"/>
  <c r="V314" i="7"/>
  <c r="V178" i="7"/>
  <c r="V138" i="7"/>
  <c r="V784" i="7"/>
  <c r="V768" i="7"/>
  <c r="V720" i="7"/>
  <c r="V704" i="7"/>
  <c r="V656" i="7"/>
  <c r="V640" i="7"/>
  <c r="V592" i="7"/>
  <c r="V568" i="7"/>
  <c r="V512" i="7"/>
  <c r="V496" i="7"/>
  <c r="V448" i="7"/>
  <c r="V432" i="7"/>
  <c r="V384" i="7"/>
  <c r="V368" i="7"/>
  <c r="V320" i="7"/>
  <c r="V304" i="7"/>
  <c r="V256" i="7"/>
  <c r="V240" i="7"/>
  <c r="V192" i="7"/>
  <c r="V176" i="7"/>
  <c r="V128" i="7"/>
  <c r="V112" i="7"/>
  <c r="V786" i="7"/>
  <c r="V714" i="7"/>
  <c r="V546" i="7"/>
  <c r="V482" i="7"/>
  <c r="V322" i="7"/>
  <c r="V274" i="7"/>
  <c r="V799" i="7"/>
  <c r="V783" i="7"/>
  <c r="V735" i="7"/>
  <c r="V719" i="7"/>
  <c r="V663" i="7"/>
  <c r="V647" i="7"/>
  <c r="V583" i="7"/>
  <c r="V567" i="7"/>
  <c r="V519" i="7"/>
  <c r="V503" i="7"/>
  <c r="V455" i="7"/>
  <c r="V439" i="7"/>
  <c r="V391" i="7"/>
  <c r="V375" i="7"/>
  <c r="V790" i="7"/>
  <c r="V742" i="7"/>
  <c r="V726" i="7"/>
  <c r="V678" i="7"/>
  <c r="V662" i="7"/>
  <c r="V614" i="7"/>
  <c r="V582" i="7"/>
  <c r="V526" i="7"/>
  <c r="V510" i="7"/>
  <c r="V462" i="7"/>
  <c r="V446" i="7"/>
  <c r="V398" i="7"/>
  <c r="V382" i="7"/>
  <c r="V334" i="7"/>
  <c r="V318" i="7"/>
  <c r="V270" i="7"/>
  <c r="V254" i="7"/>
  <c r="V206" i="7"/>
  <c r="V190" i="7"/>
  <c r="V142" i="7"/>
  <c r="V126" i="7"/>
  <c r="V78" i="7"/>
  <c r="N18" i="12"/>
  <c r="N17" i="12"/>
  <c r="N19" i="12"/>
  <c r="G18" i="12"/>
  <c r="G19" i="12"/>
  <c r="G20" i="12"/>
  <c r="L18" i="12"/>
  <c r="M20" i="12"/>
  <c r="M18" i="12"/>
  <c r="I18" i="12"/>
  <c r="I19" i="12"/>
  <c r="H18" i="12"/>
  <c r="I20" i="12"/>
  <c r="H20" i="12"/>
  <c r="H17" i="12"/>
  <c r="S18" i="12"/>
  <c r="S17" i="12"/>
  <c r="S19" i="12"/>
  <c r="O17" i="12"/>
  <c r="O18" i="12"/>
  <c r="O20" i="12"/>
  <c r="O19" i="12"/>
  <c r="T20" i="12"/>
  <c r="T17" i="12"/>
  <c r="T18" i="12"/>
  <c r="T19" i="12"/>
  <c r="C17" i="13"/>
  <c r="E17" i="13" s="1"/>
  <c r="O1279" i="7"/>
  <c r="J19" i="7"/>
  <c r="C18" i="7"/>
  <c r="O21" i="7"/>
  <c r="C19" i="7"/>
  <c r="O22" i="7"/>
  <c r="C20" i="7"/>
  <c r="J20" i="7"/>
  <c r="O23" i="7"/>
  <c r="C21" i="7"/>
  <c r="J21" i="7"/>
  <c r="O24" i="7"/>
  <c r="B6" i="4"/>
  <c r="C15" i="13" l="1"/>
  <c r="E15" i="13" s="1"/>
  <c r="V525" i="7"/>
  <c r="V805" i="7"/>
  <c r="V77" i="7"/>
  <c r="V197" i="7"/>
  <c r="V533" i="7"/>
  <c r="V62" i="7"/>
  <c r="V79" i="7"/>
  <c r="V207" i="7"/>
  <c r="V134" i="7"/>
  <c r="V198" i="7"/>
  <c r="V262" i="7"/>
  <c r="V326" i="7"/>
  <c r="V390" i="7"/>
  <c r="V454" i="7"/>
  <c r="V518" i="7"/>
  <c r="V598" i="7"/>
  <c r="V670" i="7"/>
  <c r="V734" i="7"/>
  <c r="V798" i="7"/>
  <c r="V383" i="7"/>
  <c r="V447" i="7"/>
  <c r="V511" i="7"/>
  <c r="V575" i="7"/>
  <c r="V655" i="7"/>
  <c r="V727" i="7"/>
  <c r="V791" i="7"/>
  <c r="V298" i="7"/>
  <c r="V514" i="7"/>
  <c r="V746" i="7"/>
  <c r="V120" i="7"/>
  <c r="V184" i="7"/>
  <c r="V248" i="7"/>
  <c r="V312" i="7"/>
  <c r="V376" i="7"/>
  <c r="V440" i="7"/>
  <c r="V504" i="7"/>
  <c r="V584" i="7"/>
  <c r="V648" i="7"/>
  <c r="V712" i="7"/>
  <c r="V776" i="7"/>
  <c r="V162" i="7"/>
  <c r="V338" i="7"/>
  <c r="V522" i="7"/>
  <c r="V698" i="7"/>
  <c r="V337" i="7"/>
  <c r="V465" i="7"/>
  <c r="V577" i="7"/>
  <c r="V641" i="7"/>
  <c r="V705" i="7"/>
  <c r="V777" i="7"/>
  <c r="V130" i="7"/>
  <c r="V306" i="7"/>
  <c r="V490" i="7"/>
  <c r="V666" i="7"/>
  <c r="V100" i="7"/>
  <c r="V164" i="7"/>
  <c r="V228" i="7"/>
  <c r="V292" i="7"/>
  <c r="V356" i="7"/>
  <c r="V420" i="7"/>
  <c r="V484" i="7"/>
  <c r="V548" i="7"/>
  <c r="V612" i="7"/>
  <c r="V684" i="7"/>
  <c r="V748" i="7"/>
  <c r="V64" i="7"/>
  <c r="V173" i="7"/>
  <c r="V461" i="7"/>
  <c r="V773" i="7"/>
  <c r="V89" i="7"/>
  <c r="V153" i="7"/>
  <c r="V217" i="7"/>
  <c r="V281" i="7"/>
  <c r="V377" i="7"/>
  <c r="V83" i="7"/>
  <c r="V227" i="7"/>
  <c r="V355" i="7"/>
  <c r="V483" i="7"/>
  <c r="V603" i="7"/>
  <c r="V755" i="7"/>
  <c r="V341" i="7"/>
  <c r="V685" i="7"/>
  <c r="V57" i="7"/>
  <c r="V91" i="7"/>
  <c r="V203" i="7"/>
  <c r="V331" i="7"/>
  <c r="V459" i="7"/>
  <c r="V595" i="7"/>
  <c r="V739" i="7"/>
  <c r="V293" i="7"/>
  <c r="V597" i="7"/>
  <c r="V237" i="7"/>
  <c r="V549" i="7"/>
  <c r="V652" i="7"/>
  <c r="V101" i="7"/>
  <c r="V221" i="7"/>
  <c r="V581" i="7"/>
  <c r="V70" i="7"/>
  <c r="V22" i="7"/>
  <c r="V103" i="7"/>
  <c r="C16" i="13"/>
  <c r="E16" i="13" s="1"/>
  <c r="V690" i="7"/>
  <c r="V561" i="7"/>
  <c r="V311" i="7"/>
  <c r="V279" i="7"/>
  <c r="V247" i="7"/>
  <c r="V473" i="7"/>
  <c r="V590" i="7"/>
  <c r="V537" i="7"/>
  <c r="V409" i="7"/>
  <c r="V32" i="7"/>
  <c r="V24" i="7"/>
  <c r="V287" i="7"/>
  <c r="V223" i="7"/>
  <c r="V95" i="7"/>
  <c r="V45" i="7"/>
  <c r="V215" i="7"/>
  <c r="V87" i="7"/>
  <c r="V43" i="7"/>
  <c r="V361" i="7"/>
  <c r="V127" i="7"/>
  <c r="V53" i="7"/>
  <c r="V21" i="7"/>
  <c r="V255" i="7"/>
  <c r="V119" i="7"/>
  <c r="V51" i="7"/>
  <c r="V489" i="7"/>
  <c r="V159" i="7"/>
  <c r="V76" i="7"/>
  <c r="V61" i="7"/>
  <c r="V29" i="7"/>
  <c r="V319" i="7"/>
  <c r="V151" i="7"/>
  <c r="V59" i="7"/>
  <c r="V27" i="7"/>
  <c r="V191" i="7"/>
  <c r="V37" i="7"/>
  <c r="V425" i="7"/>
  <c r="V183" i="7"/>
  <c r="V68" i="7"/>
  <c r="V35" i="7"/>
  <c r="V109" i="7"/>
  <c r="V261" i="7"/>
  <c r="V621" i="7"/>
  <c r="V574" i="7"/>
  <c r="V30" i="7"/>
  <c r="V239" i="7"/>
  <c r="V86" i="7"/>
  <c r="V150" i="7"/>
  <c r="V214" i="7"/>
  <c r="V278" i="7"/>
  <c r="V342" i="7"/>
  <c r="V406" i="7"/>
  <c r="V470" i="7"/>
  <c r="V534" i="7"/>
  <c r="V622" i="7"/>
  <c r="V686" i="7"/>
  <c r="V750" i="7"/>
  <c r="V335" i="7"/>
  <c r="V399" i="7"/>
  <c r="V463" i="7"/>
  <c r="V527" i="7"/>
  <c r="V591" i="7"/>
  <c r="V671" i="7"/>
  <c r="V743" i="7"/>
  <c r="V792" i="7"/>
  <c r="V346" i="7"/>
  <c r="V570" i="7"/>
  <c r="V72" i="7"/>
  <c r="V136" i="7"/>
  <c r="V200" i="7"/>
  <c r="V264" i="7"/>
  <c r="V328" i="7"/>
  <c r="V392" i="7"/>
  <c r="V456" i="7"/>
  <c r="V520" i="7"/>
  <c r="V600" i="7"/>
  <c r="V664" i="7"/>
  <c r="V728" i="7"/>
  <c r="V800" i="7"/>
  <c r="V202" i="7"/>
  <c r="V386" i="7"/>
  <c r="V562" i="7"/>
  <c r="V738" i="7"/>
  <c r="V369" i="7"/>
  <c r="V497" i="7"/>
  <c r="V593" i="7"/>
  <c r="V657" i="7"/>
  <c r="V721" i="7"/>
  <c r="V793" i="7"/>
  <c r="V170" i="7"/>
  <c r="V354" i="7"/>
  <c r="V530" i="7"/>
  <c r="V730" i="7"/>
  <c r="V116" i="7"/>
  <c r="V180" i="7"/>
  <c r="V244" i="7"/>
  <c r="V308" i="7"/>
  <c r="V372" i="7"/>
  <c r="V436" i="7"/>
  <c r="V500" i="7"/>
  <c r="V564" i="7"/>
  <c r="V628" i="7"/>
  <c r="V700" i="7"/>
  <c r="V764" i="7"/>
  <c r="V576" i="7"/>
  <c r="V245" i="7"/>
  <c r="V541" i="7"/>
  <c r="V40" i="7"/>
  <c r="V105" i="7"/>
  <c r="V169" i="7"/>
  <c r="V233" i="7"/>
  <c r="V297" i="7"/>
  <c r="V441" i="7"/>
  <c r="V131" i="7"/>
  <c r="V259" i="7"/>
  <c r="V379" i="7"/>
  <c r="V507" i="7"/>
  <c r="V635" i="7"/>
  <c r="V803" i="7"/>
  <c r="V421" i="7"/>
  <c r="V765" i="7"/>
  <c r="V26" i="7"/>
  <c r="V115" i="7"/>
  <c r="V235" i="7"/>
  <c r="V371" i="7"/>
  <c r="V491" i="7"/>
  <c r="V627" i="7"/>
  <c r="V787" i="7"/>
  <c r="V373" i="7"/>
  <c r="V677" i="7"/>
  <c r="V325" i="7"/>
  <c r="V629" i="7"/>
  <c r="V28" i="7"/>
  <c r="V117" i="7"/>
  <c r="V301" i="7"/>
  <c r="V661" i="7"/>
  <c r="V606" i="7"/>
  <c r="V38" i="7"/>
  <c r="V135" i="7"/>
  <c r="V263" i="7"/>
  <c r="V300" i="7"/>
  <c r="V364" i="7"/>
  <c r="V428" i="7"/>
  <c r="V492" i="7"/>
  <c r="V556" i="7"/>
  <c r="V620" i="7"/>
  <c r="V692" i="7"/>
  <c r="V756" i="7"/>
  <c r="V560" i="7"/>
  <c r="V205" i="7"/>
  <c r="V501" i="7"/>
  <c r="V703" i="7"/>
  <c r="V97" i="7"/>
  <c r="V161" i="7"/>
  <c r="V225" i="7"/>
  <c r="V289" i="7"/>
  <c r="V393" i="7"/>
  <c r="V107" i="7"/>
  <c r="V243" i="7"/>
  <c r="V363" i="7"/>
  <c r="V499" i="7"/>
  <c r="V619" i="7"/>
  <c r="V779" i="7"/>
  <c r="V381" i="7"/>
  <c r="V725" i="7"/>
  <c r="V778" i="7"/>
  <c r="V99" i="7"/>
  <c r="V219" i="7"/>
  <c r="V347" i="7"/>
  <c r="V475" i="7"/>
  <c r="V611" i="7"/>
  <c r="V763" i="7"/>
  <c r="V333" i="7"/>
  <c r="V637" i="7"/>
  <c r="V111" i="7"/>
  <c r="B11" i="4"/>
  <c r="B5" i="4"/>
  <c r="V94" i="7"/>
  <c r="V158" i="7"/>
  <c r="V222" i="7"/>
  <c r="V286" i="7"/>
  <c r="V350" i="7"/>
  <c r="V414" i="7"/>
  <c r="V478" i="7"/>
  <c r="V542" i="7"/>
  <c r="V630" i="7"/>
  <c r="V694" i="7"/>
  <c r="V758" i="7"/>
  <c r="V343" i="7"/>
  <c r="V407" i="7"/>
  <c r="V471" i="7"/>
  <c r="V535" i="7"/>
  <c r="V599" i="7"/>
  <c r="V679" i="7"/>
  <c r="V751" i="7"/>
  <c r="V146" i="7"/>
  <c r="V378" i="7"/>
  <c r="V594" i="7"/>
  <c r="V80" i="7"/>
  <c r="V144" i="7"/>
  <c r="V208" i="7"/>
  <c r="V272" i="7"/>
  <c r="V336" i="7"/>
  <c r="V400" i="7"/>
  <c r="V464" i="7"/>
  <c r="V528" i="7"/>
  <c r="V608" i="7"/>
  <c r="V672" i="7"/>
  <c r="V736" i="7"/>
  <c r="V66" i="7"/>
  <c r="V218" i="7"/>
  <c r="V402" i="7"/>
  <c r="V586" i="7"/>
  <c r="V762" i="7"/>
  <c r="V385" i="7"/>
  <c r="V513" i="7"/>
  <c r="V601" i="7"/>
  <c r="V665" i="7"/>
  <c r="V737" i="7"/>
  <c r="V801" i="7"/>
  <c r="V194" i="7"/>
  <c r="V370" i="7"/>
  <c r="V554" i="7"/>
  <c r="V754" i="7"/>
  <c r="V124" i="7"/>
  <c r="V188" i="7"/>
  <c r="V252" i="7"/>
  <c r="V316" i="7"/>
  <c r="V380" i="7"/>
  <c r="V444" i="7"/>
  <c r="V508" i="7"/>
  <c r="V572" i="7"/>
  <c r="V636" i="7"/>
  <c r="V708" i="7"/>
  <c r="V772" i="7"/>
  <c r="V23" i="7"/>
  <c r="V715" i="7"/>
  <c r="V285" i="7"/>
  <c r="V573" i="7"/>
  <c r="V48" i="7"/>
  <c r="V113" i="7"/>
  <c r="V177" i="7"/>
  <c r="V241" i="7"/>
  <c r="V305" i="7"/>
  <c r="V457" i="7"/>
  <c r="V147" i="7"/>
  <c r="V275" i="7"/>
  <c r="V395" i="7"/>
  <c r="V523" i="7"/>
  <c r="V651" i="7"/>
  <c r="V93" i="7"/>
  <c r="V469" i="7"/>
  <c r="V623" i="7"/>
  <c r="V42" i="7"/>
  <c r="V123" i="7"/>
  <c r="V251" i="7"/>
  <c r="V387" i="7"/>
  <c r="V515" i="7"/>
  <c r="V643" i="7"/>
  <c r="V85" i="7"/>
  <c r="V413" i="7"/>
  <c r="V717" i="7"/>
  <c r="V365" i="7"/>
  <c r="V669" i="7"/>
  <c r="V36" i="7"/>
  <c r="V125" i="7"/>
  <c r="V349" i="7"/>
  <c r="V693" i="7"/>
  <c r="V46" i="7"/>
  <c r="V143" i="7"/>
  <c r="V271" i="7"/>
  <c r="V102" i="7"/>
  <c r="V166" i="7"/>
  <c r="V230" i="7"/>
  <c r="V294" i="7"/>
  <c r="V358" i="7"/>
  <c r="V422" i="7"/>
  <c r="V486" i="7"/>
  <c r="V550" i="7"/>
  <c r="V638" i="7"/>
  <c r="V702" i="7"/>
  <c r="V766" i="7"/>
  <c r="V351" i="7"/>
  <c r="V415" i="7"/>
  <c r="V479" i="7"/>
  <c r="V543" i="7"/>
  <c r="V607" i="7"/>
  <c r="V687" i="7"/>
  <c r="V759" i="7"/>
  <c r="V186" i="7"/>
  <c r="V410" i="7"/>
  <c r="V618" i="7"/>
  <c r="V88" i="7"/>
  <c r="V152" i="7"/>
  <c r="V216" i="7"/>
  <c r="V280" i="7"/>
  <c r="V344" i="7"/>
  <c r="V408" i="7"/>
  <c r="V472" i="7"/>
  <c r="V536" i="7"/>
  <c r="V616" i="7"/>
  <c r="V680" i="7"/>
  <c r="V744" i="7"/>
  <c r="V90" i="7"/>
  <c r="V242" i="7"/>
  <c r="V426" i="7"/>
  <c r="V610" i="7"/>
  <c r="V794" i="7"/>
  <c r="V401" i="7"/>
  <c r="V529" i="7"/>
  <c r="V609" i="7"/>
  <c r="V673" i="7"/>
  <c r="V745" i="7"/>
  <c r="V74" i="7"/>
  <c r="V210" i="7"/>
  <c r="V394" i="7"/>
  <c r="V578" i="7"/>
  <c r="V802" i="7"/>
  <c r="V132" i="7"/>
  <c r="V196" i="7"/>
  <c r="V260" i="7"/>
  <c r="V324" i="7"/>
  <c r="V388" i="7"/>
  <c r="V452" i="7"/>
  <c r="V516" i="7"/>
  <c r="V580" i="7"/>
  <c r="V644" i="7"/>
  <c r="V716" i="7"/>
  <c r="V780" i="7"/>
  <c r="V31" i="7"/>
  <c r="V747" i="7"/>
  <c r="V317" i="7"/>
  <c r="V613" i="7"/>
  <c r="V56" i="7"/>
  <c r="V121" i="7"/>
  <c r="V185" i="7"/>
  <c r="V249" i="7"/>
  <c r="V313" i="7"/>
  <c r="V505" i="7"/>
  <c r="V163" i="7"/>
  <c r="V291" i="7"/>
  <c r="V411" i="7"/>
  <c r="V539" i="7"/>
  <c r="V667" i="7"/>
  <c r="V189" i="7"/>
  <c r="V509" i="7"/>
  <c r="V25" i="7"/>
  <c r="V50" i="7"/>
  <c r="V139" i="7"/>
  <c r="V267" i="7"/>
  <c r="V403" i="7"/>
  <c r="V531" i="7"/>
  <c r="V659" i="7"/>
  <c r="V149" i="7"/>
  <c r="V445" i="7"/>
  <c r="V757" i="7"/>
  <c r="V405" i="7"/>
  <c r="V709" i="7"/>
  <c r="V44" i="7"/>
  <c r="V141" i="7"/>
  <c r="V389" i="7"/>
  <c r="V741" i="7"/>
  <c r="V54" i="7"/>
  <c r="V167" i="7"/>
  <c r="V295" i="7"/>
  <c r="V110" i="7"/>
  <c r="V174" i="7"/>
  <c r="V238" i="7"/>
  <c r="V302" i="7"/>
  <c r="V366" i="7"/>
  <c r="V430" i="7"/>
  <c r="V494" i="7"/>
  <c r="V558" i="7"/>
  <c r="V646" i="7"/>
  <c r="V710" i="7"/>
  <c r="V774" i="7"/>
  <c r="V359" i="7"/>
  <c r="V423" i="7"/>
  <c r="V487" i="7"/>
  <c r="V551" i="7"/>
  <c r="V615" i="7"/>
  <c r="V695" i="7"/>
  <c r="V767" i="7"/>
  <c r="V226" i="7"/>
  <c r="V434" i="7"/>
  <c r="V650" i="7"/>
  <c r="V96" i="7"/>
  <c r="V160" i="7"/>
  <c r="V224" i="7"/>
  <c r="V288" i="7"/>
  <c r="V352" i="7"/>
  <c r="V416" i="7"/>
  <c r="V480" i="7"/>
  <c r="V544" i="7"/>
  <c r="V624" i="7"/>
  <c r="V688" i="7"/>
  <c r="V752" i="7"/>
  <c r="V106" i="7"/>
  <c r="V266" i="7"/>
  <c r="V450" i="7"/>
  <c r="V634" i="7"/>
  <c r="V417" i="7"/>
  <c r="V545" i="7"/>
  <c r="V617" i="7"/>
  <c r="V681" i="7"/>
  <c r="V753" i="7"/>
  <c r="V82" i="7"/>
  <c r="V234" i="7"/>
  <c r="V418" i="7"/>
  <c r="V602" i="7"/>
  <c r="V770" i="7"/>
  <c r="V140" i="7"/>
  <c r="V204" i="7"/>
  <c r="V268" i="7"/>
  <c r="V332" i="7"/>
  <c r="V396" i="7"/>
  <c r="V460" i="7"/>
  <c r="V524" i="7"/>
  <c r="V588" i="7"/>
  <c r="V660" i="7"/>
  <c r="V724" i="7"/>
  <c r="V788" i="7"/>
  <c r="V39" i="7"/>
  <c r="V771" i="7"/>
  <c r="V357" i="7"/>
  <c r="V653" i="7"/>
  <c r="V65" i="7"/>
  <c r="V129" i="7"/>
  <c r="V193" i="7"/>
  <c r="V257" i="7"/>
  <c r="V321" i="7"/>
  <c r="V521" i="7"/>
  <c r="V179" i="7"/>
  <c r="V307" i="7"/>
  <c r="V427" i="7"/>
  <c r="V555" i="7"/>
  <c r="V683" i="7"/>
  <c r="V229" i="7"/>
  <c r="V565" i="7"/>
  <c r="V33" i="7"/>
  <c r="V58" i="7"/>
  <c r="V155" i="7"/>
  <c r="V283" i="7"/>
  <c r="V419" i="7"/>
  <c r="V547" i="7"/>
  <c r="V675" i="7"/>
  <c r="V181" i="7"/>
  <c r="V485" i="7"/>
  <c r="V797" i="7"/>
  <c r="V437" i="7"/>
  <c r="V749" i="7"/>
  <c r="V52" i="7"/>
  <c r="V157" i="7"/>
  <c r="V453" i="7"/>
  <c r="V789" i="7"/>
  <c r="V63" i="7"/>
  <c r="V175" i="7"/>
  <c r="V303" i="7"/>
  <c r="V118" i="7"/>
  <c r="V182" i="7"/>
  <c r="V246" i="7"/>
  <c r="V310" i="7"/>
  <c r="V374" i="7"/>
  <c r="V438" i="7"/>
  <c r="V502" i="7"/>
  <c r="V566" i="7"/>
  <c r="V654" i="7"/>
  <c r="V718" i="7"/>
  <c r="V782" i="7"/>
  <c r="V367" i="7"/>
  <c r="V431" i="7"/>
  <c r="V495" i="7"/>
  <c r="V559" i="7"/>
  <c r="V631" i="7"/>
  <c r="V711" i="7"/>
  <c r="V775" i="7"/>
  <c r="V250" i="7"/>
  <c r="V458" i="7"/>
  <c r="V682" i="7"/>
  <c r="V104" i="7"/>
  <c r="V168" i="7"/>
  <c r="V232" i="7"/>
  <c r="V296" i="7"/>
  <c r="V360" i="7"/>
  <c r="V424" i="7"/>
  <c r="V488" i="7"/>
  <c r="V552" i="7"/>
  <c r="V632" i="7"/>
  <c r="V696" i="7"/>
  <c r="V760" i="7"/>
  <c r="V122" i="7"/>
  <c r="V290" i="7"/>
  <c r="V474" i="7"/>
  <c r="V658" i="7"/>
  <c r="V433" i="7"/>
  <c r="V553" i="7"/>
  <c r="V625" i="7"/>
  <c r="V689" i="7"/>
  <c r="V761" i="7"/>
  <c r="V98" i="7"/>
  <c r="V258" i="7"/>
  <c r="V442" i="7"/>
  <c r="V626" i="7"/>
  <c r="V84" i="7"/>
  <c r="V148" i="7"/>
  <c r="V212" i="7"/>
  <c r="V276" i="7"/>
  <c r="V340" i="7"/>
  <c r="V404" i="7"/>
  <c r="V468" i="7"/>
  <c r="V532" i="7"/>
  <c r="V596" i="7"/>
  <c r="V668" i="7"/>
  <c r="V732" i="7"/>
  <c r="V796" i="7"/>
  <c r="V47" i="7"/>
  <c r="V795" i="7"/>
  <c r="V397" i="7"/>
  <c r="V701" i="7"/>
  <c r="V73" i="7"/>
  <c r="V137" i="7"/>
  <c r="V201" i="7"/>
  <c r="V265" i="7"/>
  <c r="V329" i="7"/>
  <c r="V729" i="7"/>
  <c r="V195" i="7"/>
  <c r="V323" i="7"/>
  <c r="V451" i="7"/>
  <c r="V571" i="7"/>
  <c r="V707" i="7"/>
  <c r="V269" i="7"/>
  <c r="V605" i="7"/>
  <c r="V41" i="7"/>
  <c r="V67" i="7"/>
  <c r="V171" i="7"/>
  <c r="V299" i="7"/>
  <c r="V435" i="7"/>
  <c r="V563" i="7"/>
  <c r="V699" i="7"/>
  <c r="V213" i="7"/>
  <c r="V517" i="7"/>
  <c r="V691" i="7"/>
  <c r="V477" i="7"/>
  <c r="V781" i="7"/>
  <c r="V60" i="7"/>
  <c r="V165" i="7"/>
  <c r="V493" i="7"/>
  <c r="V639" i="7"/>
  <c r="V71" i="7"/>
  <c r="V199" i="7"/>
  <c r="V327" i="7"/>
  <c r="I60" i="10"/>
  <c r="I64" i="10" s="1"/>
  <c r="N50" i="10"/>
  <c r="O50" i="10" s="1"/>
  <c r="L64" i="10" l="1"/>
  <c r="I66" i="10"/>
  <c r="K33" i="9"/>
  <c r="L33" i="9" s="1"/>
  <c r="M33" i="9" s="1"/>
  <c r="N33" i="9" s="1"/>
  <c r="O33" i="9" s="1"/>
  <c r="P33" i="9" s="1"/>
  <c r="Q33" i="9" s="1"/>
  <c r="R33" i="9" s="1"/>
  <c r="J48" i="9"/>
  <c r="I50" i="9"/>
  <c r="I51" i="9" s="1"/>
  <c r="I52" i="9" s="1"/>
  <c r="I53" i="9" s="1"/>
  <c r="I54" i="9" s="1"/>
  <c r="I55" i="9" s="1"/>
  <c r="I56" i="9" s="1"/>
  <c r="I57" i="9" s="1"/>
  <c r="I35" i="9"/>
  <c r="I36" i="9" s="1"/>
  <c r="I37" i="9" s="1"/>
  <c r="I38" i="9" s="1"/>
  <c r="I39" i="9" s="1"/>
  <c r="I40" i="9" s="1"/>
  <c r="I41" i="9" s="1"/>
  <c r="I42" i="9" s="1"/>
  <c r="F15" i="13" l="1"/>
  <c r="K48" i="9"/>
  <c r="L48" i="9" s="1"/>
  <c r="M48" i="9" s="1"/>
  <c r="N48" i="9" s="1"/>
  <c r="O48" i="9" s="1"/>
  <c r="P48" i="9" s="1"/>
  <c r="Q48" i="9" s="1"/>
  <c r="R48" i="9" s="1"/>
  <c r="I69" i="10"/>
  <c r="L69" i="10" s="1"/>
  <c r="L66" i="10"/>
  <c r="J14" i="12" s="1"/>
  <c r="F16" i="13" l="1"/>
  <c r="F17" i="13"/>
  <c r="J18" i="12"/>
  <c r="J20" i="12"/>
  <c r="J19" i="12"/>
  <c r="J17" i="12"/>
  <c r="P42" i="2"/>
  <c r="Q42" i="2" s="1"/>
  <c r="R42" i="2" s="1"/>
  <c r="S42" i="2" s="1"/>
  <c r="T42" i="2" s="1"/>
  <c r="Q41" i="2"/>
  <c r="R41" i="2" s="1"/>
  <c r="S41" i="2" s="1"/>
  <c r="T41" i="2" s="1"/>
  <c r="D42" i="9" l="1"/>
  <c r="D58" i="9" s="1"/>
  <c r="D21" i="9"/>
  <c r="J20" i="2"/>
  <c r="E21" i="9" l="1"/>
  <c r="F21" i="9" s="1"/>
  <c r="G21" i="9" s="1"/>
  <c r="D24" i="9"/>
  <c r="E20" i="9"/>
  <c r="E24" i="9" l="1"/>
  <c r="F20" i="9"/>
  <c r="G20" i="9" l="1"/>
  <c r="G24" i="9" s="1"/>
  <c r="F24" i="9"/>
  <c r="F36" i="8" l="1"/>
  <c r="C36" i="8"/>
  <c r="M7" i="8" s="1"/>
  <c r="M8" i="8" s="1"/>
  <c r="J6" i="8" l="1"/>
  <c r="J8" i="8" l="1"/>
  <c r="O7" i="8" s="1"/>
  <c r="F45" i="8"/>
  <c r="F44" i="8"/>
  <c r="F43" i="8"/>
  <c r="J1277" i="7" l="1"/>
  <c r="G45" i="8"/>
  <c r="G50" i="8" s="1"/>
  <c r="G52" i="8" s="1"/>
  <c r="G44" i="8"/>
  <c r="G49" i="8" s="1"/>
  <c r="G53" i="8" s="1"/>
  <c r="G43" i="8"/>
  <c r="G48" i="8" s="1"/>
  <c r="G54" i="8" s="1"/>
  <c r="F38" i="8"/>
  <c r="F37" i="8"/>
  <c r="C38" i="8"/>
  <c r="C37" i="8"/>
  <c r="J22" i="7" l="1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J55" i="7"/>
  <c r="J56" i="7"/>
  <c r="J57" i="7"/>
  <c r="J58" i="7"/>
  <c r="J59" i="7"/>
  <c r="J60" i="7"/>
  <c r="J61" i="7"/>
  <c r="J62" i="7"/>
  <c r="J63" i="7"/>
  <c r="J64" i="7"/>
  <c r="J65" i="7"/>
  <c r="J66" i="7"/>
  <c r="J67" i="7"/>
  <c r="J68" i="7"/>
  <c r="J69" i="7"/>
  <c r="J70" i="7"/>
  <c r="J71" i="7"/>
  <c r="J72" i="7"/>
  <c r="J73" i="7"/>
  <c r="J74" i="7"/>
  <c r="J75" i="7"/>
  <c r="J76" i="7"/>
  <c r="J77" i="7"/>
  <c r="J78" i="7"/>
  <c r="J79" i="7"/>
  <c r="J80" i="7"/>
  <c r="J81" i="7"/>
  <c r="J82" i="7"/>
  <c r="J83" i="7"/>
  <c r="J84" i="7"/>
  <c r="J85" i="7"/>
  <c r="J86" i="7"/>
  <c r="J87" i="7"/>
  <c r="J88" i="7"/>
  <c r="J89" i="7"/>
  <c r="J90" i="7"/>
  <c r="J91" i="7"/>
  <c r="J92" i="7"/>
  <c r="J93" i="7"/>
  <c r="J94" i="7"/>
  <c r="J95" i="7"/>
  <c r="J96" i="7"/>
  <c r="J97" i="7"/>
  <c r="J98" i="7"/>
  <c r="J99" i="7"/>
  <c r="J100" i="7"/>
  <c r="J101" i="7"/>
  <c r="J102" i="7"/>
  <c r="J103" i="7"/>
  <c r="J104" i="7"/>
  <c r="J105" i="7"/>
  <c r="J106" i="7"/>
  <c r="J107" i="7"/>
  <c r="J108" i="7"/>
  <c r="J109" i="7"/>
  <c r="J110" i="7"/>
  <c r="J111" i="7"/>
  <c r="J112" i="7"/>
  <c r="J113" i="7"/>
  <c r="J114" i="7"/>
  <c r="J115" i="7"/>
  <c r="J116" i="7"/>
  <c r="J117" i="7"/>
  <c r="J118" i="7"/>
  <c r="J119" i="7"/>
  <c r="J120" i="7"/>
  <c r="J121" i="7"/>
  <c r="J122" i="7"/>
  <c r="J123" i="7"/>
  <c r="J124" i="7"/>
  <c r="J125" i="7"/>
  <c r="J126" i="7"/>
  <c r="J127" i="7"/>
  <c r="J128" i="7"/>
  <c r="J129" i="7"/>
  <c r="J130" i="7"/>
  <c r="J131" i="7"/>
  <c r="J132" i="7"/>
  <c r="J133" i="7"/>
  <c r="J134" i="7"/>
  <c r="J135" i="7"/>
  <c r="J136" i="7"/>
  <c r="J137" i="7"/>
  <c r="J138" i="7"/>
  <c r="J139" i="7"/>
  <c r="J140" i="7"/>
  <c r="J141" i="7"/>
  <c r="J142" i="7"/>
  <c r="J143" i="7"/>
  <c r="J144" i="7"/>
  <c r="J145" i="7"/>
  <c r="J146" i="7"/>
  <c r="J147" i="7"/>
  <c r="J148" i="7"/>
  <c r="J149" i="7"/>
  <c r="J150" i="7"/>
  <c r="J151" i="7"/>
  <c r="J152" i="7"/>
  <c r="J153" i="7"/>
  <c r="J154" i="7"/>
  <c r="J155" i="7"/>
  <c r="J156" i="7"/>
  <c r="J157" i="7"/>
  <c r="J158" i="7"/>
  <c r="J159" i="7"/>
  <c r="J160" i="7"/>
  <c r="J161" i="7"/>
  <c r="J162" i="7"/>
  <c r="J163" i="7"/>
  <c r="J164" i="7"/>
  <c r="J165" i="7"/>
  <c r="J166" i="7"/>
  <c r="J167" i="7"/>
  <c r="J168" i="7"/>
  <c r="J169" i="7"/>
  <c r="J170" i="7"/>
  <c r="J171" i="7"/>
  <c r="J172" i="7"/>
  <c r="J173" i="7"/>
  <c r="J174" i="7"/>
  <c r="J175" i="7"/>
  <c r="J176" i="7"/>
  <c r="J177" i="7"/>
  <c r="J178" i="7"/>
  <c r="J179" i="7"/>
  <c r="J180" i="7"/>
  <c r="J181" i="7"/>
  <c r="J182" i="7"/>
  <c r="J183" i="7"/>
  <c r="J184" i="7"/>
  <c r="J185" i="7"/>
  <c r="J186" i="7"/>
  <c r="J187" i="7"/>
  <c r="J188" i="7"/>
  <c r="J189" i="7"/>
  <c r="J190" i="7"/>
  <c r="J191" i="7"/>
  <c r="J192" i="7"/>
  <c r="J193" i="7"/>
  <c r="J194" i="7"/>
  <c r="J195" i="7"/>
  <c r="J196" i="7"/>
  <c r="J197" i="7"/>
  <c r="J198" i="7"/>
  <c r="J199" i="7"/>
  <c r="J200" i="7"/>
  <c r="J201" i="7"/>
  <c r="J202" i="7"/>
  <c r="J203" i="7"/>
  <c r="J204" i="7"/>
  <c r="J205" i="7"/>
  <c r="J206" i="7"/>
  <c r="J207" i="7"/>
  <c r="J208" i="7"/>
  <c r="J209" i="7"/>
  <c r="J210" i="7"/>
  <c r="J211" i="7"/>
  <c r="J212" i="7"/>
  <c r="J213" i="7"/>
  <c r="J214" i="7"/>
  <c r="J215" i="7"/>
  <c r="J216" i="7"/>
  <c r="J217" i="7"/>
  <c r="J218" i="7"/>
  <c r="J219" i="7"/>
  <c r="J220" i="7"/>
  <c r="J221" i="7"/>
  <c r="J222" i="7"/>
  <c r="J223" i="7"/>
  <c r="J224" i="7"/>
  <c r="J225" i="7"/>
  <c r="J226" i="7"/>
  <c r="J227" i="7"/>
  <c r="J228" i="7"/>
  <c r="J229" i="7"/>
  <c r="J230" i="7"/>
  <c r="J231" i="7"/>
  <c r="J232" i="7"/>
  <c r="J233" i="7"/>
  <c r="J234" i="7"/>
  <c r="J235" i="7"/>
  <c r="J236" i="7"/>
  <c r="J237" i="7"/>
  <c r="J238" i="7"/>
  <c r="J239" i="7"/>
  <c r="J240" i="7"/>
  <c r="J241" i="7"/>
  <c r="J242" i="7"/>
  <c r="J243" i="7"/>
  <c r="J244" i="7"/>
  <c r="J245" i="7"/>
  <c r="J246" i="7"/>
  <c r="J247" i="7"/>
  <c r="J248" i="7"/>
  <c r="J249" i="7"/>
  <c r="J250" i="7"/>
  <c r="J251" i="7"/>
  <c r="J252" i="7"/>
  <c r="J253" i="7"/>
  <c r="J254" i="7"/>
  <c r="J255" i="7"/>
  <c r="J256" i="7"/>
  <c r="J257" i="7"/>
  <c r="J258" i="7"/>
  <c r="J259" i="7"/>
  <c r="J260" i="7"/>
  <c r="J261" i="7"/>
  <c r="J262" i="7"/>
  <c r="J263" i="7"/>
  <c r="J264" i="7"/>
  <c r="J265" i="7"/>
  <c r="J266" i="7"/>
  <c r="J267" i="7"/>
  <c r="J268" i="7"/>
  <c r="J269" i="7"/>
  <c r="J270" i="7"/>
  <c r="J271" i="7"/>
  <c r="J272" i="7"/>
  <c r="J273" i="7"/>
  <c r="J274" i="7"/>
  <c r="J275" i="7"/>
  <c r="J276" i="7"/>
  <c r="J277" i="7"/>
  <c r="J278" i="7"/>
  <c r="J279" i="7"/>
  <c r="J280" i="7"/>
  <c r="J281" i="7"/>
  <c r="J282" i="7"/>
  <c r="J283" i="7"/>
  <c r="J284" i="7"/>
  <c r="J285" i="7"/>
  <c r="J286" i="7"/>
  <c r="J287" i="7"/>
  <c r="J288" i="7"/>
  <c r="J289" i="7"/>
  <c r="J290" i="7"/>
  <c r="J291" i="7"/>
  <c r="J292" i="7"/>
  <c r="J293" i="7"/>
  <c r="J294" i="7"/>
  <c r="J295" i="7"/>
  <c r="J296" i="7"/>
  <c r="J297" i="7"/>
  <c r="J298" i="7"/>
  <c r="J299" i="7"/>
  <c r="J300" i="7"/>
  <c r="J301" i="7"/>
  <c r="J302" i="7"/>
  <c r="J303" i="7"/>
  <c r="J304" i="7"/>
  <c r="J305" i="7"/>
  <c r="J306" i="7"/>
  <c r="J307" i="7"/>
  <c r="J308" i="7"/>
  <c r="J309" i="7"/>
  <c r="J310" i="7"/>
  <c r="J311" i="7"/>
  <c r="J312" i="7"/>
  <c r="J313" i="7"/>
  <c r="J314" i="7"/>
  <c r="J315" i="7"/>
  <c r="J316" i="7"/>
  <c r="J317" i="7"/>
  <c r="J318" i="7"/>
  <c r="J319" i="7"/>
  <c r="J320" i="7"/>
  <c r="J321" i="7"/>
  <c r="J322" i="7"/>
  <c r="J323" i="7"/>
  <c r="J324" i="7"/>
  <c r="J325" i="7"/>
  <c r="J326" i="7"/>
  <c r="J327" i="7"/>
  <c r="J328" i="7"/>
  <c r="J329" i="7"/>
  <c r="J330" i="7"/>
  <c r="J331" i="7"/>
  <c r="J332" i="7"/>
  <c r="J333" i="7"/>
  <c r="J334" i="7"/>
  <c r="J335" i="7"/>
  <c r="J336" i="7"/>
  <c r="J337" i="7"/>
  <c r="J338" i="7"/>
  <c r="J339" i="7"/>
  <c r="J340" i="7"/>
  <c r="J341" i="7"/>
  <c r="J342" i="7"/>
  <c r="J343" i="7"/>
  <c r="J344" i="7"/>
  <c r="J345" i="7"/>
  <c r="J346" i="7"/>
  <c r="J347" i="7"/>
  <c r="J348" i="7"/>
  <c r="J349" i="7"/>
  <c r="J350" i="7"/>
  <c r="J351" i="7"/>
  <c r="J352" i="7"/>
  <c r="J353" i="7"/>
  <c r="J354" i="7"/>
  <c r="J355" i="7"/>
  <c r="J356" i="7"/>
  <c r="J357" i="7"/>
  <c r="J358" i="7"/>
  <c r="J359" i="7"/>
  <c r="J360" i="7"/>
  <c r="J361" i="7"/>
  <c r="J362" i="7"/>
  <c r="J363" i="7"/>
  <c r="J364" i="7"/>
  <c r="J365" i="7"/>
  <c r="J366" i="7"/>
  <c r="J367" i="7"/>
  <c r="J368" i="7"/>
  <c r="J369" i="7"/>
  <c r="J370" i="7"/>
  <c r="J371" i="7"/>
  <c r="J372" i="7"/>
  <c r="J373" i="7"/>
  <c r="J374" i="7"/>
  <c r="J375" i="7"/>
  <c r="J376" i="7"/>
  <c r="J377" i="7"/>
  <c r="J378" i="7"/>
  <c r="J379" i="7"/>
  <c r="J380" i="7"/>
  <c r="J381" i="7"/>
  <c r="J382" i="7"/>
  <c r="J383" i="7"/>
  <c r="J384" i="7"/>
  <c r="J385" i="7"/>
  <c r="J386" i="7"/>
  <c r="J387" i="7"/>
  <c r="J388" i="7"/>
  <c r="J389" i="7"/>
  <c r="J390" i="7"/>
  <c r="J391" i="7"/>
  <c r="J392" i="7"/>
  <c r="J393" i="7"/>
  <c r="J394" i="7"/>
  <c r="J395" i="7"/>
  <c r="J396" i="7"/>
  <c r="J397" i="7"/>
  <c r="J398" i="7"/>
  <c r="J399" i="7"/>
  <c r="J400" i="7"/>
  <c r="J401" i="7"/>
  <c r="J402" i="7"/>
  <c r="J403" i="7"/>
  <c r="J404" i="7"/>
  <c r="J405" i="7"/>
  <c r="J406" i="7"/>
  <c r="J407" i="7"/>
  <c r="J408" i="7"/>
  <c r="J409" i="7"/>
  <c r="J410" i="7"/>
  <c r="J411" i="7"/>
  <c r="J412" i="7"/>
  <c r="J413" i="7"/>
  <c r="J414" i="7"/>
  <c r="J415" i="7"/>
  <c r="J416" i="7"/>
  <c r="J417" i="7"/>
  <c r="J418" i="7"/>
  <c r="J419" i="7"/>
  <c r="J420" i="7"/>
  <c r="J421" i="7"/>
  <c r="J422" i="7"/>
  <c r="J423" i="7"/>
  <c r="J424" i="7"/>
  <c r="J425" i="7"/>
  <c r="J426" i="7"/>
  <c r="J427" i="7"/>
  <c r="J428" i="7"/>
  <c r="J429" i="7"/>
  <c r="J430" i="7"/>
  <c r="J431" i="7"/>
  <c r="J432" i="7"/>
  <c r="J433" i="7"/>
  <c r="J434" i="7"/>
  <c r="J435" i="7"/>
  <c r="J436" i="7"/>
  <c r="J437" i="7"/>
  <c r="J438" i="7"/>
  <c r="J439" i="7"/>
  <c r="J440" i="7"/>
  <c r="J441" i="7"/>
  <c r="J442" i="7"/>
  <c r="J443" i="7"/>
  <c r="J444" i="7"/>
  <c r="J445" i="7"/>
  <c r="J446" i="7"/>
  <c r="J447" i="7"/>
  <c r="J448" i="7"/>
  <c r="J449" i="7"/>
  <c r="J450" i="7"/>
  <c r="J451" i="7"/>
  <c r="J452" i="7"/>
  <c r="J453" i="7"/>
  <c r="J454" i="7"/>
  <c r="J455" i="7"/>
  <c r="J456" i="7"/>
  <c r="J457" i="7"/>
  <c r="J458" i="7"/>
  <c r="J459" i="7"/>
  <c r="J460" i="7"/>
  <c r="J461" i="7"/>
  <c r="J462" i="7"/>
  <c r="J463" i="7"/>
  <c r="J464" i="7"/>
  <c r="J465" i="7"/>
  <c r="J466" i="7"/>
  <c r="J467" i="7"/>
  <c r="J468" i="7"/>
  <c r="J469" i="7"/>
  <c r="J470" i="7"/>
  <c r="J471" i="7"/>
  <c r="J472" i="7"/>
  <c r="J473" i="7"/>
  <c r="J474" i="7"/>
  <c r="J475" i="7"/>
  <c r="J476" i="7"/>
  <c r="J477" i="7"/>
  <c r="J478" i="7"/>
  <c r="J479" i="7"/>
  <c r="J480" i="7"/>
  <c r="J481" i="7"/>
  <c r="J482" i="7"/>
  <c r="J483" i="7"/>
  <c r="J484" i="7"/>
  <c r="J485" i="7"/>
  <c r="J486" i="7"/>
  <c r="J487" i="7"/>
  <c r="J488" i="7"/>
  <c r="J489" i="7"/>
  <c r="J490" i="7"/>
  <c r="J491" i="7"/>
  <c r="J492" i="7"/>
  <c r="J493" i="7"/>
  <c r="J494" i="7"/>
  <c r="J495" i="7"/>
  <c r="J496" i="7"/>
  <c r="J497" i="7"/>
  <c r="J498" i="7"/>
  <c r="J499" i="7"/>
  <c r="J500" i="7"/>
  <c r="J501" i="7"/>
  <c r="J502" i="7"/>
  <c r="J503" i="7"/>
  <c r="J504" i="7"/>
  <c r="J505" i="7"/>
  <c r="J506" i="7"/>
  <c r="J507" i="7"/>
  <c r="J508" i="7"/>
  <c r="J509" i="7"/>
  <c r="J510" i="7"/>
  <c r="J511" i="7"/>
  <c r="J512" i="7"/>
  <c r="J513" i="7"/>
  <c r="J514" i="7"/>
  <c r="J515" i="7"/>
  <c r="J516" i="7"/>
  <c r="J517" i="7"/>
  <c r="J518" i="7"/>
  <c r="J519" i="7"/>
  <c r="J520" i="7"/>
  <c r="J521" i="7"/>
  <c r="J522" i="7"/>
  <c r="J523" i="7"/>
  <c r="J524" i="7"/>
  <c r="J525" i="7"/>
  <c r="J526" i="7"/>
  <c r="J527" i="7"/>
  <c r="J528" i="7"/>
  <c r="J529" i="7"/>
  <c r="J530" i="7"/>
  <c r="J531" i="7"/>
  <c r="J532" i="7"/>
  <c r="J533" i="7"/>
  <c r="J534" i="7"/>
  <c r="J535" i="7"/>
  <c r="J536" i="7"/>
  <c r="J537" i="7"/>
  <c r="J538" i="7"/>
  <c r="J539" i="7"/>
  <c r="J540" i="7"/>
  <c r="J541" i="7"/>
  <c r="J542" i="7"/>
  <c r="J543" i="7"/>
  <c r="J544" i="7"/>
  <c r="J545" i="7"/>
  <c r="J546" i="7"/>
  <c r="J547" i="7"/>
  <c r="J548" i="7"/>
  <c r="J549" i="7"/>
  <c r="J550" i="7"/>
  <c r="J551" i="7"/>
  <c r="J552" i="7"/>
  <c r="J553" i="7"/>
  <c r="J554" i="7"/>
  <c r="J555" i="7"/>
  <c r="J556" i="7"/>
  <c r="J557" i="7"/>
  <c r="J558" i="7"/>
  <c r="J559" i="7"/>
  <c r="J560" i="7"/>
  <c r="J561" i="7"/>
  <c r="J562" i="7"/>
  <c r="J563" i="7"/>
  <c r="J564" i="7"/>
  <c r="J565" i="7"/>
  <c r="J566" i="7"/>
  <c r="J567" i="7"/>
  <c r="J568" i="7"/>
  <c r="J569" i="7"/>
  <c r="J570" i="7"/>
  <c r="J571" i="7"/>
  <c r="J572" i="7"/>
  <c r="J573" i="7"/>
  <c r="J574" i="7"/>
  <c r="J575" i="7"/>
  <c r="J576" i="7"/>
  <c r="J577" i="7"/>
  <c r="J578" i="7"/>
  <c r="J579" i="7"/>
  <c r="J580" i="7"/>
  <c r="J581" i="7"/>
  <c r="J582" i="7"/>
  <c r="J583" i="7"/>
  <c r="J584" i="7"/>
  <c r="J585" i="7"/>
  <c r="J586" i="7"/>
  <c r="J587" i="7"/>
  <c r="J588" i="7"/>
  <c r="J589" i="7"/>
  <c r="J590" i="7"/>
  <c r="J591" i="7"/>
  <c r="J592" i="7"/>
  <c r="J593" i="7"/>
  <c r="J594" i="7"/>
  <c r="J595" i="7"/>
  <c r="J596" i="7"/>
  <c r="J597" i="7"/>
  <c r="J598" i="7"/>
  <c r="J599" i="7"/>
  <c r="J600" i="7"/>
  <c r="J601" i="7"/>
  <c r="J602" i="7"/>
  <c r="J603" i="7"/>
  <c r="J604" i="7"/>
  <c r="J605" i="7"/>
  <c r="J606" i="7"/>
  <c r="J607" i="7"/>
  <c r="J608" i="7"/>
  <c r="J609" i="7"/>
  <c r="J610" i="7"/>
  <c r="J611" i="7"/>
  <c r="J612" i="7"/>
  <c r="J613" i="7"/>
  <c r="J614" i="7"/>
  <c r="J615" i="7"/>
  <c r="J616" i="7"/>
  <c r="J617" i="7"/>
  <c r="J618" i="7"/>
  <c r="J619" i="7"/>
  <c r="J620" i="7"/>
  <c r="J621" i="7"/>
  <c r="J622" i="7"/>
  <c r="J623" i="7"/>
  <c r="J624" i="7"/>
  <c r="J625" i="7"/>
  <c r="J626" i="7"/>
  <c r="J627" i="7"/>
  <c r="J628" i="7"/>
  <c r="J629" i="7"/>
  <c r="J630" i="7"/>
  <c r="J631" i="7"/>
  <c r="J632" i="7"/>
  <c r="J633" i="7"/>
  <c r="J634" i="7"/>
  <c r="J635" i="7"/>
  <c r="J636" i="7"/>
  <c r="J637" i="7"/>
  <c r="J638" i="7"/>
  <c r="J639" i="7"/>
  <c r="J640" i="7"/>
  <c r="J641" i="7"/>
  <c r="J642" i="7"/>
  <c r="J643" i="7"/>
  <c r="J644" i="7"/>
  <c r="J645" i="7"/>
  <c r="J646" i="7"/>
  <c r="J647" i="7"/>
  <c r="J648" i="7"/>
  <c r="J649" i="7"/>
  <c r="J650" i="7"/>
  <c r="J651" i="7"/>
  <c r="J652" i="7"/>
  <c r="J653" i="7"/>
  <c r="J654" i="7"/>
  <c r="J655" i="7"/>
  <c r="J656" i="7"/>
  <c r="J657" i="7"/>
  <c r="J658" i="7"/>
  <c r="J659" i="7"/>
  <c r="J660" i="7"/>
  <c r="J661" i="7"/>
  <c r="J662" i="7"/>
  <c r="J663" i="7"/>
  <c r="J664" i="7"/>
  <c r="J665" i="7"/>
  <c r="J666" i="7"/>
  <c r="J667" i="7"/>
  <c r="J668" i="7"/>
  <c r="J669" i="7"/>
  <c r="J670" i="7"/>
  <c r="J671" i="7"/>
  <c r="J672" i="7"/>
  <c r="J673" i="7"/>
  <c r="J674" i="7"/>
  <c r="J675" i="7"/>
  <c r="J676" i="7"/>
  <c r="J677" i="7"/>
  <c r="J678" i="7"/>
  <c r="J679" i="7"/>
  <c r="J680" i="7"/>
  <c r="J681" i="7"/>
  <c r="J682" i="7"/>
  <c r="J683" i="7"/>
  <c r="J684" i="7"/>
  <c r="J685" i="7"/>
  <c r="J686" i="7"/>
  <c r="J687" i="7"/>
  <c r="J688" i="7"/>
  <c r="J689" i="7"/>
  <c r="J690" i="7"/>
  <c r="J691" i="7"/>
  <c r="J692" i="7"/>
  <c r="J693" i="7"/>
  <c r="J694" i="7"/>
  <c r="J695" i="7"/>
  <c r="J696" i="7"/>
  <c r="J697" i="7"/>
  <c r="J698" i="7"/>
  <c r="J699" i="7"/>
  <c r="J700" i="7"/>
  <c r="J701" i="7"/>
  <c r="J702" i="7"/>
  <c r="J703" i="7"/>
  <c r="J704" i="7"/>
  <c r="J705" i="7"/>
  <c r="J706" i="7"/>
  <c r="J707" i="7"/>
  <c r="J708" i="7"/>
  <c r="J709" i="7"/>
  <c r="J710" i="7"/>
  <c r="J711" i="7"/>
  <c r="J712" i="7"/>
  <c r="J713" i="7"/>
  <c r="J714" i="7"/>
  <c r="J715" i="7"/>
  <c r="J716" i="7"/>
  <c r="J717" i="7"/>
  <c r="J718" i="7"/>
  <c r="J719" i="7"/>
  <c r="J720" i="7"/>
  <c r="J721" i="7"/>
  <c r="J722" i="7"/>
  <c r="J723" i="7"/>
  <c r="J724" i="7"/>
  <c r="J725" i="7"/>
  <c r="J726" i="7"/>
  <c r="J727" i="7"/>
  <c r="J728" i="7"/>
  <c r="J729" i="7"/>
  <c r="J730" i="7"/>
  <c r="J731" i="7"/>
  <c r="J732" i="7"/>
  <c r="J733" i="7"/>
  <c r="J734" i="7"/>
  <c r="J735" i="7"/>
  <c r="J736" i="7"/>
  <c r="J737" i="7"/>
  <c r="J738" i="7"/>
  <c r="J739" i="7"/>
  <c r="J740" i="7"/>
  <c r="J741" i="7"/>
  <c r="J742" i="7"/>
  <c r="J743" i="7"/>
  <c r="J744" i="7"/>
  <c r="J745" i="7"/>
  <c r="J746" i="7"/>
  <c r="J747" i="7"/>
  <c r="J748" i="7"/>
  <c r="J749" i="7"/>
  <c r="J750" i="7"/>
  <c r="J751" i="7"/>
  <c r="J752" i="7"/>
  <c r="J753" i="7"/>
  <c r="J754" i="7"/>
  <c r="J755" i="7"/>
  <c r="J756" i="7"/>
  <c r="J757" i="7"/>
  <c r="J758" i="7"/>
  <c r="J759" i="7"/>
  <c r="J760" i="7"/>
  <c r="J761" i="7"/>
  <c r="J762" i="7"/>
  <c r="J763" i="7"/>
  <c r="J764" i="7"/>
  <c r="J765" i="7"/>
  <c r="J766" i="7"/>
  <c r="J767" i="7"/>
  <c r="J768" i="7"/>
  <c r="J769" i="7"/>
  <c r="J770" i="7"/>
  <c r="J771" i="7"/>
  <c r="J772" i="7"/>
  <c r="J773" i="7"/>
  <c r="J774" i="7"/>
  <c r="J775" i="7"/>
  <c r="J776" i="7"/>
  <c r="J777" i="7"/>
  <c r="J778" i="7"/>
  <c r="J779" i="7"/>
  <c r="J780" i="7"/>
  <c r="J781" i="7"/>
  <c r="J782" i="7"/>
  <c r="J783" i="7"/>
  <c r="J784" i="7"/>
  <c r="J785" i="7"/>
  <c r="J786" i="7"/>
  <c r="J787" i="7"/>
  <c r="J788" i="7"/>
  <c r="J789" i="7"/>
  <c r="J790" i="7"/>
  <c r="J791" i="7"/>
  <c r="J792" i="7"/>
  <c r="J793" i="7"/>
  <c r="J794" i="7"/>
  <c r="J795" i="7"/>
  <c r="J796" i="7"/>
  <c r="J797" i="7"/>
  <c r="J798" i="7"/>
  <c r="J799" i="7"/>
  <c r="J800" i="7"/>
  <c r="J801" i="7"/>
  <c r="J802" i="7"/>
  <c r="J803" i="7"/>
  <c r="J804" i="7"/>
  <c r="J805" i="7"/>
  <c r="J806" i="7"/>
  <c r="J807" i="7"/>
  <c r="J808" i="7"/>
  <c r="J809" i="7"/>
  <c r="J810" i="7"/>
  <c r="J811" i="7"/>
  <c r="J812" i="7"/>
  <c r="J813" i="7"/>
  <c r="J814" i="7"/>
  <c r="J815" i="7"/>
  <c r="J816" i="7"/>
  <c r="J817" i="7"/>
  <c r="J818" i="7"/>
  <c r="J819" i="7"/>
  <c r="J820" i="7"/>
  <c r="J821" i="7"/>
  <c r="J822" i="7"/>
  <c r="J823" i="7"/>
  <c r="J824" i="7"/>
  <c r="J825" i="7"/>
  <c r="J826" i="7"/>
  <c r="J827" i="7"/>
  <c r="J828" i="7"/>
  <c r="J829" i="7"/>
  <c r="J830" i="7"/>
  <c r="J831" i="7"/>
  <c r="J832" i="7"/>
  <c r="J833" i="7"/>
  <c r="J834" i="7"/>
  <c r="J835" i="7"/>
  <c r="J836" i="7"/>
  <c r="J837" i="7"/>
  <c r="J838" i="7"/>
  <c r="J839" i="7"/>
  <c r="J840" i="7"/>
  <c r="J841" i="7"/>
  <c r="J842" i="7"/>
  <c r="J843" i="7"/>
  <c r="J844" i="7"/>
  <c r="J845" i="7"/>
  <c r="J846" i="7"/>
  <c r="J847" i="7"/>
  <c r="J848" i="7"/>
  <c r="J849" i="7"/>
  <c r="J850" i="7"/>
  <c r="J851" i="7"/>
  <c r="J852" i="7"/>
  <c r="J853" i="7"/>
  <c r="J854" i="7"/>
  <c r="J855" i="7"/>
  <c r="J856" i="7"/>
  <c r="J857" i="7"/>
  <c r="J858" i="7"/>
  <c r="J859" i="7"/>
  <c r="J860" i="7"/>
  <c r="J861" i="7"/>
  <c r="J862" i="7"/>
  <c r="J863" i="7"/>
  <c r="J864" i="7"/>
  <c r="J865" i="7"/>
  <c r="J866" i="7"/>
  <c r="J867" i="7"/>
  <c r="J868" i="7"/>
  <c r="J869" i="7"/>
  <c r="J870" i="7"/>
  <c r="J871" i="7"/>
  <c r="J872" i="7"/>
  <c r="J873" i="7"/>
  <c r="J874" i="7"/>
  <c r="J875" i="7"/>
  <c r="J876" i="7"/>
  <c r="J877" i="7"/>
  <c r="J878" i="7"/>
  <c r="J879" i="7"/>
  <c r="J880" i="7"/>
  <c r="J881" i="7"/>
  <c r="J882" i="7"/>
  <c r="J883" i="7"/>
  <c r="J884" i="7"/>
  <c r="J885" i="7"/>
  <c r="J886" i="7"/>
  <c r="J887" i="7"/>
  <c r="J888" i="7"/>
  <c r="J889" i="7"/>
  <c r="J890" i="7"/>
  <c r="J891" i="7"/>
  <c r="J892" i="7"/>
  <c r="J893" i="7"/>
  <c r="J894" i="7"/>
  <c r="J895" i="7"/>
  <c r="J896" i="7"/>
  <c r="J897" i="7"/>
  <c r="J898" i="7"/>
  <c r="J899" i="7"/>
  <c r="J900" i="7"/>
  <c r="J901" i="7"/>
  <c r="J902" i="7"/>
  <c r="J903" i="7"/>
  <c r="J904" i="7"/>
  <c r="J905" i="7"/>
  <c r="J906" i="7"/>
  <c r="J907" i="7"/>
  <c r="J908" i="7"/>
  <c r="J909" i="7"/>
  <c r="J910" i="7"/>
  <c r="J911" i="7"/>
  <c r="J912" i="7"/>
  <c r="J913" i="7"/>
  <c r="J914" i="7"/>
  <c r="J915" i="7"/>
  <c r="J916" i="7"/>
  <c r="J917" i="7"/>
  <c r="J918" i="7"/>
  <c r="J919" i="7"/>
  <c r="J920" i="7"/>
  <c r="J921" i="7"/>
  <c r="J922" i="7"/>
  <c r="J923" i="7"/>
  <c r="J924" i="7"/>
  <c r="J925" i="7"/>
  <c r="J926" i="7"/>
  <c r="J927" i="7"/>
  <c r="J928" i="7"/>
  <c r="J929" i="7"/>
  <c r="J930" i="7"/>
  <c r="J931" i="7"/>
  <c r="J932" i="7"/>
  <c r="J933" i="7"/>
  <c r="J934" i="7"/>
  <c r="J935" i="7"/>
  <c r="J936" i="7"/>
  <c r="J937" i="7"/>
  <c r="J938" i="7"/>
  <c r="J939" i="7"/>
  <c r="J940" i="7"/>
  <c r="J941" i="7"/>
  <c r="J942" i="7"/>
  <c r="J943" i="7"/>
  <c r="J944" i="7"/>
  <c r="J945" i="7"/>
  <c r="J946" i="7"/>
  <c r="J947" i="7"/>
  <c r="J948" i="7"/>
  <c r="J949" i="7"/>
  <c r="J950" i="7"/>
  <c r="J951" i="7"/>
  <c r="J952" i="7"/>
  <c r="J953" i="7"/>
  <c r="J954" i="7"/>
  <c r="J955" i="7"/>
  <c r="J956" i="7"/>
  <c r="J957" i="7"/>
  <c r="J958" i="7"/>
  <c r="J959" i="7"/>
  <c r="J960" i="7"/>
  <c r="J961" i="7"/>
  <c r="J962" i="7"/>
  <c r="J963" i="7"/>
  <c r="J964" i="7"/>
  <c r="J965" i="7"/>
  <c r="J966" i="7"/>
  <c r="J967" i="7"/>
  <c r="J968" i="7"/>
  <c r="J969" i="7"/>
  <c r="J970" i="7"/>
  <c r="J971" i="7"/>
  <c r="J972" i="7"/>
  <c r="J973" i="7"/>
  <c r="J974" i="7"/>
  <c r="J975" i="7"/>
  <c r="J976" i="7"/>
  <c r="J977" i="7"/>
  <c r="J978" i="7"/>
  <c r="J979" i="7"/>
  <c r="J980" i="7"/>
  <c r="J981" i="7"/>
  <c r="J982" i="7"/>
  <c r="J983" i="7"/>
  <c r="J984" i="7"/>
  <c r="J985" i="7"/>
  <c r="J986" i="7"/>
  <c r="J987" i="7"/>
  <c r="J988" i="7"/>
  <c r="J989" i="7"/>
  <c r="J990" i="7"/>
  <c r="J991" i="7"/>
  <c r="J992" i="7"/>
  <c r="J993" i="7"/>
  <c r="J994" i="7"/>
  <c r="J995" i="7"/>
  <c r="J996" i="7"/>
  <c r="J997" i="7"/>
  <c r="J998" i="7"/>
  <c r="J999" i="7"/>
  <c r="J1000" i="7"/>
  <c r="J1001" i="7"/>
  <c r="J1002" i="7"/>
  <c r="J1003" i="7"/>
  <c r="J1004" i="7"/>
  <c r="J1005" i="7"/>
  <c r="J1006" i="7"/>
  <c r="J1007" i="7"/>
  <c r="J1008" i="7"/>
  <c r="J1009" i="7"/>
  <c r="J1010" i="7"/>
  <c r="J1011" i="7"/>
  <c r="J1012" i="7"/>
  <c r="J1013" i="7"/>
  <c r="J1014" i="7"/>
  <c r="J1015" i="7"/>
  <c r="J1016" i="7"/>
  <c r="J1017" i="7"/>
  <c r="J1018" i="7"/>
  <c r="J1019" i="7"/>
  <c r="J1020" i="7"/>
  <c r="J1021" i="7"/>
  <c r="J1022" i="7"/>
  <c r="J1023" i="7"/>
  <c r="J1024" i="7"/>
  <c r="J1025" i="7"/>
  <c r="J1026" i="7"/>
  <c r="J1027" i="7"/>
  <c r="J1028" i="7"/>
  <c r="J1029" i="7"/>
  <c r="J1030" i="7"/>
  <c r="J1031" i="7"/>
  <c r="J1032" i="7"/>
  <c r="J1033" i="7"/>
  <c r="J1034" i="7"/>
  <c r="J1035" i="7"/>
  <c r="J1036" i="7"/>
  <c r="J1037" i="7"/>
  <c r="J1038" i="7"/>
  <c r="J1039" i="7"/>
  <c r="J1040" i="7"/>
  <c r="J1041" i="7"/>
  <c r="J1042" i="7"/>
  <c r="J1043" i="7"/>
  <c r="J1044" i="7"/>
  <c r="J1045" i="7"/>
  <c r="J1046" i="7"/>
  <c r="J1047" i="7"/>
  <c r="J1048" i="7"/>
  <c r="J1049" i="7"/>
  <c r="J1050" i="7"/>
  <c r="J1051" i="7"/>
  <c r="J1052" i="7"/>
  <c r="J1053" i="7"/>
  <c r="J1054" i="7"/>
  <c r="J1055" i="7"/>
  <c r="J1056" i="7"/>
  <c r="J1057" i="7"/>
  <c r="J1058" i="7"/>
  <c r="J1059" i="7"/>
  <c r="J1060" i="7"/>
  <c r="J1061" i="7"/>
  <c r="J1062" i="7"/>
  <c r="J1063" i="7"/>
  <c r="J1064" i="7"/>
  <c r="J1065" i="7"/>
  <c r="J1066" i="7"/>
  <c r="J1067" i="7"/>
  <c r="J1068" i="7"/>
  <c r="J1069" i="7"/>
  <c r="J1070" i="7"/>
  <c r="J1071" i="7"/>
  <c r="J1072" i="7"/>
  <c r="J1073" i="7"/>
  <c r="J1074" i="7"/>
  <c r="J1075" i="7"/>
  <c r="J1076" i="7"/>
  <c r="J1077" i="7"/>
  <c r="J1078" i="7"/>
  <c r="J1079" i="7"/>
  <c r="J1080" i="7"/>
  <c r="J1081" i="7"/>
  <c r="J1082" i="7"/>
  <c r="J1083" i="7"/>
  <c r="J1084" i="7"/>
  <c r="J1085" i="7"/>
  <c r="J1086" i="7"/>
  <c r="J1087" i="7"/>
  <c r="J1088" i="7"/>
  <c r="J1089" i="7"/>
  <c r="J1090" i="7"/>
  <c r="J1091" i="7"/>
  <c r="J1092" i="7"/>
  <c r="J1093" i="7"/>
  <c r="J1094" i="7"/>
  <c r="J1095" i="7"/>
  <c r="J1096" i="7"/>
  <c r="J1097" i="7"/>
  <c r="J1098" i="7"/>
  <c r="J1099" i="7"/>
  <c r="J1100" i="7"/>
  <c r="J1101" i="7"/>
  <c r="J1102" i="7"/>
  <c r="J1103" i="7"/>
  <c r="J1104" i="7"/>
  <c r="J1105" i="7"/>
  <c r="J1106" i="7"/>
  <c r="J1107" i="7"/>
  <c r="J1108" i="7"/>
  <c r="J1109" i="7"/>
  <c r="J1110" i="7"/>
  <c r="J1111" i="7"/>
  <c r="J1112" i="7"/>
  <c r="J1113" i="7"/>
  <c r="J1114" i="7"/>
  <c r="J1115" i="7"/>
  <c r="J1116" i="7"/>
  <c r="J1117" i="7"/>
  <c r="J1118" i="7"/>
  <c r="J1119" i="7"/>
  <c r="J1120" i="7"/>
  <c r="J1121" i="7"/>
  <c r="J1122" i="7"/>
  <c r="J1123" i="7"/>
  <c r="J1124" i="7"/>
  <c r="J1125" i="7"/>
  <c r="J1126" i="7"/>
  <c r="J1127" i="7"/>
  <c r="J1128" i="7"/>
  <c r="J1129" i="7"/>
  <c r="J1130" i="7"/>
  <c r="J1131" i="7"/>
  <c r="J1132" i="7"/>
  <c r="J1133" i="7"/>
  <c r="J1134" i="7"/>
  <c r="J1135" i="7"/>
  <c r="J1136" i="7"/>
  <c r="J1137" i="7"/>
  <c r="J1138" i="7"/>
  <c r="J1139" i="7"/>
  <c r="J1140" i="7"/>
  <c r="J1141" i="7"/>
  <c r="J1142" i="7"/>
  <c r="J1143" i="7"/>
  <c r="J1144" i="7"/>
  <c r="J1145" i="7"/>
  <c r="J1146" i="7"/>
  <c r="J1147" i="7"/>
  <c r="J1148" i="7"/>
  <c r="J1149" i="7"/>
  <c r="J1150" i="7"/>
  <c r="J1151" i="7"/>
  <c r="J1152" i="7"/>
  <c r="J1153" i="7"/>
  <c r="J1154" i="7"/>
  <c r="J1155" i="7"/>
  <c r="J1156" i="7"/>
  <c r="J1157" i="7"/>
  <c r="J1158" i="7"/>
  <c r="J1159" i="7"/>
  <c r="J1160" i="7"/>
  <c r="J1161" i="7"/>
  <c r="J1162" i="7"/>
  <c r="J1163" i="7"/>
  <c r="J1164" i="7"/>
  <c r="J1165" i="7"/>
  <c r="J1166" i="7"/>
  <c r="J1167" i="7"/>
  <c r="J1168" i="7"/>
  <c r="J1169" i="7"/>
  <c r="J1170" i="7"/>
  <c r="J1171" i="7"/>
  <c r="J1172" i="7"/>
  <c r="J1173" i="7"/>
  <c r="J1174" i="7"/>
  <c r="J1175" i="7"/>
  <c r="J1176" i="7"/>
  <c r="J1177" i="7"/>
  <c r="J1178" i="7"/>
  <c r="J1179" i="7"/>
  <c r="J1180" i="7"/>
  <c r="J1181" i="7"/>
  <c r="J1182" i="7"/>
  <c r="J1183" i="7"/>
  <c r="J1184" i="7"/>
  <c r="J1185" i="7"/>
  <c r="J1186" i="7"/>
  <c r="J1187" i="7"/>
  <c r="J1188" i="7"/>
  <c r="J1189" i="7"/>
  <c r="J1190" i="7"/>
  <c r="J1191" i="7"/>
  <c r="J1192" i="7"/>
  <c r="J1193" i="7"/>
  <c r="J1194" i="7"/>
  <c r="J1195" i="7"/>
  <c r="J1196" i="7"/>
  <c r="J1197" i="7"/>
  <c r="J1198" i="7"/>
  <c r="J1199" i="7"/>
  <c r="J1200" i="7"/>
  <c r="J1201" i="7"/>
  <c r="J1202" i="7"/>
  <c r="J1203" i="7"/>
  <c r="J1204" i="7"/>
  <c r="J1205" i="7"/>
  <c r="J1206" i="7"/>
  <c r="J1207" i="7"/>
  <c r="J1208" i="7"/>
  <c r="J1209" i="7"/>
  <c r="J1210" i="7"/>
  <c r="J1211" i="7"/>
  <c r="J1212" i="7"/>
  <c r="J1213" i="7"/>
  <c r="J1214" i="7"/>
  <c r="J1215" i="7"/>
  <c r="J1216" i="7"/>
  <c r="J1217" i="7"/>
  <c r="J1218" i="7"/>
  <c r="J1219" i="7"/>
  <c r="J1220" i="7"/>
  <c r="J1221" i="7"/>
  <c r="J1222" i="7"/>
  <c r="J1223" i="7"/>
  <c r="J1224" i="7"/>
  <c r="J1225" i="7"/>
  <c r="J1226" i="7"/>
  <c r="J1227" i="7"/>
  <c r="J1228" i="7"/>
  <c r="J1229" i="7"/>
  <c r="J1230" i="7"/>
  <c r="J1231" i="7"/>
  <c r="J1232" i="7"/>
  <c r="J1233" i="7"/>
  <c r="J1234" i="7"/>
  <c r="J1235" i="7"/>
  <c r="J1236" i="7"/>
  <c r="J1237" i="7"/>
  <c r="J1238" i="7"/>
  <c r="J1239" i="7"/>
  <c r="J1240" i="7"/>
  <c r="J1241" i="7"/>
  <c r="J1242" i="7"/>
  <c r="J1243" i="7"/>
  <c r="J1244" i="7"/>
  <c r="J1245" i="7"/>
  <c r="J1246" i="7"/>
  <c r="J1247" i="7"/>
  <c r="J1248" i="7"/>
  <c r="J1249" i="7"/>
  <c r="J1250" i="7"/>
  <c r="J1251" i="7"/>
  <c r="J1252" i="7"/>
  <c r="J1253" i="7"/>
  <c r="J1254" i="7"/>
  <c r="J1255" i="7"/>
  <c r="J1256" i="7"/>
  <c r="J1257" i="7"/>
  <c r="J1258" i="7"/>
  <c r="J1259" i="7"/>
  <c r="J1260" i="7"/>
  <c r="J1261" i="7"/>
  <c r="J1262" i="7"/>
  <c r="J1263" i="7"/>
  <c r="J1264" i="7"/>
  <c r="J1265" i="7"/>
  <c r="J1266" i="7"/>
  <c r="J1267" i="7"/>
  <c r="J1268" i="7"/>
  <c r="J1269" i="7"/>
  <c r="J1270" i="7"/>
  <c r="J1271" i="7"/>
  <c r="J1272" i="7"/>
  <c r="J1273" i="7"/>
  <c r="J1274" i="7"/>
  <c r="C1276" i="7"/>
  <c r="K20" i="7" l="1"/>
  <c r="K21" i="7"/>
  <c r="K19" i="7"/>
  <c r="K62" i="7"/>
  <c r="K126" i="7"/>
  <c r="K190" i="7"/>
  <c r="K254" i="7"/>
  <c r="K318" i="7"/>
  <c r="K382" i="7"/>
  <c r="K446" i="7"/>
  <c r="K510" i="7"/>
  <c r="K574" i="7"/>
  <c r="K638" i="7"/>
  <c r="K702" i="7"/>
  <c r="K766" i="7"/>
  <c r="K830" i="7"/>
  <c r="K894" i="7"/>
  <c r="K958" i="7"/>
  <c r="K1022" i="7"/>
  <c r="K1086" i="7"/>
  <c r="K1150" i="7"/>
  <c r="K1214" i="7"/>
  <c r="K1240" i="7"/>
  <c r="K154" i="7"/>
  <c r="K522" i="7"/>
  <c r="K922" i="7"/>
  <c r="K31" i="7"/>
  <c r="K95" i="7"/>
  <c r="K159" i="7"/>
  <c r="K223" i="7"/>
  <c r="K287" i="7"/>
  <c r="K351" i="7"/>
  <c r="K415" i="7"/>
  <c r="K479" i="7"/>
  <c r="K543" i="7"/>
  <c r="K607" i="7"/>
  <c r="K671" i="7"/>
  <c r="K735" i="7"/>
  <c r="K799" i="7"/>
  <c r="K863" i="7"/>
  <c r="K927" i="7"/>
  <c r="K991" i="7"/>
  <c r="K1055" i="7"/>
  <c r="K1119" i="7"/>
  <c r="K1183" i="7"/>
  <c r="K1247" i="7"/>
  <c r="K82" i="7"/>
  <c r="K378" i="7"/>
  <c r="K778" i="7"/>
  <c r="K1170" i="7"/>
  <c r="K72" i="7"/>
  <c r="K136" i="7"/>
  <c r="K200" i="7"/>
  <c r="K264" i="7"/>
  <c r="K328" i="7"/>
  <c r="K392" i="7"/>
  <c r="K456" i="7"/>
  <c r="K520" i="7"/>
  <c r="K584" i="7"/>
  <c r="K648" i="7"/>
  <c r="K712" i="7"/>
  <c r="K776" i="7"/>
  <c r="K840" i="7"/>
  <c r="K904" i="7"/>
  <c r="K968" i="7"/>
  <c r="K1032" i="7"/>
  <c r="K1096" i="7"/>
  <c r="K1160" i="7"/>
  <c r="K1224" i="7"/>
  <c r="K314" i="7"/>
  <c r="K698" i="7"/>
  <c r="K1066" i="7"/>
  <c r="K57" i="7"/>
  <c r="K121" i="7"/>
  <c r="K185" i="7"/>
  <c r="K249" i="7"/>
  <c r="K313" i="7"/>
  <c r="K377" i="7"/>
  <c r="K441" i="7"/>
  <c r="K505" i="7"/>
  <c r="K569" i="7"/>
  <c r="K633" i="7"/>
  <c r="K697" i="7"/>
  <c r="K761" i="7"/>
  <c r="K825" i="7"/>
  <c r="K889" i="7"/>
  <c r="K953" i="7"/>
  <c r="K1017" i="7"/>
  <c r="K1081" i="7"/>
  <c r="K1145" i="7"/>
  <c r="K1209" i="7"/>
  <c r="K114" i="7"/>
  <c r="K498" i="7"/>
  <c r="K858" i="7"/>
  <c r="K1242" i="7"/>
  <c r="K84" i="7"/>
  <c r="K148" i="7"/>
  <c r="K212" i="7"/>
  <c r="K276" i="7"/>
  <c r="K340" i="7"/>
  <c r="K404" i="7"/>
  <c r="K468" i="7"/>
  <c r="K532" i="7"/>
  <c r="K596" i="7"/>
  <c r="K660" i="7"/>
  <c r="K724" i="7"/>
  <c r="K788" i="7"/>
  <c r="K852" i="7"/>
  <c r="K916" i="7"/>
  <c r="K980" i="7"/>
  <c r="K1044" i="7"/>
  <c r="K1108" i="7"/>
  <c r="K1172" i="7"/>
  <c r="K1236" i="7"/>
  <c r="K1173" i="7"/>
  <c r="K178" i="7"/>
  <c r="K586" i="7"/>
  <c r="K994" i="7"/>
  <c r="K45" i="7"/>
  <c r="K109" i="7"/>
  <c r="K173" i="7"/>
  <c r="K237" i="7"/>
  <c r="K301" i="7"/>
  <c r="K365" i="7"/>
  <c r="K429" i="7"/>
  <c r="K493" i="7"/>
  <c r="K557" i="7"/>
  <c r="K621" i="7"/>
  <c r="K685" i="7"/>
  <c r="K749" i="7"/>
  <c r="K813" i="7"/>
  <c r="K877" i="7"/>
  <c r="K941" i="7"/>
  <c r="K1005" i="7"/>
  <c r="K1069" i="7"/>
  <c r="K1149" i="7"/>
  <c r="K66" i="7"/>
  <c r="K514" i="7"/>
  <c r="K890" i="7"/>
  <c r="K1274" i="7"/>
  <c r="K515" i="7"/>
  <c r="K803" i="7"/>
  <c r="K1195" i="7"/>
  <c r="K123" i="7"/>
  <c r="K235" i="7"/>
  <c r="K363" i="7"/>
  <c r="K539" i="7"/>
  <c r="K859" i="7"/>
  <c r="K1251" i="7"/>
  <c r="K947" i="7"/>
  <c r="K203" i="7"/>
  <c r="K355" i="7"/>
  <c r="K611" i="7"/>
  <c r="K931" i="7"/>
  <c r="K1243" i="7"/>
  <c r="K659" i="7"/>
  <c r="K987" i="7"/>
  <c r="K1258" i="7"/>
  <c r="K883" i="7"/>
  <c r="K70" i="7"/>
  <c r="K134" i="7"/>
  <c r="K198" i="7"/>
  <c r="K262" i="7"/>
  <c r="K326" i="7"/>
  <c r="K390" i="7"/>
  <c r="K454" i="7"/>
  <c r="K518" i="7"/>
  <c r="K582" i="7"/>
  <c r="K646" i="7"/>
  <c r="K710" i="7"/>
  <c r="K774" i="7"/>
  <c r="K838" i="7"/>
  <c r="K902" i="7"/>
  <c r="K966" i="7"/>
  <c r="K1030" i="7"/>
  <c r="K1094" i="7"/>
  <c r="K1158" i="7"/>
  <c r="K1222" i="7"/>
  <c r="K1256" i="7"/>
  <c r="K202" i="7"/>
  <c r="K570" i="7"/>
  <c r="K978" i="7"/>
  <c r="K39" i="7"/>
  <c r="K103" i="7"/>
  <c r="K167" i="7"/>
  <c r="K231" i="7"/>
  <c r="K295" i="7"/>
  <c r="K359" i="7"/>
  <c r="K423" i="7"/>
  <c r="K487" i="7"/>
  <c r="K551" i="7"/>
  <c r="K615" i="7"/>
  <c r="K679" i="7"/>
  <c r="K743" i="7"/>
  <c r="K807" i="7"/>
  <c r="K871" i="7"/>
  <c r="K935" i="7"/>
  <c r="K999" i="7"/>
  <c r="K1063" i="7"/>
  <c r="K1127" i="7"/>
  <c r="K1191" i="7"/>
  <c r="K1255" i="7"/>
  <c r="K98" i="7"/>
  <c r="K426" i="7"/>
  <c r="K826" i="7"/>
  <c r="K1218" i="7"/>
  <c r="K80" i="7"/>
  <c r="K144" i="7"/>
  <c r="K208" i="7"/>
  <c r="K272" i="7"/>
  <c r="K336" i="7"/>
  <c r="K400" i="7"/>
  <c r="K464" i="7"/>
  <c r="K528" i="7"/>
  <c r="K592" i="7"/>
  <c r="K656" i="7"/>
  <c r="K720" i="7"/>
  <c r="K784" i="7"/>
  <c r="K848" i="7"/>
  <c r="K912" i="7"/>
  <c r="K976" i="7"/>
  <c r="K1040" i="7"/>
  <c r="K1104" i="7"/>
  <c r="K1168" i="7"/>
  <c r="K1248" i="7"/>
  <c r="K362" i="7"/>
  <c r="K754" i="7"/>
  <c r="K1106" i="7"/>
  <c r="K65" i="7"/>
  <c r="K129" i="7"/>
  <c r="K193" i="7"/>
  <c r="K257" i="7"/>
  <c r="K321" i="7"/>
  <c r="K385" i="7"/>
  <c r="K449" i="7"/>
  <c r="K513" i="7"/>
  <c r="K577" i="7"/>
  <c r="K641" i="7"/>
  <c r="K705" i="7"/>
  <c r="K769" i="7"/>
  <c r="K833" i="7"/>
  <c r="K897" i="7"/>
  <c r="K961" i="7"/>
  <c r="K1025" i="7"/>
  <c r="K1089" i="7"/>
  <c r="K1153" i="7"/>
  <c r="K1217" i="7"/>
  <c r="K162" i="7"/>
  <c r="K546" i="7"/>
  <c r="K906" i="7"/>
  <c r="K28" i="7"/>
  <c r="K92" i="7"/>
  <c r="K156" i="7"/>
  <c r="K220" i="7"/>
  <c r="K284" i="7"/>
  <c r="K348" i="7"/>
  <c r="K412" i="7"/>
  <c r="K476" i="7"/>
  <c r="K540" i="7"/>
  <c r="K604" i="7"/>
  <c r="K668" i="7"/>
  <c r="K732" i="7"/>
  <c r="K796" i="7"/>
  <c r="K860" i="7"/>
  <c r="K924" i="7"/>
  <c r="K988" i="7"/>
  <c r="K1052" i="7"/>
  <c r="K1116" i="7"/>
  <c r="K1180" i="7"/>
  <c r="K1244" i="7"/>
  <c r="K1189" i="7"/>
  <c r="K242" i="7"/>
  <c r="K634" i="7"/>
  <c r="K1050" i="7"/>
  <c r="K53" i="7"/>
  <c r="K117" i="7"/>
  <c r="K181" i="7"/>
  <c r="K245" i="7"/>
  <c r="K309" i="7"/>
  <c r="K373" i="7"/>
  <c r="K437" i="7"/>
  <c r="K501" i="7"/>
  <c r="K565" i="7"/>
  <c r="K629" i="7"/>
  <c r="K693" i="7"/>
  <c r="K757" i="7"/>
  <c r="K821" i="7"/>
  <c r="K885" i="7"/>
  <c r="K949" i="7"/>
  <c r="K1013" i="7"/>
  <c r="K1077" i="7"/>
  <c r="K1165" i="7"/>
  <c r="K170" i="7"/>
  <c r="K562" i="7"/>
  <c r="K930" i="7"/>
  <c r="K67" i="7"/>
  <c r="K547" i="7"/>
  <c r="K851" i="7"/>
  <c r="K1235" i="7"/>
  <c r="K131" i="7"/>
  <c r="K251" i="7"/>
  <c r="K371" i="7"/>
  <c r="K555" i="7"/>
  <c r="K915" i="7"/>
  <c r="K1250" i="7"/>
  <c r="K1003" i="7"/>
  <c r="K227" i="7"/>
  <c r="K379" i="7"/>
  <c r="K651" i="7"/>
  <c r="K979" i="7"/>
  <c r="K51" i="7"/>
  <c r="K683" i="7"/>
  <c r="K1035" i="7"/>
  <c r="K187" i="7"/>
  <c r="K939" i="7"/>
  <c r="K142" i="7"/>
  <c r="K718" i="7"/>
  <c r="K1272" i="7"/>
  <c r="K367" i="7"/>
  <c r="K943" i="7"/>
  <c r="K874" i="7"/>
  <c r="K408" i="7"/>
  <c r="K920" i="7"/>
  <c r="K1154" i="7"/>
  <c r="K393" i="7"/>
  <c r="K713" i="7"/>
  <c r="K1097" i="7"/>
  <c r="K164" i="7"/>
  <c r="K548" i="7"/>
  <c r="K932" i="7"/>
  <c r="K1197" i="7"/>
  <c r="K381" i="7"/>
  <c r="K1085" i="7"/>
  <c r="K731" i="7"/>
  <c r="K214" i="7"/>
  <c r="K790" i="7"/>
  <c r="K1238" i="7"/>
  <c r="K183" i="7"/>
  <c r="K631" i="7"/>
  <c r="K1015" i="7"/>
  <c r="K530" i="7"/>
  <c r="K352" i="7"/>
  <c r="K672" i="7"/>
  <c r="K1120" i="7"/>
  <c r="K273" i="7"/>
  <c r="K657" i="7"/>
  <c r="K977" i="7"/>
  <c r="K258" i="7"/>
  <c r="K172" i="7"/>
  <c r="K556" i="7"/>
  <c r="K876" i="7"/>
  <c r="K1196" i="7"/>
  <c r="K1138" i="7"/>
  <c r="K261" i="7"/>
  <c r="K517" i="7"/>
  <c r="K773" i="7"/>
  <c r="K965" i="7"/>
  <c r="K1205" i="7"/>
  <c r="K658" i="7"/>
  <c r="K395" i="7"/>
  <c r="K403" i="7"/>
  <c r="K1059" i="7"/>
  <c r="K30" i="7"/>
  <c r="K94" i="7"/>
  <c r="K158" i="7"/>
  <c r="K222" i="7"/>
  <c r="K286" i="7"/>
  <c r="K350" i="7"/>
  <c r="K414" i="7"/>
  <c r="K478" i="7"/>
  <c r="K542" i="7"/>
  <c r="K606" i="7"/>
  <c r="K670" i="7"/>
  <c r="K734" i="7"/>
  <c r="K798" i="7"/>
  <c r="K862" i="7"/>
  <c r="K926" i="7"/>
  <c r="K990" i="7"/>
  <c r="K1054" i="7"/>
  <c r="K1118" i="7"/>
  <c r="K1182" i="7"/>
  <c r="K1246" i="7"/>
  <c r="K42" i="7"/>
  <c r="K322" i="7"/>
  <c r="K730" i="7"/>
  <c r="K1130" i="7"/>
  <c r="K63" i="7"/>
  <c r="K127" i="7"/>
  <c r="K191" i="7"/>
  <c r="K255" i="7"/>
  <c r="K319" i="7"/>
  <c r="K383" i="7"/>
  <c r="K447" i="7"/>
  <c r="K511" i="7"/>
  <c r="K575" i="7"/>
  <c r="K639" i="7"/>
  <c r="K703" i="7"/>
  <c r="K767" i="7"/>
  <c r="K831" i="7"/>
  <c r="K895" i="7"/>
  <c r="K959" i="7"/>
  <c r="K1023" i="7"/>
  <c r="K1087" i="7"/>
  <c r="K1151" i="7"/>
  <c r="K1215" i="7"/>
  <c r="K1232" i="7"/>
  <c r="K194" i="7"/>
  <c r="K578" i="7"/>
  <c r="K986" i="7"/>
  <c r="K40" i="7"/>
  <c r="K104" i="7"/>
  <c r="K168" i="7"/>
  <c r="K232" i="7"/>
  <c r="K296" i="7"/>
  <c r="K360" i="7"/>
  <c r="K424" i="7"/>
  <c r="K488" i="7"/>
  <c r="K552" i="7"/>
  <c r="K616" i="7"/>
  <c r="K680" i="7"/>
  <c r="K744" i="7"/>
  <c r="K808" i="7"/>
  <c r="K872" i="7"/>
  <c r="K936" i="7"/>
  <c r="K1000" i="7"/>
  <c r="K1064" i="7"/>
  <c r="K1128" i="7"/>
  <c r="K1192" i="7"/>
  <c r="K138" i="7"/>
  <c r="K506" i="7"/>
  <c r="K882" i="7"/>
  <c r="K25" i="7"/>
  <c r="K89" i="7"/>
  <c r="K153" i="7"/>
  <c r="K217" i="7"/>
  <c r="K281" i="7"/>
  <c r="K345" i="7"/>
  <c r="K409" i="7"/>
  <c r="K473" i="7"/>
  <c r="K537" i="7"/>
  <c r="K601" i="7"/>
  <c r="K665" i="7"/>
  <c r="K729" i="7"/>
  <c r="K793" i="7"/>
  <c r="K857" i="7"/>
  <c r="K921" i="7"/>
  <c r="K985" i="7"/>
  <c r="K1049" i="7"/>
  <c r="K1113" i="7"/>
  <c r="K1177" i="7"/>
  <c r="K1241" i="7"/>
  <c r="K306" i="7"/>
  <c r="K682" i="7"/>
  <c r="K1042" i="7"/>
  <c r="K52" i="7"/>
  <c r="K116" i="7"/>
  <c r="K180" i="7"/>
  <c r="K244" i="7"/>
  <c r="K308" i="7"/>
  <c r="K372" i="7"/>
  <c r="K436" i="7"/>
  <c r="K500" i="7"/>
  <c r="K564" i="7"/>
  <c r="K628" i="7"/>
  <c r="K692" i="7"/>
  <c r="K756" i="7"/>
  <c r="K820" i="7"/>
  <c r="K884" i="7"/>
  <c r="K948" i="7"/>
  <c r="K1012" i="7"/>
  <c r="K1076" i="7"/>
  <c r="K1140" i="7"/>
  <c r="K1204" i="7"/>
  <c r="K1268" i="7"/>
  <c r="K1229" i="7"/>
  <c r="K394" i="7"/>
  <c r="K802" i="7"/>
  <c r="K1186" i="7"/>
  <c r="K77" i="7"/>
  <c r="K141" i="7"/>
  <c r="K205" i="7"/>
  <c r="K269" i="7"/>
  <c r="K333" i="7"/>
  <c r="K397" i="7"/>
  <c r="K461" i="7"/>
  <c r="K525" i="7"/>
  <c r="K589" i="7"/>
  <c r="K653" i="7"/>
  <c r="K717" i="7"/>
  <c r="K781" i="7"/>
  <c r="K845" i="7"/>
  <c r="K909" i="7"/>
  <c r="K973" i="7"/>
  <c r="K1037" i="7"/>
  <c r="K1101" i="7"/>
  <c r="K1221" i="7"/>
  <c r="K338" i="7"/>
  <c r="K706" i="7"/>
  <c r="K1058" i="7"/>
  <c r="K419" i="7"/>
  <c r="K643" i="7"/>
  <c r="K1019" i="7"/>
  <c r="K75" i="7"/>
  <c r="K171" i="7"/>
  <c r="K299" i="7"/>
  <c r="K427" i="7"/>
  <c r="K667" i="7"/>
  <c r="K1043" i="7"/>
  <c r="K715" i="7"/>
  <c r="K27" i="7"/>
  <c r="K275" i="7"/>
  <c r="K467" i="7"/>
  <c r="K771" i="7"/>
  <c r="K1091" i="7"/>
  <c r="K147" i="7"/>
  <c r="K819" i="7"/>
  <c r="K1163" i="7"/>
  <c r="K699" i="7"/>
  <c r="K1123" i="7"/>
  <c r="K398" i="7"/>
  <c r="K910" i="7"/>
  <c r="K1034" i="7"/>
  <c r="K559" i="7"/>
  <c r="K1135" i="7"/>
  <c r="K152" i="7"/>
  <c r="K600" i="7"/>
  <c r="K1112" i="7"/>
  <c r="K201" i="7"/>
  <c r="K777" i="7"/>
  <c r="K210" i="7"/>
  <c r="K292" i="7"/>
  <c r="K740" i="7"/>
  <c r="K1124" i="7"/>
  <c r="K1098" i="7"/>
  <c r="K253" i="7"/>
  <c r="K573" i="7"/>
  <c r="K893" i="7"/>
  <c r="K970" i="7"/>
  <c r="K267" i="7"/>
  <c r="K523" i="7"/>
  <c r="K22" i="7"/>
  <c r="K86" i="7"/>
  <c r="K342" i="7"/>
  <c r="K406" i="7"/>
  <c r="K598" i="7"/>
  <c r="K662" i="7"/>
  <c r="K918" i="7"/>
  <c r="K1110" i="7"/>
  <c r="K274" i="7"/>
  <c r="K55" i="7"/>
  <c r="K311" i="7"/>
  <c r="K503" i="7"/>
  <c r="K759" i="7"/>
  <c r="K951" i="7"/>
  <c r="K1207" i="7"/>
  <c r="K938" i="7"/>
  <c r="K224" i="7"/>
  <c r="K544" i="7"/>
  <c r="K928" i="7"/>
  <c r="K458" i="7"/>
  <c r="K145" i="7"/>
  <c r="K465" i="7"/>
  <c r="K849" i="7"/>
  <c r="K1105" i="7"/>
  <c r="K1002" i="7"/>
  <c r="K236" i="7"/>
  <c r="K492" i="7"/>
  <c r="K748" i="7"/>
  <c r="K1068" i="7"/>
  <c r="K1213" i="7"/>
  <c r="K69" i="7"/>
  <c r="K325" i="7"/>
  <c r="K581" i="7"/>
  <c r="K837" i="7"/>
  <c r="K1029" i="7"/>
  <c r="K1010" i="7"/>
  <c r="K283" i="7"/>
  <c r="K635" i="7"/>
  <c r="K1131" i="7"/>
  <c r="K259" i="7"/>
  <c r="K443" i="7"/>
  <c r="K739" i="7"/>
  <c r="K1051" i="7"/>
  <c r="K1266" i="7"/>
  <c r="K779" i="7"/>
  <c r="K230" i="7"/>
  <c r="K422" i="7"/>
  <c r="K742" i="7"/>
  <c r="K934" i="7"/>
  <c r="K998" i="7"/>
  <c r="K1190" i="7"/>
  <c r="K1254" i="7"/>
  <c r="K74" i="7"/>
  <c r="K370" i="7"/>
  <c r="K770" i="7"/>
  <c r="K1178" i="7"/>
  <c r="K71" i="7"/>
  <c r="K135" i="7"/>
  <c r="K199" i="7"/>
  <c r="K263" i="7"/>
  <c r="K327" i="7"/>
  <c r="K391" i="7"/>
  <c r="K455" i="7"/>
  <c r="K519" i="7"/>
  <c r="K583" i="7"/>
  <c r="K647" i="7"/>
  <c r="K711" i="7"/>
  <c r="K775" i="7"/>
  <c r="K839" i="7"/>
  <c r="K903" i="7"/>
  <c r="K967" i="7"/>
  <c r="K1031" i="7"/>
  <c r="K1095" i="7"/>
  <c r="K1159" i="7"/>
  <c r="K1223" i="7"/>
  <c r="K1264" i="7"/>
  <c r="K250" i="7"/>
  <c r="K626" i="7"/>
  <c r="K1026" i="7"/>
  <c r="K48" i="7"/>
  <c r="K112" i="7"/>
  <c r="K176" i="7"/>
  <c r="K240" i="7"/>
  <c r="K304" i="7"/>
  <c r="K368" i="7"/>
  <c r="K432" i="7"/>
  <c r="K496" i="7"/>
  <c r="K560" i="7"/>
  <c r="K624" i="7"/>
  <c r="K688" i="7"/>
  <c r="K752" i="7"/>
  <c r="K816" i="7"/>
  <c r="K880" i="7"/>
  <c r="K944" i="7"/>
  <c r="K1008" i="7"/>
  <c r="K1072" i="7"/>
  <c r="K1136" i="7"/>
  <c r="K1200" i="7"/>
  <c r="K186" i="7"/>
  <c r="K554" i="7"/>
  <c r="K914" i="7"/>
  <c r="K33" i="7"/>
  <c r="K97" i="7"/>
  <c r="K161" i="7"/>
  <c r="K225" i="7"/>
  <c r="K289" i="7"/>
  <c r="K353" i="7"/>
  <c r="K417" i="7"/>
  <c r="K481" i="7"/>
  <c r="K545" i="7"/>
  <c r="K609" i="7"/>
  <c r="K673" i="7"/>
  <c r="K737" i="7"/>
  <c r="K801" i="7"/>
  <c r="K865" i="7"/>
  <c r="K929" i="7"/>
  <c r="K993" i="7"/>
  <c r="K1057" i="7"/>
  <c r="K1121" i="7"/>
  <c r="K1185" i="7"/>
  <c r="K1249" i="7"/>
  <c r="K354" i="7"/>
  <c r="K722" i="7"/>
  <c r="K1090" i="7"/>
  <c r="K60" i="7"/>
  <c r="K124" i="7"/>
  <c r="K188" i="7"/>
  <c r="K252" i="7"/>
  <c r="K316" i="7"/>
  <c r="K380" i="7"/>
  <c r="K444" i="7"/>
  <c r="K508" i="7"/>
  <c r="K572" i="7"/>
  <c r="K636" i="7"/>
  <c r="K700" i="7"/>
  <c r="K764" i="7"/>
  <c r="K828" i="7"/>
  <c r="K892" i="7"/>
  <c r="K956" i="7"/>
  <c r="K1020" i="7"/>
  <c r="K1084" i="7"/>
  <c r="K1148" i="7"/>
  <c r="K1212" i="7"/>
  <c r="K1109" i="7"/>
  <c r="K1245" i="7"/>
  <c r="K442" i="7"/>
  <c r="K850" i="7"/>
  <c r="K1234" i="7"/>
  <c r="K85" i="7"/>
  <c r="K149" i="7"/>
  <c r="K213" i="7"/>
  <c r="K277" i="7"/>
  <c r="K341" i="7"/>
  <c r="K405" i="7"/>
  <c r="K469" i="7"/>
  <c r="K533" i="7"/>
  <c r="K597" i="7"/>
  <c r="K661" i="7"/>
  <c r="K725" i="7"/>
  <c r="K789" i="7"/>
  <c r="K853" i="7"/>
  <c r="K917" i="7"/>
  <c r="K981" i="7"/>
  <c r="K1045" i="7"/>
  <c r="K1117" i="7"/>
  <c r="K1237" i="7"/>
  <c r="K386" i="7"/>
  <c r="K746" i="7"/>
  <c r="K1114" i="7"/>
  <c r="K435" i="7"/>
  <c r="K675" i="7"/>
  <c r="K1075" i="7"/>
  <c r="K83" i="7"/>
  <c r="K195" i="7"/>
  <c r="K315" i="7"/>
  <c r="K451" i="7"/>
  <c r="K707" i="7"/>
  <c r="K1099" i="7"/>
  <c r="K787" i="7"/>
  <c r="K115" i="7"/>
  <c r="K291" i="7"/>
  <c r="K499" i="7"/>
  <c r="K827" i="7"/>
  <c r="K1139" i="7"/>
  <c r="K491" i="7"/>
  <c r="K875" i="7"/>
  <c r="K1187" i="7"/>
  <c r="K747" i="7"/>
  <c r="K1171" i="7"/>
  <c r="K206" i="7"/>
  <c r="K334" i="7"/>
  <c r="K526" i="7"/>
  <c r="K654" i="7"/>
  <c r="K846" i="7"/>
  <c r="K1038" i="7"/>
  <c r="K1166" i="7"/>
  <c r="K234" i="7"/>
  <c r="K47" i="7"/>
  <c r="K175" i="7"/>
  <c r="K303" i="7"/>
  <c r="K495" i="7"/>
  <c r="K687" i="7"/>
  <c r="K815" i="7"/>
  <c r="K1007" i="7"/>
  <c r="K1199" i="7"/>
  <c r="K130" i="7"/>
  <c r="K24" i="7"/>
  <c r="K216" i="7"/>
  <c r="K344" i="7"/>
  <c r="K536" i="7"/>
  <c r="K728" i="7"/>
  <c r="K856" i="7"/>
  <c r="K1048" i="7"/>
  <c r="K50" i="7"/>
  <c r="K786" i="7"/>
  <c r="K137" i="7"/>
  <c r="K329" i="7"/>
  <c r="K521" i="7"/>
  <c r="K649" i="7"/>
  <c r="K905" i="7"/>
  <c r="K1033" i="7"/>
  <c r="K1161" i="7"/>
  <c r="K602" i="7"/>
  <c r="K36" i="7"/>
  <c r="K228" i="7"/>
  <c r="K420" i="7"/>
  <c r="K612" i="7"/>
  <c r="K804" i="7"/>
  <c r="K996" i="7"/>
  <c r="K1188" i="7"/>
  <c r="K298" i="7"/>
  <c r="K61" i="7"/>
  <c r="K189" i="7"/>
  <c r="K445" i="7"/>
  <c r="K637" i="7"/>
  <c r="K765" i="7"/>
  <c r="K957" i="7"/>
  <c r="K1181" i="7"/>
  <c r="K610" i="7"/>
  <c r="K579" i="7"/>
  <c r="K35" i="7"/>
  <c r="K387" i="7"/>
  <c r="K971" i="7"/>
  <c r="K1067" i="7"/>
  <c r="K411" i="7"/>
  <c r="K1027" i="7"/>
  <c r="K995" i="7"/>
  <c r="K150" i="7"/>
  <c r="K470" i="7"/>
  <c r="K726" i="7"/>
  <c r="K982" i="7"/>
  <c r="K1174" i="7"/>
  <c r="K666" i="7"/>
  <c r="K119" i="7"/>
  <c r="K375" i="7"/>
  <c r="K567" i="7"/>
  <c r="K823" i="7"/>
  <c r="K1079" i="7"/>
  <c r="K1271" i="7"/>
  <c r="K32" i="7"/>
  <c r="K160" i="7"/>
  <c r="K416" i="7"/>
  <c r="K608" i="7"/>
  <c r="K800" i="7"/>
  <c r="K992" i="7"/>
  <c r="K106" i="7"/>
  <c r="K1202" i="7"/>
  <c r="K209" i="7"/>
  <c r="K401" i="7"/>
  <c r="K529" i="7"/>
  <c r="K785" i="7"/>
  <c r="K1233" i="7"/>
  <c r="K108" i="7"/>
  <c r="K300" i="7"/>
  <c r="K428" i="7"/>
  <c r="K620" i="7"/>
  <c r="K812" i="7"/>
  <c r="K1004" i="7"/>
  <c r="K1132" i="7"/>
  <c r="K346" i="7"/>
  <c r="K133" i="7"/>
  <c r="K389" i="7"/>
  <c r="K645" i="7"/>
  <c r="K1093" i="7"/>
  <c r="K603" i="7"/>
  <c r="K59" i="7"/>
  <c r="K1011" i="7"/>
  <c r="K627" i="7"/>
  <c r="K102" i="7"/>
  <c r="K294" i="7"/>
  <c r="K486" i="7"/>
  <c r="K614" i="7"/>
  <c r="K806" i="7"/>
  <c r="K1126" i="7"/>
  <c r="K46" i="7"/>
  <c r="K110" i="7"/>
  <c r="K174" i="7"/>
  <c r="K238" i="7"/>
  <c r="K302" i="7"/>
  <c r="K366" i="7"/>
  <c r="K430" i="7"/>
  <c r="K494" i="7"/>
  <c r="K558" i="7"/>
  <c r="K622" i="7"/>
  <c r="K686" i="7"/>
  <c r="K750" i="7"/>
  <c r="K814" i="7"/>
  <c r="K878" i="7"/>
  <c r="K942" i="7"/>
  <c r="K1006" i="7"/>
  <c r="K1070" i="7"/>
  <c r="K1134" i="7"/>
  <c r="K1198" i="7"/>
  <c r="K1262" i="7"/>
  <c r="K90" i="7"/>
  <c r="K418" i="7"/>
  <c r="K818" i="7"/>
  <c r="K1226" i="7"/>
  <c r="K79" i="7"/>
  <c r="K143" i="7"/>
  <c r="K207" i="7"/>
  <c r="K271" i="7"/>
  <c r="K335" i="7"/>
  <c r="K399" i="7"/>
  <c r="K463" i="7"/>
  <c r="K527" i="7"/>
  <c r="K591" i="7"/>
  <c r="K655" i="7"/>
  <c r="K719" i="7"/>
  <c r="K783" i="7"/>
  <c r="K847" i="7"/>
  <c r="K911" i="7"/>
  <c r="K975" i="7"/>
  <c r="K1039" i="7"/>
  <c r="K1103" i="7"/>
  <c r="K1167" i="7"/>
  <c r="K1231" i="7"/>
  <c r="K1265" i="7"/>
  <c r="K290" i="7"/>
  <c r="K690" i="7"/>
  <c r="K1074" i="7"/>
  <c r="K56" i="7"/>
  <c r="K120" i="7"/>
  <c r="K184" i="7"/>
  <c r="K248" i="7"/>
  <c r="K312" i="7"/>
  <c r="K376" i="7"/>
  <c r="K440" i="7"/>
  <c r="K504" i="7"/>
  <c r="K568" i="7"/>
  <c r="K632" i="7"/>
  <c r="K696" i="7"/>
  <c r="K760" i="7"/>
  <c r="K824" i="7"/>
  <c r="K888" i="7"/>
  <c r="K952" i="7"/>
  <c r="K1016" i="7"/>
  <c r="K1080" i="7"/>
  <c r="K1144" i="7"/>
  <c r="K1208" i="7"/>
  <c r="K226" i="7"/>
  <c r="K594" i="7"/>
  <c r="K954" i="7"/>
  <c r="K41" i="7"/>
  <c r="K105" i="7"/>
  <c r="K169" i="7"/>
  <c r="K233" i="7"/>
  <c r="K297" i="7"/>
  <c r="K361" i="7"/>
  <c r="K425" i="7"/>
  <c r="K489" i="7"/>
  <c r="K553" i="7"/>
  <c r="K617" i="7"/>
  <c r="K681" i="7"/>
  <c r="K745" i="7"/>
  <c r="K809" i="7"/>
  <c r="K873" i="7"/>
  <c r="K937" i="7"/>
  <c r="K1001" i="7"/>
  <c r="K1065" i="7"/>
  <c r="K1129" i="7"/>
  <c r="K1193" i="7"/>
  <c r="K1257" i="7"/>
  <c r="K402" i="7"/>
  <c r="K762" i="7"/>
  <c r="K1146" i="7"/>
  <c r="K68" i="7"/>
  <c r="K132" i="7"/>
  <c r="K196" i="7"/>
  <c r="K260" i="7"/>
  <c r="K324" i="7"/>
  <c r="K388" i="7"/>
  <c r="K452" i="7"/>
  <c r="K516" i="7"/>
  <c r="K580" i="7"/>
  <c r="K644" i="7"/>
  <c r="K708" i="7"/>
  <c r="K772" i="7"/>
  <c r="K836" i="7"/>
  <c r="K900" i="7"/>
  <c r="K964" i="7"/>
  <c r="K1028" i="7"/>
  <c r="K1092" i="7"/>
  <c r="K1156" i="7"/>
  <c r="K1220" i="7"/>
  <c r="K1141" i="7"/>
  <c r="K1261" i="7"/>
  <c r="K490" i="7"/>
  <c r="K898" i="7"/>
  <c r="K29" i="7"/>
  <c r="K93" i="7"/>
  <c r="K157" i="7"/>
  <c r="K221" i="7"/>
  <c r="K285" i="7"/>
  <c r="K349" i="7"/>
  <c r="K413" i="7"/>
  <c r="K477" i="7"/>
  <c r="K541" i="7"/>
  <c r="K605" i="7"/>
  <c r="K669" i="7"/>
  <c r="K733" i="7"/>
  <c r="K797" i="7"/>
  <c r="K861" i="7"/>
  <c r="K925" i="7"/>
  <c r="K989" i="7"/>
  <c r="K1053" i="7"/>
  <c r="K1125" i="7"/>
  <c r="K1253" i="7"/>
  <c r="K434" i="7"/>
  <c r="K794" i="7"/>
  <c r="K1162" i="7"/>
  <c r="K459" i="7"/>
  <c r="K723" i="7"/>
  <c r="K1107" i="7"/>
  <c r="K99" i="7"/>
  <c r="K211" i="7"/>
  <c r="K323" i="7"/>
  <c r="K475" i="7"/>
  <c r="K755" i="7"/>
  <c r="K1147" i="7"/>
  <c r="K835" i="7"/>
  <c r="K163" i="7"/>
  <c r="K307" i="7"/>
  <c r="K531" i="7"/>
  <c r="K867" i="7"/>
  <c r="K1179" i="7"/>
  <c r="K563" i="7"/>
  <c r="K923" i="7"/>
  <c r="K1227" i="7"/>
  <c r="K795" i="7"/>
  <c r="K1219" i="7"/>
  <c r="K78" i="7"/>
  <c r="K270" i="7"/>
  <c r="K462" i="7"/>
  <c r="K590" i="7"/>
  <c r="K782" i="7"/>
  <c r="K974" i="7"/>
  <c r="K1102" i="7"/>
  <c r="K1230" i="7"/>
  <c r="K618" i="7"/>
  <c r="K111" i="7"/>
  <c r="K239" i="7"/>
  <c r="K431" i="7"/>
  <c r="K623" i="7"/>
  <c r="K751" i="7"/>
  <c r="K879" i="7"/>
  <c r="K1071" i="7"/>
  <c r="K1263" i="7"/>
  <c r="K482" i="7"/>
  <c r="K88" i="7"/>
  <c r="K280" i="7"/>
  <c r="K472" i="7"/>
  <c r="K664" i="7"/>
  <c r="K792" i="7"/>
  <c r="K984" i="7"/>
  <c r="K1176" i="7"/>
  <c r="K410" i="7"/>
  <c r="K73" i="7"/>
  <c r="K265" i="7"/>
  <c r="K457" i="7"/>
  <c r="K585" i="7"/>
  <c r="K841" i="7"/>
  <c r="K969" i="7"/>
  <c r="K1225" i="7"/>
  <c r="K962" i="7"/>
  <c r="K100" i="7"/>
  <c r="K356" i="7"/>
  <c r="K484" i="7"/>
  <c r="K676" i="7"/>
  <c r="K868" i="7"/>
  <c r="K1060" i="7"/>
  <c r="K1252" i="7"/>
  <c r="K674" i="7"/>
  <c r="K125" i="7"/>
  <c r="K317" i="7"/>
  <c r="K509" i="7"/>
  <c r="K701" i="7"/>
  <c r="K829" i="7"/>
  <c r="K1021" i="7"/>
  <c r="K218" i="7"/>
  <c r="K347" i="7"/>
  <c r="K907" i="7"/>
  <c r="K139" i="7"/>
  <c r="K595" i="7"/>
  <c r="K91" i="7"/>
  <c r="K243" i="7"/>
  <c r="K691" i="7"/>
  <c r="K43" i="7"/>
  <c r="K1083" i="7"/>
  <c r="K278" i="7"/>
  <c r="K534" i="7"/>
  <c r="K854" i="7"/>
  <c r="K1046" i="7"/>
  <c r="K1273" i="7"/>
  <c r="K1082" i="7"/>
  <c r="K247" i="7"/>
  <c r="K439" i="7"/>
  <c r="K695" i="7"/>
  <c r="K887" i="7"/>
  <c r="K1143" i="7"/>
  <c r="K146" i="7"/>
  <c r="K96" i="7"/>
  <c r="K288" i="7"/>
  <c r="K480" i="7"/>
  <c r="K736" i="7"/>
  <c r="K864" i="7"/>
  <c r="K1056" i="7"/>
  <c r="K1184" i="7"/>
  <c r="K834" i="7"/>
  <c r="K81" i="7"/>
  <c r="K337" i="7"/>
  <c r="K593" i="7"/>
  <c r="K721" i="7"/>
  <c r="K913" i="7"/>
  <c r="K1041" i="7"/>
  <c r="K1169" i="7"/>
  <c r="K642" i="7"/>
  <c r="K44" i="7"/>
  <c r="K364" i="7"/>
  <c r="K684" i="7"/>
  <c r="K940" i="7"/>
  <c r="K1260" i="7"/>
  <c r="K714" i="7"/>
  <c r="K197" i="7"/>
  <c r="K453" i="7"/>
  <c r="K709" i="7"/>
  <c r="K901" i="7"/>
  <c r="K282" i="7"/>
  <c r="K963" i="7"/>
  <c r="K155" i="7"/>
  <c r="K587" i="7"/>
  <c r="K1115" i="7"/>
  <c r="K38" i="7"/>
  <c r="K166" i="7"/>
  <c r="K358" i="7"/>
  <c r="K550" i="7"/>
  <c r="K678" i="7"/>
  <c r="K870" i="7"/>
  <c r="K1062" i="7"/>
  <c r="K54" i="7"/>
  <c r="K118" i="7"/>
  <c r="K182" i="7"/>
  <c r="K246" i="7"/>
  <c r="K310" i="7"/>
  <c r="K374" i="7"/>
  <c r="K438" i="7"/>
  <c r="K502" i="7"/>
  <c r="K566" i="7"/>
  <c r="K630" i="7"/>
  <c r="K694" i="7"/>
  <c r="K758" i="7"/>
  <c r="K822" i="7"/>
  <c r="K886" i="7"/>
  <c r="K950" i="7"/>
  <c r="K1014" i="7"/>
  <c r="K1078" i="7"/>
  <c r="K1142" i="7"/>
  <c r="K1206" i="7"/>
  <c r="K1270" i="7"/>
  <c r="K122" i="7"/>
  <c r="K466" i="7"/>
  <c r="K866" i="7"/>
  <c r="K23" i="7"/>
  <c r="K87" i="7"/>
  <c r="K151" i="7"/>
  <c r="K215" i="7"/>
  <c r="K279" i="7"/>
  <c r="K343" i="7"/>
  <c r="K407" i="7"/>
  <c r="K471" i="7"/>
  <c r="K535" i="7"/>
  <c r="K599" i="7"/>
  <c r="K663" i="7"/>
  <c r="K727" i="7"/>
  <c r="K791" i="7"/>
  <c r="K855" i="7"/>
  <c r="K919" i="7"/>
  <c r="K983" i="7"/>
  <c r="K1047" i="7"/>
  <c r="K1111" i="7"/>
  <c r="K1175" i="7"/>
  <c r="K1239" i="7"/>
  <c r="K26" i="7"/>
  <c r="K330" i="7"/>
  <c r="K738" i="7"/>
  <c r="K1122" i="7"/>
  <c r="K64" i="7"/>
  <c r="K128" i="7"/>
  <c r="K192" i="7"/>
  <c r="K256" i="7"/>
  <c r="K320" i="7"/>
  <c r="K384" i="7"/>
  <c r="K448" i="7"/>
  <c r="K512" i="7"/>
  <c r="K576" i="7"/>
  <c r="K640" i="7"/>
  <c r="K704" i="7"/>
  <c r="K768" i="7"/>
  <c r="K832" i="7"/>
  <c r="K896" i="7"/>
  <c r="K960" i="7"/>
  <c r="K1024" i="7"/>
  <c r="K1088" i="7"/>
  <c r="K1152" i="7"/>
  <c r="K1216" i="7"/>
  <c r="K266" i="7"/>
  <c r="K650" i="7"/>
  <c r="K1018" i="7"/>
  <c r="K49" i="7"/>
  <c r="K113" i="7"/>
  <c r="K177" i="7"/>
  <c r="K241" i="7"/>
  <c r="K305" i="7"/>
  <c r="K369" i="7"/>
  <c r="K433" i="7"/>
  <c r="K497" i="7"/>
  <c r="K561" i="7"/>
  <c r="K625" i="7"/>
  <c r="K689" i="7"/>
  <c r="K753" i="7"/>
  <c r="K817" i="7"/>
  <c r="K881" i="7"/>
  <c r="K945" i="7"/>
  <c r="K1009" i="7"/>
  <c r="K1073" i="7"/>
  <c r="K1137" i="7"/>
  <c r="K1201" i="7"/>
  <c r="K34" i="7"/>
  <c r="K450" i="7"/>
  <c r="K810" i="7"/>
  <c r="K1194" i="7"/>
  <c r="K76" i="7"/>
  <c r="K140" i="7"/>
  <c r="K204" i="7"/>
  <c r="K268" i="7"/>
  <c r="K332" i="7"/>
  <c r="K396" i="7"/>
  <c r="K460" i="7"/>
  <c r="K524" i="7"/>
  <c r="K588" i="7"/>
  <c r="K652" i="7"/>
  <c r="K716" i="7"/>
  <c r="K780" i="7"/>
  <c r="K844" i="7"/>
  <c r="K908" i="7"/>
  <c r="K972" i="7"/>
  <c r="K1036" i="7"/>
  <c r="K1100" i="7"/>
  <c r="K1164" i="7"/>
  <c r="K1228" i="7"/>
  <c r="K1157" i="7"/>
  <c r="K58" i="7"/>
  <c r="K538" i="7"/>
  <c r="K946" i="7"/>
  <c r="K37" i="7"/>
  <c r="K101" i="7"/>
  <c r="K165" i="7"/>
  <c r="K229" i="7"/>
  <c r="K293" i="7"/>
  <c r="K357" i="7"/>
  <c r="K421" i="7"/>
  <c r="K485" i="7"/>
  <c r="K549" i="7"/>
  <c r="K613" i="7"/>
  <c r="K677" i="7"/>
  <c r="K741" i="7"/>
  <c r="K805" i="7"/>
  <c r="K869" i="7"/>
  <c r="K933" i="7"/>
  <c r="K997" i="7"/>
  <c r="K1061" i="7"/>
  <c r="K1133" i="7"/>
  <c r="K1269" i="7"/>
  <c r="K474" i="7"/>
  <c r="K842" i="7"/>
  <c r="K1210" i="7"/>
  <c r="K483" i="7"/>
  <c r="K763" i="7"/>
  <c r="K1155" i="7"/>
  <c r="K107" i="7"/>
  <c r="K219" i="7"/>
  <c r="K339" i="7"/>
  <c r="K507" i="7"/>
  <c r="K811" i="7"/>
  <c r="K1203" i="7"/>
  <c r="K891" i="7"/>
  <c r="K179" i="7"/>
  <c r="K331" i="7"/>
  <c r="K571" i="7"/>
  <c r="K899" i="7"/>
  <c r="K1211" i="7"/>
  <c r="K619" i="7"/>
  <c r="K955" i="7"/>
  <c r="K1259" i="7"/>
  <c r="K843" i="7"/>
  <c r="K1267" i="7"/>
  <c r="O42" i="7"/>
  <c r="O25" i="7"/>
  <c r="O26" i="7"/>
  <c r="O27" i="7"/>
  <c r="O28" i="7"/>
  <c r="O29" i="7"/>
  <c r="O30" i="7"/>
  <c r="O31" i="7"/>
  <c r="O32" i="7"/>
  <c r="O33" i="7"/>
  <c r="O34" i="7"/>
  <c r="O35" i="7"/>
  <c r="O36" i="7"/>
  <c r="O37" i="7"/>
  <c r="O38" i="7"/>
  <c r="O39" i="7"/>
  <c r="O40" i="7"/>
  <c r="O41" i="7"/>
  <c r="O43" i="7"/>
  <c r="O44" i="7"/>
  <c r="O45" i="7"/>
  <c r="O46" i="7"/>
  <c r="O47" i="7"/>
  <c r="O48" i="7"/>
  <c r="O49" i="7"/>
  <c r="O50" i="7"/>
  <c r="O51" i="7"/>
  <c r="O52" i="7"/>
  <c r="O53" i="7"/>
  <c r="O54" i="7"/>
  <c r="O55" i="7"/>
  <c r="O56" i="7"/>
  <c r="O57" i="7"/>
  <c r="O58" i="7"/>
  <c r="O59" i="7"/>
  <c r="O60" i="7"/>
  <c r="O61" i="7"/>
  <c r="O62" i="7"/>
  <c r="O63" i="7"/>
  <c r="O64" i="7"/>
  <c r="O65" i="7"/>
  <c r="O66" i="7"/>
  <c r="O67" i="7"/>
  <c r="O68" i="7"/>
  <c r="O69" i="7"/>
  <c r="O70" i="7"/>
  <c r="O71" i="7"/>
  <c r="O72" i="7"/>
  <c r="O73" i="7"/>
  <c r="O74" i="7"/>
  <c r="O75" i="7"/>
  <c r="O76" i="7"/>
  <c r="O77" i="7"/>
  <c r="O78" i="7"/>
  <c r="O79" i="7"/>
  <c r="O80" i="7"/>
  <c r="O81" i="7"/>
  <c r="O82" i="7"/>
  <c r="O83" i="7"/>
  <c r="O84" i="7"/>
  <c r="O85" i="7"/>
  <c r="O86" i="7"/>
  <c r="O87" i="7"/>
  <c r="O88" i="7"/>
  <c r="O89" i="7"/>
  <c r="O90" i="7"/>
  <c r="O91" i="7"/>
  <c r="O92" i="7"/>
  <c r="O93" i="7"/>
  <c r="O94" i="7"/>
  <c r="O95" i="7"/>
  <c r="O96" i="7"/>
  <c r="O97" i="7"/>
  <c r="O98" i="7"/>
  <c r="O99" i="7"/>
  <c r="O100" i="7"/>
  <c r="O101" i="7"/>
  <c r="O102" i="7"/>
  <c r="O103" i="7"/>
  <c r="O104" i="7"/>
  <c r="O105" i="7"/>
  <c r="O106" i="7"/>
  <c r="O107" i="7"/>
  <c r="O108" i="7"/>
  <c r="O109" i="7"/>
  <c r="O110" i="7"/>
  <c r="O111" i="7"/>
  <c r="O112" i="7"/>
  <c r="O113" i="7"/>
  <c r="O114" i="7"/>
  <c r="O115" i="7"/>
  <c r="O116" i="7"/>
  <c r="O117" i="7"/>
  <c r="O118" i="7"/>
  <c r="O119" i="7"/>
  <c r="O120" i="7"/>
  <c r="O121" i="7"/>
  <c r="O122" i="7"/>
  <c r="O123" i="7"/>
  <c r="O124" i="7"/>
  <c r="O125" i="7"/>
  <c r="O126" i="7"/>
  <c r="O127" i="7"/>
  <c r="O128" i="7"/>
  <c r="O129" i="7"/>
  <c r="O130" i="7"/>
  <c r="O131" i="7"/>
  <c r="O132" i="7"/>
  <c r="O133" i="7"/>
  <c r="O134" i="7"/>
  <c r="O135" i="7"/>
  <c r="O136" i="7"/>
  <c r="O137" i="7"/>
  <c r="O138" i="7"/>
  <c r="O139" i="7"/>
  <c r="O140" i="7"/>
  <c r="O141" i="7"/>
  <c r="O142" i="7"/>
  <c r="O143" i="7"/>
  <c r="O144" i="7"/>
  <c r="O145" i="7"/>
  <c r="O146" i="7"/>
  <c r="O147" i="7"/>
  <c r="O148" i="7"/>
  <c r="O149" i="7"/>
  <c r="O150" i="7"/>
  <c r="O151" i="7"/>
  <c r="O152" i="7"/>
  <c r="O153" i="7"/>
  <c r="O154" i="7"/>
  <c r="O155" i="7"/>
  <c r="O156" i="7"/>
  <c r="O157" i="7"/>
  <c r="O158" i="7"/>
  <c r="O159" i="7"/>
  <c r="O160" i="7"/>
  <c r="O161" i="7"/>
  <c r="O162" i="7"/>
  <c r="O163" i="7"/>
  <c r="O164" i="7"/>
  <c r="O165" i="7"/>
  <c r="O166" i="7"/>
  <c r="O167" i="7"/>
  <c r="O168" i="7"/>
  <c r="O169" i="7"/>
  <c r="O170" i="7"/>
  <c r="O171" i="7"/>
  <c r="O172" i="7"/>
  <c r="O173" i="7"/>
  <c r="O174" i="7"/>
  <c r="O175" i="7"/>
  <c r="O176" i="7"/>
  <c r="O177" i="7"/>
  <c r="O178" i="7"/>
  <c r="O179" i="7"/>
  <c r="O180" i="7"/>
  <c r="O181" i="7"/>
  <c r="O182" i="7"/>
  <c r="O183" i="7"/>
  <c r="O184" i="7"/>
  <c r="O185" i="7"/>
  <c r="O186" i="7"/>
  <c r="O187" i="7"/>
  <c r="O188" i="7"/>
  <c r="O189" i="7"/>
  <c r="O190" i="7"/>
  <c r="O191" i="7"/>
  <c r="O192" i="7"/>
  <c r="O193" i="7"/>
  <c r="O194" i="7"/>
  <c r="O195" i="7"/>
  <c r="O196" i="7"/>
  <c r="O197" i="7"/>
  <c r="O198" i="7"/>
  <c r="O199" i="7"/>
  <c r="O200" i="7"/>
  <c r="O201" i="7"/>
  <c r="O202" i="7"/>
  <c r="O203" i="7"/>
  <c r="O204" i="7"/>
  <c r="O205" i="7"/>
  <c r="O206" i="7"/>
  <c r="O207" i="7"/>
  <c r="O208" i="7"/>
  <c r="O209" i="7"/>
  <c r="O210" i="7"/>
  <c r="O211" i="7"/>
  <c r="O212" i="7"/>
  <c r="O213" i="7"/>
  <c r="O214" i="7"/>
  <c r="O215" i="7"/>
  <c r="O216" i="7"/>
  <c r="O217" i="7"/>
  <c r="O218" i="7"/>
  <c r="O219" i="7"/>
  <c r="O220" i="7"/>
  <c r="O221" i="7"/>
  <c r="O222" i="7"/>
  <c r="O223" i="7"/>
  <c r="O224" i="7"/>
  <c r="O225" i="7"/>
  <c r="O226" i="7"/>
  <c r="O227" i="7"/>
  <c r="O228" i="7"/>
  <c r="O229" i="7"/>
  <c r="O230" i="7"/>
  <c r="O231" i="7"/>
  <c r="O232" i="7"/>
  <c r="O233" i="7"/>
  <c r="O234" i="7"/>
  <c r="O235" i="7"/>
  <c r="O236" i="7"/>
  <c r="O237" i="7"/>
  <c r="O238" i="7"/>
  <c r="O239" i="7"/>
  <c r="O240" i="7"/>
  <c r="O241" i="7"/>
  <c r="O242" i="7"/>
  <c r="O243" i="7"/>
  <c r="O244" i="7"/>
  <c r="O245" i="7"/>
  <c r="O246" i="7"/>
  <c r="O247" i="7"/>
  <c r="O248" i="7"/>
  <c r="O249" i="7"/>
  <c r="O250" i="7"/>
  <c r="O251" i="7"/>
  <c r="O252" i="7"/>
  <c r="O253" i="7"/>
  <c r="O254" i="7"/>
  <c r="O255" i="7"/>
  <c r="O256" i="7"/>
  <c r="O257" i="7"/>
  <c r="O258" i="7"/>
  <c r="O259" i="7"/>
  <c r="O260" i="7"/>
  <c r="O261" i="7"/>
  <c r="O262" i="7"/>
  <c r="O263" i="7"/>
  <c r="O264" i="7"/>
  <c r="O265" i="7"/>
  <c r="O266" i="7"/>
  <c r="O267" i="7"/>
  <c r="O268" i="7"/>
  <c r="O269" i="7"/>
  <c r="O270" i="7"/>
  <c r="O271" i="7"/>
  <c r="O272" i="7"/>
  <c r="O273" i="7"/>
  <c r="O274" i="7"/>
  <c r="O275" i="7"/>
  <c r="O276" i="7"/>
  <c r="O277" i="7"/>
  <c r="O278" i="7"/>
  <c r="O279" i="7"/>
  <c r="O280" i="7"/>
  <c r="O281" i="7"/>
  <c r="O282" i="7"/>
  <c r="O283" i="7"/>
  <c r="O284" i="7"/>
  <c r="O285" i="7"/>
  <c r="O286" i="7"/>
  <c r="O287" i="7"/>
  <c r="O288" i="7"/>
  <c r="O289" i="7"/>
  <c r="O290" i="7"/>
  <c r="O291" i="7"/>
  <c r="O292" i="7"/>
  <c r="O293" i="7"/>
  <c r="O294" i="7"/>
  <c r="O295" i="7"/>
  <c r="O296" i="7"/>
  <c r="O297" i="7"/>
  <c r="O298" i="7"/>
  <c r="O299" i="7"/>
  <c r="O300" i="7"/>
  <c r="O301" i="7"/>
  <c r="O302" i="7"/>
  <c r="O303" i="7"/>
  <c r="O304" i="7"/>
  <c r="O305" i="7"/>
  <c r="O306" i="7"/>
  <c r="O307" i="7"/>
  <c r="O308" i="7"/>
  <c r="O309" i="7"/>
  <c r="O310" i="7"/>
  <c r="O311" i="7"/>
  <c r="O312" i="7"/>
  <c r="O313" i="7"/>
  <c r="O314" i="7"/>
  <c r="O315" i="7"/>
  <c r="O316" i="7"/>
  <c r="O317" i="7"/>
  <c r="O318" i="7"/>
  <c r="O319" i="7"/>
  <c r="O320" i="7"/>
  <c r="O321" i="7"/>
  <c r="O322" i="7"/>
  <c r="O323" i="7"/>
  <c r="O324" i="7"/>
  <c r="O325" i="7"/>
  <c r="O326" i="7"/>
  <c r="O327" i="7"/>
  <c r="O328" i="7"/>
  <c r="O329" i="7"/>
  <c r="O330" i="7"/>
  <c r="O331" i="7"/>
  <c r="O332" i="7"/>
  <c r="O333" i="7"/>
  <c r="O334" i="7"/>
  <c r="O335" i="7"/>
  <c r="O336" i="7"/>
  <c r="O337" i="7"/>
  <c r="O338" i="7"/>
  <c r="O339" i="7"/>
  <c r="O340" i="7"/>
  <c r="O341" i="7"/>
  <c r="O342" i="7"/>
  <c r="O343" i="7"/>
  <c r="O344" i="7"/>
  <c r="O345" i="7"/>
  <c r="O346" i="7"/>
  <c r="O347" i="7"/>
  <c r="O348" i="7"/>
  <c r="O349" i="7"/>
  <c r="O350" i="7"/>
  <c r="O351" i="7"/>
  <c r="O352" i="7"/>
  <c r="O353" i="7"/>
  <c r="O354" i="7"/>
  <c r="O355" i="7"/>
  <c r="O356" i="7"/>
  <c r="O357" i="7"/>
  <c r="O358" i="7"/>
  <c r="O359" i="7"/>
  <c r="O360" i="7"/>
  <c r="O361" i="7"/>
  <c r="O362" i="7"/>
  <c r="O363" i="7"/>
  <c r="O364" i="7"/>
  <c r="O365" i="7"/>
  <c r="O366" i="7"/>
  <c r="O367" i="7"/>
  <c r="O368" i="7"/>
  <c r="O369" i="7"/>
  <c r="O370" i="7"/>
  <c r="O371" i="7"/>
  <c r="O372" i="7"/>
  <c r="O373" i="7"/>
  <c r="O374" i="7"/>
  <c r="O375" i="7"/>
  <c r="O376" i="7"/>
  <c r="O377" i="7"/>
  <c r="O378" i="7"/>
  <c r="O379" i="7"/>
  <c r="O380" i="7"/>
  <c r="O381" i="7"/>
  <c r="O382" i="7"/>
  <c r="O383" i="7"/>
  <c r="O384" i="7"/>
  <c r="O385" i="7"/>
  <c r="O386" i="7"/>
  <c r="O387" i="7"/>
  <c r="O388" i="7"/>
  <c r="O389" i="7"/>
  <c r="O390" i="7"/>
  <c r="O391" i="7"/>
  <c r="O392" i="7"/>
  <c r="O393" i="7"/>
  <c r="O394" i="7"/>
  <c r="O395" i="7"/>
  <c r="O396" i="7"/>
  <c r="O397" i="7"/>
  <c r="O398" i="7"/>
  <c r="O399" i="7"/>
  <c r="O400" i="7"/>
  <c r="O401" i="7"/>
  <c r="O402" i="7"/>
  <c r="O403" i="7"/>
  <c r="O404" i="7"/>
  <c r="O405" i="7"/>
  <c r="O406" i="7"/>
  <c r="O407" i="7"/>
  <c r="O408" i="7"/>
  <c r="O409" i="7"/>
  <c r="O410" i="7"/>
  <c r="O411" i="7"/>
  <c r="O412" i="7"/>
  <c r="O413" i="7"/>
  <c r="O414" i="7"/>
  <c r="O415" i="7"/>
  <c r="O416" i="7"/>
  <c r="O417" i="7"/>
  <c r="O418" i="7"/>
  <c r="O419" i="7"/>
  <c r="O420" i="7"/>
  <c r="O421" i="7"/>
  <c r="O422" i="7"/>
  <c r="O423" i="7"/>
  <c r="O424" i="7"/>
  <c r="O425" i="7"/>
  <c r="O426" i="7"/>
  <c r="O427" i="7"/>
  <c r="O428" i="7"/>
  <c r="O429" i="7"/>
  <c r="O430" i="7"/>
  <c r="O431" i="7"/>
  <c r="O432" i="7"/>
  <c r="O433" i="7"/>
  <c r="O434" i="7"/>
  <c r="O435" i="7"/>
  <c r="O436" i="7"/>
  <c r="O437" i="7"/>
  <c r="O438" i="7"/>
  <c r="O439" i="7"/>
  <c r="O440" i="7"/>
  <c r="O441" i="7"/>
  <c r="O442" i="7"/>
  <c r="O443" i="7"/>
  <c r="O444" i="7"/>
  <c r="O445" i="7"/>
  <c r="O446" i="7"/>
  <c r="O447" i="7"/>
  <c r="O448" i="7"/>
  <c r="O449" i="7"/>
  <c r="O450" i="7"/>
  <c r="O451" i="7"/>
  <c r="O452" i="7"/>
  <c r="O453" i="7"/>
  <c r="O454" i="7"/>
  <c r="O455" i="7"/>
  <c r="O456" i="7"/>
  <c r="O457" i="7"/>
  <c r="O458" i="7"/>
  <c r="O459" i="7"/>
  <c r="O460" i="7"/>
  <c r="O461" i="7"/>
  <c r="O462" i="7"/>
  <c r="O463" i="7"/>
  <c r="O464" i="7"/>
  <c r="O465" i="7"/>
  <c r="O466" i="7"/>
  <c r="O467" i="7"/>
  <c r="O468" i="7"/>
  <c r="O469" i="7"/>
  <c r="O470" i="7"/>
  <c r="O471" i="7"/>
  <c r="O472" i="7"/>
  <c r="O473" i="7"/>
  <c r="O474" i="7"/>
  <c r="O475" i="7"/>
  <c r="O476" i="7"/>
  <c r="O477" i="7"/>
  <c r="O478" i="7"/>
  <c r="O479" i="7"/>
  <c r="O480" i="7"/>
  <c r="O481" i="7"/>
  <c r="O482" i="7"/>
  <c r="O483" i="7"/>
  <c r="O484" i="7"/>
  <c r="O485" i="7"/>
  <c r="O486" i="7"/>
  <c r="O487" i="7"/>
  <c r="O488" i="7"/>
  <c r="O489" i="7"/>
  <c r="O490" i="7"/>
  <c r="O491" i="7"/>
  <c r="O492" i="7"/>
  <c r="O493" i="7"/>
  <c r="O494" i="7"/>
  <c r="O495" i="7"/>
  <c r="O496" i="7"/>
  <c r="O497" i="7"/>
  <c r="O498" i="7"/>
  <c r="O499" i="7"/>
  <c r="O500" i="7"/>
  <c r="O501" i="7"/>
  <c r="O502" i="7"/>
  <c r="O503" i="7"/>
  <c r="O504" i="7"/>
  <c r="O505" i="7"/>
  <c r="O506" i="7"/>
  <c r="O507" i="7"/>
  <c r="O508" i="7"/>
  <c r="O509" i="7"/>
  <c r="O510" i="7"/>
  <c r="O511" i="7"/>
  <c r="O512" i="7"/>
  <c r="O513" i="7"/>
  <c r="O514" i="7"/>
  <c r="O515" i="7"/>
  <c r="O516" i="7"/>
  <c r="O517" i="7"/>
  <c r="O518" i="7"/>
  <c r="O519" i="7"/>
  <c r="O520" i="7"/>
  <c r="O521" i="7"/>
  <c r="O522" i="7"/>
  <c r="O523" i="7"/>
  <c r="O524" i="7"/>
  <c r="O525" i="7"/>
  <c r="O526" i="7"/>
  <c r="O527" i="7"/>
  <c r="O528" i="7"/>
  <c r="O529" i="7"/>
  <c r="O530" i="7"/>
  <c r="O531" i="7"/>
  <c r="O532" i="7"/>
  <c r="O533" i="7"/>
  <c r="O534" i="7"/>
  <c r="O535" i="7"/>
  <c r="O536" i="7"/>
  <c r="O537" i="7"/>
  <c r="O538" i="7"/>
  <c r="O539" i="7"/>
  <c r="O540" i="7"/>
  <c r="O541" i="7"/>
  <c r="O542" i="7"/>
  <c r="O543" i="7"/>
  <c r="O544" i="7"/>
  <c r="O545" i="7"/>
  <c r="O546" i="7"/>
  <c r="O547" i="7"/>
  <c r="O548" i="7"/>
  <c r="O549" i="7"/>
  <c r="O550" i="7"/>
  <c r="O551" i="7"/>
  <c r="O552" i="7"/>
  <c r="O553" i="7"/>
  <c r="O554" i="7"/>
  <c r="O555" i="7"/>
  <c r="O556" i="7"/>
  <c r="O557" i="7"/>
  <c r="O558" i="7"/>
  <c r="O559" i="7"/>
  <c r="O560" i="7"/>
  <c r="O561" i="7"/>
  <c r="O562" i="7"/>
  <c r="O563" i="7"/>
  <c r="O564" i="7"/>
  <c r="O565" i="7"/>
  <c r="O566" i="7"/>
  <c r="O567" i="7"/>
  <c r="O568" i="7"/>
  <c r="O569" i="7"/>
  <c r="O570" i="7"/>
  <c r="O571" i="7"/>
  <c r="O572" i="7"/>
  <c r="O573" i="7"/>
  <c r="O574" i="7"/>
  <c r="O575" i="7"/>
  <c r="O576" i="7"/>
  <c r="O577" i="7"/>
  <c r="O578" i="7"/>
  <c r="O579" i="7"/>
  <c r="O580" i="7"/>
  <c r="O581" i="7"/>
  <c r="O582" i="7"/>
  <c r="O583" i="7"/>
  <c r="O584" i="7"/>
  <c r="O585" i="7"/>
  <c r="O586" i="7"/>
  <c r="O587" i="7"/>
  <c r="O588" i="7"/>
  <c r="O589" i="7"/>
  <c r="O590" i="7"/>
  <c r="O591" i="7"/>
  <c r="O592" i="7"/>
  <c r="O593" i="7"/>
  <c r="O594" i="7"/>
  <c r="O595" i="7"/>
  <c r="O596" i="7"/>
  <c r="O597" i="7"/>
  <c r="O598" i="7"/>
  <c r="O599" i="7"/>
  <c r="O600" i="7"/>
  <c r="O601" i="7"/>
  <c r="O602" i="7"/>
  <c r="O603" i="7"/>
  <c r="O604" i="7"/>
  <c r="O605" i="7"/>
  <c r="O606" i="7"/>
  <c r="O607" i="7"/>
  <c r="O608" i="7"/>
  <c r="O609" i="7"/>
  <c r="O610" i="7"/>
  <c r="O611" i="7"/>
  <c r="O612" i="7"/>
  <c r="O613" i="7"/>
  <c r="O614" i="7"/>
  <c r="O615" i="7"/>
  <c r="O616" i="7"/>
  <c r="O617" i="7"/>
  <c r="O618" i="7"/>
  <c r="O619" i="7"/>
  <c r="O620" i="7"/>
  <c r="O621" i="7"/>
  <c r="O622" i="7"/>
  <c r="O623" i="7"/>
  <c r="O624" i="7"/>
  <c r="O625" i="7"/>
  <c r="O626" i="7"/>
  <c r="O627" i="7"/>
  <c r="O628" i="7"/>
  <c r="O629" i="7"/>
  <c r="O630" i="7"/>
  <c r="O631" i="7"/>
  <c r="O632" i="7"/>
  <c r="O633" i="7"/>
  <c r="O634" i="7"/>
  <c r="O635" i="7"/>
  <c r="O636" i="7"/>
  <c r="O637" i="7"/>
  <c r="O638" i="7"/>
  <c r="O639" i="7"/>
  <c r="O640" i="7"/>
  <c r="O641" i="7"/>
  <c r="O642" i="7"/>
  <c r="O643" i="7"/>
  <c r="O644" i="7"/>
  <c r="O645" i="7"/>
  <c r="O646" i="7"/>
  <c r="O647" i="7"/>
  <c r="O648" i="7"/>
  <c r="O649" i="7"/>
  <c r="O650" i="7"/>
  <c r="O651" i="7"/>
  <c r="O652" i="7"/>
  <c r="O653" i="7"/>
  <c r="O654" i="7"/>
  <c r="O655" i="7"/>
  <c r="O656" i="7"/>
  <c r="O657" i="7"/>
  <c r="O658" i="7"/>
  <c r="O659" i="7"/>
  <c r="O660" i="7"/>
  <c r="O661" i="7"/>
  <c r="O662" i="7"/>
  <c r="O663" i="7"/>
  <c r="O664" i="7"/>
  <c r="O665" i="7"/>
  <c r="O666" i="7"/>
  <c r="O667" i="7"/>
  <c r="O668" i="7"/>
  <c r="O669" i="7"/>
  <c r="O670" i="7"/>
  <c r="O671" i="7"/>
  <c r="O672" i="7"/>
  <c r="O673" i="7"/>
  <c r="O674" i="7"/>
  <c r="O675" i="7"/>
  <c r="O676" i="7"/>
  <c r="O677" i="7"/>
  <c r="O678" i="7"/>
  <c r="O679" i="7"/>
  <c r="O680" i="7"/>
  <c r="O681" i="7"/>
  <c r="O682" i="7"/>
  <c r="O683" i="7"/>
  <c r="O684" i="7"/>
  <c r="O685" i="7"/>
  <c r="O686" i="7"/>
  <c r="O687" i="7"/>
  <c r="O688" i="7"/>
  <c r="O689" i="7"/>
  <c r="O690" i="7"/>
  <c r="O691" i="7"/>
  <c r="O692" i="7"/>
  <c r="O693" i="7"/>
  <c r="O694" i="7"/>
  <c r="O695" i="7"/>
  <c r="O696" i="7"/>
  <c r="O697" i="7"/>
  <c r="O698" i="7"/>
  <c r="O699" i="7"/>
  <c r="O700" i="7"/>
  <c r="O701" i="7"/>
  <c r="O702" i="7"/>
  <c r="O703" i="7"/>
  <c r="O704" i="7"/>
  <c r="O705" i="7"/>
  <c r="O706" i="7"/>
  <c r="O707" i="7"/>
  <c r="O708" i="7"/>
  <c r="O709" i="7"/>
  <c r="O710" i="7"/>
  <c r="O711" i="7"/>
  <c r="O712" i="7"/>
  <c r="O713" i="7"/>
  <c r="O714" i="7"/>
  <c r="O715" i="7"/>
  <c r="O716" i="7"/>
  <c r="O717" i="7"/>
  <c r="O718" i="7"/>
  <c r="O719" i="7"/>
  <c r="O720" i="7"/>
  <c r="O721" i="7"/>
  <c r="O722" i="7"/>
  <c r="O723" i="7"/>
  <c r="O724" i="7"/>
  <c r="O725" i="7"/>
  <c r="O726" i="7"/>
  <c r="O727" i="7"/>
  <c r="O728" i="7"/>
  <c r="O729" i="7"/>
  <c r="O730" i="7"/>
  <c r="O731" i="7"/>
  <c r="O732" i="7"/>
  <c r="O733" i="7"/>
  <c r="O734" i="7"/>
  <c r="O735" i="7"/>
  <c r="O736" i="7"/>
  <c r="O737" i="7"/>
  <c r="O738" i="7"/>
  <c r="O739" i="7"/>
  <c r="O740" i="7"/>
  <c r="O741" i="7"/>
  <c r="O742" i="7"/>
  <c r="O743" i="7"/>
  <c r="O744" i="7"/>
  <c r="O745" i="7"/>
  <c r="O746" i="7"/>
  <c r="O747" i="7"/>
  <c r="O748" i="7"/>
  <c r="O749" i="7"/>
  <c r="O750" i="7"/>
  <c r="O751" i="7"/>
  <c r="O752" i="7"/>
  <c r="O753" i="7"/>
  <c r="O754" i="7"/>
  <c r="O755" i="7"/>
  <c r="O756" i="7"/>
  <c r="O757" i="7"/>
  <c r="O758" i="7"/>
  <c r="O759" i="7"/>
  <c r="O760" i="7"/>
  <c r="O761" i="7"/>
  <c r="O762" i="7"/>
  <c r="O763" i="7"/>
  <c r="O764" i="7"/>
  <c r="O765" i="7"/>
  <c r="O766" i="7"/>
  <c r="O767" i="7"/>
  <c r="O768" i="7"/>
  <c r="O769" i="7"/>
  <c r="O770" i="7"/>
  <c r="O771" i="7"/>
  <c r="O772" i="7"/>
  <c r="O773" i="7"/>
  <c r="O774" i="7"/>
  <c r="O775" i="7"/>
  <c r="O776" i="7"/>
  <c r="O777" i="7"/>
  <c r="O778" i="7"/>
  <c r="O779" i="7"/>
  <c r="O780" i="7"/>
  <c r="O781" i="7"/>
  <c r="O782" i="7"/>
  <c r="O783" i="7"/>
  <c r="O784" i="7"/>
  <c r="O785" i="7"/>
  <c r="O786" i="7"/>
  <c r="O787" i="7"/>
  <c r="O788" i="7"/>
  <c r="O789" i="7"/>
  <c r="O790" i="7"/>
  <c r="O791" i="7"/>
  <c r="O792" i="7"/>
  <c r="O793" i="7"/>
  <c r="O794" i="7"/>
  <c r="O795" i="7"/>
  <c r="O796" i="7"/>
  <c r="O797" i="7"/>
  <c r="O798" i="7"/>
  <c r="O799" i="7"/>
  <c r="O800" i="7"/>
  <c r="O801" i="7"/>
  <c r="O802" i="7"/>
  <c r="O803" i="7"/>
  <c r="O804" i="7"/>
  <c r="O805" i="7"/>
  <c r="O806" i="7"/>
  <c r="O807" i="7"/>
  <c r="O808" i="7"/>
  <c r="O809" i="7"/>
  <c r="O810" i="7"/>
  <c r="O811" i="7"/>
  <c r="O812" i="7"/>
  <c r="O813" i="7"/>
  <c r="O814" i="7"/>
  <c r="O815" i="7"/>
  <c r="O816" i="7"/>
  <c r="O817" i="7"/>
  <c r="O818" i="7"/>
  <c r="O819" i="7"/>
  <c r="O820" i="7"/>
  <c r="O821" i="7"/>
  <c r="O822" i="7"/>
  <c r="O823" i="7"/>
  <c r="O824" i="7"/>
  <c r="O825" i="7"/>
  <c r="O826" i="7"/>
  <c r="O827" i="7"/>
  <c r="O828" i="7"/>
  <c r="O829" i="7"/>
  <c r="O830" i="7"/>
  <c r="O831" i="7"/>
  <c r="O832" i="7"/>
  <c r="O833" i="7"/>
  <c r="O834" i="7"/>
  <c r="O835" i="7"/>
  <c r="O836" i="7"/>
  <c r="O837" i="7"/>
  <c r="O838" i="7"/>
  <c r="O839" i="7"/>
  <c r="O840" i="7"/>
  <c r="O841" i="7"/>
  <c r="O842" i="7"/>
  <c r="O843" i="7"/>
  <c r="O844" i="7"/>
  <c r="O845" i="7"/>
  <c r="O846" i="7"/>
  <c r="O847" i="7"/>
  <c r="O848" i="7"/>
  <c r="O849" i="7"/>
  <c r="O850" i="7"/>
  <c r="O851" i="7"/>
  <c r="O852" i="7"/>
  <c r="O853" i="7"/>
  <c r="O854" i="7"/>
  <c r="O855" i="7"/>
  <c r="O856" i="7"/>
  <c r="O857" i="7"/>
  <c r="O858" i="7"/>
  <c r="O859" i="7"/>
  <c r="O860" i="7"/>
  <c r="O861" i="7"/>
  <c r="O862" i="7"/>
  <c r="O863" i="7"/>
  <c r="O864" i="7"/>
  <c r="O865" i="7"/>
  <c r="O866" i="7"/>
  <c r="O867" i="7"/>
  <c r="O868" i="7"/>
  <c r="O869" i="7"/>
  <c r="O870" i="7"/>
  <c r="O871" i="7"/>
  <c r="O872" i="7"/>
  <c r="O873" i="7"/>
  <c r="O874" i="7"/>
  <c r="O875" i="7"/>
  <c r="O876" i="7"/>
  <c r="O877" i="7"/>
  <c r="O878" i="7"/>
  <c r="O879" i="7"/>
  <c r="O880" i="7"/>
  <c r="O881" i="7"/>
  <c r="O882" i="7"/>
  <c r="O883" i="7"/>
  <c r="O884" i="7"/>
  <c r="O885" i="7"/>
  <c r="O886" i="7"/>
  <c r="O887" i="7"/>
  <c r="O888" i="7"/>
  <c r="O889" i="7"/>
  <c r="O890" i="7"/>
  <c r="O891" i="7"/>
  <c r="O892" i="7"/>
  <c r="O893" i="7"/>
  <c r="O894" i="7"/>
  <c r="O895" i="7"/>
  <c r="O896" i="7"/>
  <c r="O897" i="7"/>
  <c r="O898" i="7"/>
  <c r="O899" i="7"/>
  <c r="O900" i="7"/>
  <c r="O901" i="7"/>
  <c r="O902" i="7"/>
  <c r="O903" i="7"/>
  <c r="O904" i="7"/>
  <c r="O905" i="7"/>
  <c r="O906" i="7"/>
  <c r="O907" i="7"/>
  <c r="O908" i="7"/>
  <c r="O909" i="7"/>
  <c r="O910" i="7"/>
  <c r="O911" i="7"/>
  <c r="O912" i="7"/>
  <c r="O913" i="7"/>
  <c r="O914" i="7"/>
  <c r="O915" i="7"/>
  <c r="O916" i="7"/>
  <c r="O917" i="7"/>
  <c r="O918" i="7"/>
  <c r="O919" i="7"/>
  <c r="O920" i="7"/>
  <c r="O921" i="7"/>
  <c r="O922" i="7"/>
  <c r="O923" i="7"/>
  <c r="O924" i="7"/>
  <c r="O925" i="7"/>
  <c r="O926" i="7"/>
  <c r="O927" i="7"/>
  <c r="O928" i="7"/>
  <c r="O929" i="7"/>
  <c r="O930" i="7"/>
  <c r="O931" i="7"/>
  <c r="O932" i="7"/>
  <c r="O933" i="7"/>
  <c r="O934" i="7"/>
  <c r="O935" i="7"/>
  <c r="O936" i="7"/>
  <c r="O937" i="7"/>
  <c r="O938" i="7"/>
  <c r="O939" i="7"/>
  <c r="O940" i="7"/>
  <c r="O941" i="7"/>
  <c r="O942" i="7"/>
  <c r="O943" i="7"/>
  <c r="O944" i="7"/>
  <c r="O945" i="7"/>
  <c r="O946" i="7"/>
  <c r="O947" i="7"/>
  <c r="O948" i="7"/>
  <c r="O949" i="7"/>
  <c r="O950" i="7"/>
  <c r="O951" i="7"/>
  <c r="O952" i="7"/>
  <c r="O953" i="7"/>
  <c r="O954" i="7"/>
  <c r="O955" i="7"/>
  <c r="O956" i="7"/>
  <c r="O957" i="7"/>
  <c r="O958" i="7"/>
  <c r="O959" i="7"/>
  <c r="O960" i="7"/>
  <c r="O961" i="7"/>
  <c r="O962" i="7"/>
  <c r="O963" i="7"/>
  <c r="O964" i="7"/>
  <c r="O965" i="7"/>
  <c r="O966" i="7"/>
  <c r="O967" i="7"/>
  <c r="O968" i="7"/>
  <c r="O969" i="7"/>
  <c r="O970" i="7"/>
  <c r="O971" i="7"/>
  <c r="O972" i="7"/>
  <c r="O973" i="7"/>
  <c r="O974" i="7"/>
  <c r="O975" i="7"/>
  <c r="O976" i="7"/>
  <c r="O977" i="7"/>
  <c r="O978" i="7"/>
  <c r="O979" i="7"/>
  <c r="O980" i="7"/>
  <c r="O981" i="7"/>
  <c r="O982" i="7"/>
  <c r="O983" i="7"/>
  <c r="O984" i="7"/>
  <c r="O985" i="7"/>
  <c r="O986" i="7"/>
  <c r="O987" i="7"/>
  <c r="O988" i="7"/>
  <c r="O989" i="7"/>
  <c r="O990" i="7"/>
  <c r="O991" i="7"/>
  <c r="O992" i="7"/>
  <c r="O993" i="7"/>
  <c r="O994" i="7"/>
  <c r="O995" i="7"/>
  <c r="O996" i="7"/>
  <c r="O997" i="7"/>
  <c r="O998" i="7"/>
  <c r="O999" i="7"/>
  <c r="O1000" i="7"/>
  <c r="O1001" i="7"/>
  <c r="O1002" i="7"/>
  <c r="O1003" i="7"/>
  <c r="O1004" i="7"/>
  <c r="O1005" i="7"/>
  <c r="O1006" i="7"/>
  <c r="O1007" i="7"/>
  <c r="O1008" i="7"/>
  <c r="O1009" i="7"/>
  <c r="O1010" i="7"/>
  <c r="O1011" i="7"/>
  <c r="O1012" i="7"/>
  <c r="O1013" i="7"/>
  <c r="O1014" i="7"/>
  <c r="O1015" i="7"/>
  <c r="O1016" i="7"/>
  <c r="O1017" i="7"/>
  <c r="O1018" i="7"/>
  <c r="O1019" i="7"/>
  <c r="O1020" i="7"/>
  <c r="O1021" i="7"/>
  <c r="O1022" i="7"/>
  <c r="O1023" i="7"/>
  <c r="O1024" i="7"/>
  <c r="O1025" i="7"/>
  <c r="O1026" i="7"/>
  <c r="O1027" i="7"/>
  <c r="O1028" i="7"/>
  <c r="O1029" i="7"/>
  <c r="O1030" i="7"/>
  <c r="O1031" i="7"/>
  <c r="O1032" i="7"/>
  <c r="O1033" i="7"/>
  <c r="O1034" i="7"/>
  <c r="O1035" i="7"/>
  <c r="O1036" i="7"/>
  <c r="O1037" i="7"/>
  <c r="O1038" i="7"/>
  <c r="O1039" i="7"/>
  <c r="O1040" i="7"/>
  <c r="O1041" i="7"/>
  <c r="O1042" i="7"/>
  <c r="O1043" i="7"/>
  <c r="O1044" i="7"/>
  <c r="O1045" i="7"/>
  <c r="O1046" i="7"/>
  <c r="O1047" i="7"/>
  <c r="O1048" i="7"/>
  <c r="O1049" i="7"/>
  <c r="O1050" i="7"/>
  <c r="O1051" i="7"/>
  <c r="O1052" i="7"/>
  <c r="O1053" i="7"/>
  <c r="O1054" i="7"/>
  <c r="O1055" i="7"/>
  <c r="O1056" i="7"/>
  <c r="O1057" i="7"/>
  <c r="O1058" i="7"/>
  <c r="O1059" i="7"/>
  <c r="O1060" i="7"/>
  <c r="O1061" i="7"/>
  <c r="O1062" i="7"/>
  <c r="O1063" i="7"/>
  <c r="O1064" i="7"/>
  <c r="O1065" i="7"/>
  <c r="O1066" i="7"/>
  <c r="O1067" i="7"/>
  <c r="O1068" i="7"/>
  <c r="O1069" i="7"/>
  <c r="O1070" i="7"/>
  <c r="O1071" i="7"/>
  <c r="O1072" i="7"/>
  <c r="O1073" i="7"/>
  <c r="O1074" i="7"/>
  <c r="O1075" i="7"/>
  <c r="O1076" i="7"/>
  <c r="O1077" i="7"/>
  <c r="O1078" i="7"/>
  <c r="O1079" i="7"/>
  <c r="O1080" i="7"/>
  <c r="O1081" i="7"/>
  <c r="O1082" i="7"/>
  <c r="O1083" i="7"/>
  <c r="O1084" i="7"/>
  <c r="O1085" i="7"/>
  <c r="O1086" i="7"/>
  <c r="O1087" i="7"/>
  <c r="O1088" i="7"/>
  <c r="O1089" i="7"/>
  <c r="O1090" i="7"/>
  <c r="O1091" i="7"/>
  <c r="O1092" i="7"/>
  <c r="O1093" i="7"/>
  <c r="O1094" i="7"/>
  <c r="O1095" i="7"/>
  <c r="O1096" i="7"/>
  <c r="O1097" i="7"/>
  <c r="O1098" i="7"/>
  <c r="O1099" i="7"/>
  <c r="O1100" i="7"/>
  <c r="O1101" i="7"/>
  <c r="O1102" i="7"/>
  <c r="O1103" i="7"/>
  <c r="O1104" i="7"/>
  <c r="O1105" i="7"/>
  <c r="O1106" i="7"/>
  <c r="O1107" i="7"/>
  <c r="O1108" i="7"/>
  <c r="O1109" i="7"/>
  <c r="O1110" i="7"/>
  <c r="O1111" i="7"/>
  <c r="O1112" i="7"/>
  <c r="O1113" i="7"/>
  <c r="O1114" i="7"/>
  <c r="O1115" i="7"/>
  <c r="O1116" i="7"/>
  <c r="O1117" i="7"/>
  <c r="O1118" i="7"/>
  <c r="O1119" i="7"/>
  <c r="O1120" i="7"/>
  <c r="O1121" i="7"/>
  <c r="O1122" i="7"/>
  <c r="O1123" i="7"/>
  <c r="O1124" i="7"/>
  <c r="O1125" i="7"/>
  <c r="O1126" i="7"/>
  <c r="O1127" i="7"/>
  <c r="O1128" i="7"/>
  <c r="O1129" i="7"/>
  <c r="O1130" i="7"/>
  <c r="O1131" i="7"/>
  <c r="O1132" i="7"/>
  <c r="O1133" i="7"/>
  <c r="O1134" i="7"/>
  <c r="O1135" i="7"/>
  <c r="O1136" i="7"/>
  <c r="O1137" i="7"/>
  <c r="O1138" i="7"/>
  <c r="O1139" i="7"/>
  <c r="O1140" i="7"/>
  <c r="O1141" i="7"/>
  <c r="O1142" i="7"/>
  <c r="O1143" i="7"/>
  <c r="O1144" i="7"/>
  <c r="O1145" i="7"/>
  <c r="O1146" i="7"/>
  <c r="O1147" i="7"/>
  <c r="O1148" i="7"/>
  <c r="O1149" i="7"/>
  <c r="O1150" i="7"/>
  <c r="O1151" i="7"/>
  <c r="O1152" i="7"/>
  <c r="O1153" i="7"/>
  <c r="O1154" i="7"/>
  <c r="O1155" i="7"/>
  <c r="O1156" i="7"/>
  <c r="O1157" i="7"/>
  <c r="O1158" i="7"/>
  <c r="O1159" i="7"/>
  <c r="O1160" i="7"/>
  <c r="O1161" i="7"/>
  <c r="O1162" i="7"/>
  <c r="O1163" i="7"/>
  <c r="O1164" i="7"/>
  <c r="O1165" i="7"/>
  <c r="O1166" i="7"/>
  <c r="O1167" i="7"/>
  <c r="O1168" i="7"/>
  <c r="O1169" i="7"/>
  <c r="O1170" i="7"/>
  <c r="O1171" i="7"/>
  <c r="O1172" i="7"/>
  <c r="O1173" i="7"/>
  <c r="O1174" i="7"/>
  <c r="O1175" i="7"/>
  <c r="O1176" i="7"/>
  <c r="O1177" i="7"/>
  <c r="O1178" i="7"/>
  <c r="O1179" i="7"/>
  <c r="O1180" i="7"/>
  <c r="O1181" i="7"/>
  <c r="O1182" i="7"/>
  <c r="O1183" i="7"/>
  <c r="O1184" i="7"/>
  <c r="O1185" i="7"/>
  <c r="O1186" i="7"/>
  <c r="O1187" i="7"/>
  <c r="O1188" i="7"/>
  <c r="O1189" i="7"/>
  <c r="O1190" i="7"/>
  <c r="O1191" i="7"/>
  <c r="O1192" i="7"/>
  <c r="O1193" i="7"/>
  <c r="O1194" i="7"/>
  <c r="O1195" i="7"/>
  <c r="O1196" i="7"/>
  <c r="O1197" i="7"/>
  <c r="O1198" i="7"/>
  <c r="O1199" i="7"/>
  <c r="O1200" i="7"/>
  <c r="O1201" i="7"/>
  <c r="O1202" i="7"/>
  <c r="O1203" i="7"/>
  <c r="O1204" i="7"/>
  <c r="O1205" i="7"/>
  <c r="O1206" i="7"/>
  <c r="O1207" i="7"/>
  <c r="O1208" i="7"/>
  <c r="O1209" i="7"/>
  <c r="O1210" i="7"/>
  <c r="O1211" i="7"/>
  <c r="O1212" i="7"/>
  <c r="O1213" i="7"/>
  <c r="O1214" i="7"/>
  <c r="O1215" i="7"/>
  <c r="O1216" i="7"/>
  <c r="O1217" i="7"/>
  <c r="O1218" i="7"/>
  <c r="O1219" i="7"/>
  <c r="O1220" i="7"/>
  <c r="O1221" i="7"/>
  <c r="O1222" i="7"/>
  <c r="O1223" i="7"/>
  <c r="O1224" i="7"/>
  <c r="O1225" i="7"/>
  <c r="O1226" i="7"/>
  <c r="O1227" i="7"/>
  <c r="O1228" i="7"/>
  <c r="O1229" i="7"/>
  <c r="O1230" i="7"/>
  <c r="O1231" i="7"/>
  <c r="O1232" i="7"/>
  <c r="O1233" i="7"/>
  <c r="O1234" i="7"/>
  <c r="O1235" i="7"/>
  <c r="O1236" i="7"/>
  <c r="O1237" i="7"/>
  <c r="O1238" i="7"/>
  <c r="O1239" i="7"/>
  <c r="O1240" i="7"/>
  <c r="O1241" i="7"/>
  <c r="O1242" i="7"/>
  <c r="O1243" i="7"/>
  <c r="O1244" i="7"/>
  <c r="O1245" i="7"/>
  <c r="O1246" i="7"/>
  <c r="O1247" i="7"/>
  <c r="O1248" i="7"/>
  <c r="O1249" i="7"/>
  <c r="O1250" i="7"/>
  <c r="O1251" i="7"/>
  <c r="O1252" i="7"/>
  <c r="O1253" i="7"/>
  <c r="O1254" i="7"/>
  <c r="O1255" i="7"/>
  <c r="O1256" i="7"/>
  <c r="O1257" i="7"/>
  <c r="O1258" i="7"/>
  <c r="O1259" i="7"/>
  <c r="O1260" i="7"/>
  <c r="O1261" i="7"/>
  <c r="O1262" i="7"/>
  <c r="O1263" i="7"/>
  <c r="O1264" i="7"/>
  <c r="O1265" i="7"/>
  <c r="O1266" i="7"/>
  <c r="O1267" i="7"/>
  <c r="O1268" i="7"/>
  <c r="O1269" i="7"/>
  <c r="O1270" i="7"/>
  <c r="O1271" i="7"/>
  <c r="O1272" i="7"/>
  <c r="O1273" i="7"/>
  <c r="O1274" i="7"/>
  <c r="O1275" i="7"/>
  <c r="O1276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C437" i="7"/>
  <c r="C438" i="7"/>
  <c r="C439" i="7"/>
  <c r="C440" i="7"/>
  <c r="C441" i="7"/>
  <c r="C442" i="7"/>
  <c r="C443" i="7"/>
  <c r="C444" i="7"/>
  <c r="C445" i="7"/>
  <c r="C446" i="7"/>
  <c r="C447" i="7"/>
  <c r="C448" i="7"/>
  <c r="C449" i="7"/>
  <c r="C450" i="7"/>
  <c r="C451" i="7"/>
  <c r="C452" i="7"/>
  <c r="C453" i="7"/>
  <c r="C454" i="7"/>
  <c r="C455" i="7"/>
  <c r="C456" i="7"/>
  <c r="C457" i="7"/>
  <c r="C458" i="7"/>
  <c r="C459" i="7"/>
  <c r="C460" i="7"/>
  <c r="C461" i="7"/>
  <c r="C462" i="7"/>
  <c r="C463" i="7"/>
  <c r="C464" i="7"/>
  <c r="C465" i="7"/>
  <c r="C466" i="7"/>
  <c r="C467" i="7"/>
  <c r="C468" i="7"/>
  <c r="C469" i="7"/>
  <c r="C470" i="7"/>
  <c r="C471" i="7"/>
  <c r="C472" i="7"/>
  <c r="C473" i="7"/>
  <c r="C474" i="7"/>
  <c r="C475" i="7"/>
  <c r="C476" i="7"/>
  <c r="C477" i="7"/>
  <c r="C478" i="7"/>
  <c r="C479" i="7"/>
  <c r="C480" i="7"/>
  <c r="C481" i="7"/>
  <c r="C482" i="7"/>
  <c r="C483" i="7"/>
  <c r="C484" i="7"/>
  <c r="C485" i="7"/>
  <c r="C486" i="7"/>
  <c r="C487" i="7"/>
  <c r="C488" i="7"/>
  <c r="C489" i="7"/>
  <c r="C490" i="7"/>
  <c r="C491" i="7"/>
  <c r="C492" i="7"/>
  <c r="C493" i="7"/>
  <c r="C494" i="7"/>
  <c r="C495" i="7"/>
  <c r="C496" i="7"/>
  <c r="C497" i="7"/>
  <c r="C498" i="7"/>
  <c r="C499" i="7"/>
  <c r="C500" i="7"/>
  <c r="C501" i="7"/>
  <c r="C502" i="7"/>
  <c r="C503" i="7"/>
  <c r="C504" i="7"/>
  <c r="C505" i="7"/>
  <c r="C506" i="7"/>
  <c r="C507" i="7"/>
  <c r="C508" i="7"/>
  <c r="C509" i="7"/>
  <c r="C510" i="7"/>
  <c r="C511" i="7"/>
  <c r="C512" i="7"/>
  <c r="C513" i="7"/>
  <c r="C514" i="7"/>
  <c r="C515" i="7"/>
  <c r="C516" i="7"/>
  <c r="C517" i="7"/>
  <c r="C518" i="7"/>
  <c r="C519" i="7"/>
  <c r="C520" i="7"/>
  <c r="C521" i="7"/>
  <c r="C522" i="7"/>
  <c r="C523" i="7"/>
  <c r="C524" i="7"/>
  <c r="C525" i="7"/>
  <c r="C526" i="7"/>
  <c r="C527" i="7"/>
  <c r="C528" i="7"/>
  <c r="C529" i="7"/>
  <c r="C530" i="7"/>
  <c r="C531" i="7"/>
  <c r="C532" i="7"/>
  <c r="C533" i="7"/>
  <c r="C534" i="7"/>
  <c r="C535" i="7"/>
  <c r="C536" i="7"/>
  <c r="C537" i="7"/>
  <c r="C538" i="7"/>
  <c r="C539" i="7"/>
  <c r="C540" i="7"/>
  <c r="C541" i="7"/>
  <c r="C542" i="7"/>
  <c r="C543" i="7"/>
  <c r="C544" i="7"/>
  <c r="C545" i="7"/>
  <c r="C546" i="7"/>
  <c r="C547" i="7"/>
  <c r="C548" i="7"/>
  <c r="C549" i="7"/>
  <c r="C550" i="7"/>
  <c r="C551" i="7"/>
  <c r="C552" i="7"/>
  <c r="C553" i="7"/>
  <c r="C554" i="7"/>
  <c r="C555" i="7"/>
  <c r="C556" i="7"/>
  <c r="C557" i="7"/>
  <c r="C558" i="7"/>
  <c r="C559" i="7"/>
  <c r="C560" i="7"/>
  <c r="C561" i="7"/>
  <c r="C562" i="7"/>
  <c r="C563" i="7"/>
  <c r="C564" i="7"/>
  <c r="C565" i="7"/>
  <c r="C566" i="7"/>
  <c r="C567" i="7"/>
  <c r="C568" i="7"/>
  <c r="C569" i="7"/>
  <c r="C570" i="7"/>
  <c r="C571" i="7"/>
  <c r="C572" i="7"/>
  <c r="C573" i="7"/>
  <c r="C574" i="7"/>
  <c r="C575" i="7"/>
  <c r="C576" i="7"/>
  <c r="C577" i="7"/>
  <c r="C578" i="7"/>
  <c r="C579" i="7"/>
  <c r="C580" i="7"/>
  <c r="C581" i="7"/>
  <c r="C582" i="7"/>
  <c r="C583" i="7"/>
  <c r="C584" i="7"/>
  <c r="C585" i="7"/>
  <c r="C586" i="7"/>
  <c r="C587" i="7"/>
  <c r="C588" i="7"/>
  <c r="C589" i="7"/>
  <c r="C590" i="7"/>
  <c r="C591" i="7"/>
  <c r="C592" i="7"/>
  <c r="C593" i="7"/>
  <c r="C594" i="7"/>
  <c r="C595" i="7"/>
  <c r="C596" i="7"/>
  <c r="C597" i="7"/>
  <c r="C598" i="7"/>
  <c r="C599" i="7"/>
  <c r="C600" i="7"/>
  <c r="C601" i="7"/>
  <c r="C602" i="7"/>
  <c r="C603" i="7"/>
  <c r="C604" i="7"/>
  <c r="C605" i="7"/>
  <c r="C606" i="7"/>
  <c r="C607" i="7"/>
  <c r="C608" i="7"/>
  <c r="C609" i="7"/>
  <c r="C610" i="7"/>
  <c r="C611" i="7"/>
  <c r="C612" i="7"/>
  <c r="C613" i="7"/>
  <c r="C614" i="7"/>
  <c r="C615" i="7"/>
  <c r="C616" i="7"/>
  <c r="C617" i="7"/>
  <c r="C618" i="7"/>
  <c r="C619" i="7"/>
  <c r="C620" i="7"/>
  <c r="C621" i="7"/>
  <c r="C622" i="7"/>
  <c r="C623" i="7"/>
  <c r="C624" i="7"/>
  <c r="C625" i="7"/>
  <c r="C626" i="7"/>
  <c r="C627" i="7"/>
  <c r="C628" i="7"/>
  <c r="C629" i="7"/>
  <c r="C630" i="7"/>
  <c r="C631" i="7"/>
  <c r="C632" i="7"/>
  <c r="C633" i="7"/>
  <c r="C634" i="7"/>
  <c r="C635" i="7"/>
  <c r="C636" i="7"/>
  <c r="C637" i="7"/>
  <c r="C638" i="7"/>
  <c r="C639" i="7"/>
  <c r="C640" i="7"/>
  <c r="C641" i="7"/>
  <c r="C642" i="7"/>
  <c r="C643" i="7"/>
  <c r="C644" i="7"/>
  <c r="C645" i="7"/>
  <c r="C646" i="7"/>
  <c r="C647" i="7"/>
  <c r="C648" i="7"/>
  <c r="C649" i="7"/>
  <c r="C650" i="7"/>
  <c r="C651" i="7"/>
  <c r="C652" i="7"/>
  <c r="C653" i="7"/>
  <c r="C654" i="7"/>
  <c r="C655" i="7"/>
  <c r="C656" i="7"/>
  <c r="C657" i="7"/>
  <c r="C658" i="7"/>
  <c r="C659" i="7"/>
  <c r="C660" i="7"/>
  <c r="C661" i="7"/>
  <c r="C662" i="7"/>
  <c r="C663" i="7"/>
  <c r="C664" i="7"/>
  <c r="C665" i="7"/>
  <c r="C666" i="7"/>
  <c r="C667" i="7"/>
  <c r="C668" i="7"/>
  <c r="C669" i="7"/>
  <c r="C670" i="7"/>
  <c r="C671" i="7"/>
  <c r="C672" i="7"/>
  <c r="C673" i="7"/>
  <c r="C674" i="7"/>
  <c r="C675" i="7"/>
  <c r="C676" i="7"/>
  <c r="C677" i="7"/>
  <c r="C678" i="7"/>
  <c r="C679" i="7"/>
  <c r="C680" i="7"/>
  <c r="C681" i="7"/>
  <c r="C682" i="7"/>
  <c r="C683" i="7"/>
  <c r="C684" i="7"/>
  <c r="C685" i="7"/>
  <c r="C686" i="7"/>
  <c r="C687" i="7"/>
  <c r="C688" i="7"/>
  <c r="C689" i="7"/>
  <c r="C690" i="7"/>
  <c r="C691" i="7"/>
  <c r="C692" i="7"/>
  <c r="C693" i="7"/>
  <c r="C694" i="7"/>
  <c r="C695" i="7"/>
  <c r="C696" i="7"/>
  <c r="C697" i="7"/>
  <c r="C698" i="7"/>
  <c r="C699" i="7"/>
  <c r="C700" i="7"/>
  <c r="C701" i="7"/>
  <c r="C702" i="7"/>
  <c r="C703" i="7"/>
  <c r="C704" i="7"/>
  <c r="C705" i="7"/>
  <c r="C706" i="7"/>
  <c r="C707" i="7"/>
  <c r="C708" i="7"/>
  <c r="C709" i="7"/>
  <c r="C710" i="7"/>
  <c r="C711" i="7"/>
  <c r="C712" i="7"/>
  <c r="C713" i="7"/>
  <c r="C714" i="7"/>
  <c r="C715" i="7"/>
  <c r="C716" i="7"/>
  <c r="C717" i="7"/>
  <c r="C718" i="7"/>
  <c r="C719" i="7"/>
  <c r="C720" i="7"/>
  <c r="C721" i="7"/>
  <c r="C722" i="7"/>
  <c r="C723" i="7"/>
  <c r="C724" i="7"/>
  <c r="C725" i="7"/>
  <c r="C726" i="7"/>
  <c r="C727" i="7"/>
  <c r="C728" i="7"/>
  <c r="C729" i="7"/>
  <c r="C730" i="7"/>
  <c r="C731" i="7"/>
  <c r="C732" i="7"/>
  <c r="C733" i="7"/>
  <c r="C734" i="7"/>
  <c r="C735" i="7"/>
  <c r="C736" i="7"/>
  <c r="C737" i="7"/>
  <c r="C738" i="7"/>
  <c r="C739" i="7"/>
  <c r="C740" i="7"/>
  <c r="C741" i="7"/>
  <c r="C742" i="7"/>
  <c r="C743" i="7"/>
  <c r="C744" i="7"/>
  <c r="C745" i="7"/>
  <c r="C746" i="7"/>
  <c r="C747" i="7"/>
  <c r="C748" i="7"/>
  <c r="C749" i="7"/>
  <c r="C750" i="7"/>
  <c r="C751" i="7"/>
  <c r="C752" i="7"/>
  <c r="C753" i="7"/>
  <c r="C754" i="7"/>
  <c r="C755" i="7"/>
  <c r="C756" i="7"/>
  <c r="C757" i="7"/>
  <c r="C758" i="7"/>
  <c r="C759" i="7"/>
  <c r="C760" i="7"/>
  <c r="C761" i="7"/>
  <c r="C762" i="7"/>
  <c r="C763" i="7"/>
  <c r="C764" i="7"/>
  <c r="C765" i="7"/>
  <c r="C766" i="7"/>
  <c r="C767" i="7"/>
  <c r="C768" i="7"/>
  <c r="C769" i="7"/>
  <c r="C770" i="7"/>
  <c r="C771" i="7"/>
  <c r="C772" i="7"/>
  <c r="C773" i="7"/>
  <c r="C774" i="7"/>
  <c r="C775" i="7"/>
  <c r="C776" i="7"/>
  <c r="C777" i="7"/>
  <c r="C778" i="7"/>
  <c r="C779" i="7"/>
  <c r="C780" i="7"/>
  <c r="C781" i="7"/>
  <c r="C782" i="7"/>
  <c r="C783" i="7"/>
  <c r="C784" i="7"/>
  <c r="C785" i="7"/>
  <c r="C786" i="7"/>
  <c r="C787" i="7"/>
  <c r="C788" i="7"/>
  <c r="C789" i="7"/>
  <c r="C790" i="7"/>
  <c r="C791" i="7"/>
  <c r="C792" i="7"/>
  <c r="C793" i="7"/>
  <c r="C794" i="7"/>
  <c r="C795" i="7"/>
  <c r="C796" i="7"/>
  <c r="C797" i="7"/>
  <c r="C798" i="7"/>
  <c r="C799" i="7"/>
  <c r="C800" i="7"/>
  <c r="C801" i="7"/>
  <c r="C802" i="7"/>
  <c r="C803" i="7"/>
  <c r="C804" i="7"/>
  <c r="C805" i="7"/>
  <c r="C806" i="7"/>
  <c r="C807" i="7"/>
  <c r="C808" i="7"/>
  <c r="C809" i="7"/>
  <c r="C810" i="7"/>
  <c r="C811" i="7"/>
  <c r="C812" i="7"/>
  <c r="C813" i="7"/>
  <c r="C814" i="7"/>
  <c r="C815" i="7"/>
  <c r="C816" i="7"/>
  <c r="C817" i="7"/>
  <c r="C818" i="7"/>
  <c r="C819" i="7"/>
  <c r="C820" i="7"/>
  <c r="C821" i="7"/>
  <c r="C822" i="7"/>
  <c r="C823" i="7"/>
  <c r="C824" i="7"/>
  <c r="C825" i="7"/>
  <c r="C826" i="7"/>
  <c r="C827" i="7"/>
  <c r="C828" i="7"/>
  <c r="C829" i="7"/>
  <c r="C830" i="7"/>
  <c r="C831" i="7"/>
  <c r="C832" i="7"/>
  <c r="C833" i="7"/>
  <c r="C834" i="7"/>
  <c r="C835" i="7"/>
  <c r="C836" i="7"/>
  <c r="C837" i="7"/>
  <c r="C838" i="7"/>
  <c r="C839" i="7"/>
  <c r="C840" i="7"/>
  <c r="C841" i="7"/>
  <c r="C842" i="7"/>
  <c r="C843" i="7"/>
  <c r="C844" i="7"/>
  <c r="C845" i="7"/>
  <c r="C846" i="7"/>
  <c r="C847" i="7"/>
  <c r="C848" i="7"/>
  <c r="C849" i="7"/>
  <c r="C850" i="7"/>
  <c r="C851" i="7"/>
  <c r="C852" i="7"/>
  <c r="C853" i="7"/>
  <c r="C854" i="7"/>
  <c r="C855" i="7"/>
  <c r="C856" i="7"/>
  <c r="C857" i="7"/>
  <c r="C858" i="7"/>
  <c r="C859" i="7"/>
  <c r="C860" i="7"/>
  <c r="C861" i="7"/>
  <c r="C862" i="7"/>
  <c r="C863" i="7"/>
  <c r="C864" i="7"/>
  <c r="C865" i="7"/>
  <c r="C866" i="7"/>
  <c r="C867" i="7"/>
  <c r="C868" i="7"/>
  <c r="C869" i="7"/>
  <c r="C870" i="7"/>
  <c r="C871" i="7"/>
  <c r="C872" i="7"/>
  <c r="C873" i="7"/>
  <c r="C874" i="7"/>
  <c r="C875" i="7"/>
  <c r="C876" i="7"/>
  <c r="C877" i="7"/>
  <c r="C878" i="7"/>
  <c r="C879" i="7"/>
  <c r="C880" i="7"/>
  <c r="C881" i="7"/>
  <c r="C882" i="7"/>
  <c r="C883" i="7"/>
  <c r="C884" i="7"/>
  <c r="C885" i="7"/>
  <c r="C886" i="7"/>
  <c r="C887" i="7"/>
  <c r="C888" i="7"/>
  <c r="C889" i="7"/>
  <c r="C890" i="7"/>
  <c r="C891" i="7"/>
  <c r="C892" i="7"/>
  <c r="C893" i="7"/>
  <c r="C894" i="7"/>
  <c r="C895" i="7"/>
  <c r="C896" i="7"/>
  <c r="C897" i="7"/>
  <c r="C898" i="7"/>
  <c r="C899" i="7"/>
  <c r="C900" i="7"/>
  <c r="C901" i="7"/>
  <c r="C902" i="7"/>
  <c r="C903" i="7"/>
  <c r="C904" i="7"/>
  <c r="C905" i="7"/>
  <c r="C906" i="7"/>
  <c r="C907" i="7"/>
  <c r="C908" i="7"/>
  <c r="C909" i="7"/>
  <c r="C910" i="7"/>
  <c r="C911" i="7"/>
  <c r="C912" i="7"/>
  <c r="C913" i="7"/>
  <c r="C914" i="7"/>
  <c r="C915" i="7"/>
  <c r="C916" i="7"/>
  <c r="C917" i="7"/>
  <c r="C918" i="7"/>
  <c r="C919" i="7"/>
  <c r="C920" i="7"/>
  <c r="C921" i="7"/>
  <c r="C922" i="7"/>
  <c r="C923" i="7"/>
  <c r="C924" i="7"/>
  <c r="C925" i="7"/>
  <c r="C926" i="7"/>
  <c r="C927" i="7"/>
  <c r="C928" i="7"/>
  <c r="C929" i="7"/>
  <c r="C930" i="7"/>
  <c r="C931" i="7"/>
  <c r="C932" i="7"/>
  <c r="C933" i="7"/>
  <c r="C934" i="7"/>
  <c r="C935" i="7"/>
  <c r="C936" i="7"/>
  <c r="C937" i="7"/>
  <c r="C938" i="7"/>
  <c r="C939" i="7"/>
  <c r="C940" i="7"/>
  <c r="C941" i="7"/>
  <c r="C942" i="7"/>
  <c r="C943" i="7"/>
  <c r="C944" i="7"/>
  <c r="C945" i="7"/>
  <c r="C946" i="7"/>
  <c r="C947" i="7"/>
  <c r="C948" i="7"/>
  <c r="C949" i="7"/>
  <c r="C950" i="7"/>
  <c r="C951" i="7"/>
  <c r="C952" i="7"/>
  <c r="C953" i="7"/>
  <c r="C954" i="7"/>
  <c r="C955" i="7"/>
  <c r="C956" i="7"/>
  <c r="C957" i="7"/>
  <c r="C958" i="7"/>
  <c r="C959" i="7"/>
  <c r="C960" i="7"/>
  <c r="C961" i="7"/>
  <c r="C962" i="7"/>
  <c r="C963" i="7"/>
  <c r="C964" i="7"/>
  <c r="C965" i="7"/>
  <c r="C966" i="7"/>
  <c r="C967" i="7"/>
  <c r="C968" i="7"/>
  <c r="C969" i="7"/>
  <c r="C970" i="7"/>
  <c r="C971" i="7"/>
  <c r="C972" i="7"/>
  <c r="C973" i="7"/>
  <c r="C974" i="7"/>
  <c r="C975" i="7"/>
  <c r="C976" i="7"/>
  <c r="C977" i="7"/>
  <c r="C978" i="7"/>
  <c r="C979" i="7"/>
  <c r="C980" i="7"/>
  <c r="C981" i="7"/>
  <c r="C982" i="7"/>
  <c r="C983" i="7"/>
  <c r="C984" i="7"/>
  <c r="C985" i="7"/>
  <c r="C986" i="7"/>
  <c r="C987" i="7"/>
  <c r="C988" i="7"/>
  <c r="C989" i="7"/>
  <c r="C990" i="7"/>
  <c r="C991" i="7"/>
  <c r="C992" i="7"/>
  <c r="C993" i="7"/>
  <c r="C994" i="7"/>
  <c r="C995" i="7"/>
  <c r="C996" i="7"/>
  <c r="C997" i="7"/>
  <c r="C998" i="7"/>
  <c r="C999" i="7"/>
  <c r="C1000" i="7"/>
  <c r="C1001" i="7"/>
  <c r="C1002" i="7"/>
  <c r="C1003" i="7"/>
  <c r="C1004" i="7"/>
  <c r="C1005" i="7"/>
  <c r="C1006" i="7"/>
  <c r="C1007" i="7"/>
  <c r="C1008" i="7"/>
  <c r="C1009" i="7"/>
  <c r="C1010" i="7"/>
  <c r="C1011" i="7"/>
  <c r="C1012" i="7"/>
  <c r="C1013" i="7"/>
  <c r="C1014" i="7"/>
  <c r="C1015" i="7"/>
  <c r="C1016" i="7"/>
  <c r="C1017" i="7"/>
  <c r="C1018" i="7"/>
  <c r="C1019" i="7"/>
  <c r="C1020" i="7"/>
  <c r="C1021" i="7"/>
  <c r="C1022" i="7"/>
  <c r="C1023" i="7"/>
  <c r="C1024" i="7"/>
  <c r="C1025" i="7"/>
  <c r="C1026" i="7"/>
  <c r="C1027" i="7"/>
  <c r="C1028" i="7"/>
  <c r="C1029" i="7"/>
  <c r="C1030" i="7"/>
  <c r="C1031" i="7"/>
  <c r="C1032" i="7"/>
  <c r="C1033" i="7"/>
  <c r="C1034" i="7"/>
  <c r="C1035" i="7"/>
  <c r="C1036" i="7"/>
  <c r="C1037" i="7"/>
  <c r="C1038" i="7"/>
  <c r="C1039" i="7"/>
  <c r="C1040" i="7"/>
  <c r="C1041" i="7"/>
  <c r="C1042" i="7"/>
  <c r="C1043" i="7"/>
  <c r="C1044" i="7"/>
  <c r="C1045" i="7"/>
  <c r="C1046" i="7"/>
  <c r="C1047" i="7"/>
  <c r="C1048" i="7"/>
  <c r="C1049" i="7"/>
  <c r="C1050" i="7"/>
  <c r="C1051" i="7"/>
  <c r="C1052" i="7"/>
  <c r="C1053" i="7"/>
  <c r="C1054" i="7"/>
  <c r="C1055" i="7"/>
  <c r="C1056" i="7"/>
  <c r="C1057" i="7"/>
  <c r="C1058" i="7"/>
  <c r="C1059" i="7"/>
  <c r="C1060" i="7"/>
  <c r="C1061" i="7"/>
  <c r="C1062" i="7"/>
  <c r="C1063" i="7"/>
  <c r="C1064" i="7"/>
  <c r="C1065" i="7"/>
  <c r="C1066" i="7"/>
  <c r="C1067" i="7"/>
  <c r="C1068" i="7"/>
  <c r="C1069" i="7"/>
  <c r="C1070" i="7"/>
  <c r="C1071" i="7"/>
  <c r="C1072" i="7"/>
  <c r="C1073" i="7"/>
  <c r="C1074" i="7"/>
  <c r="C1075" i="7"/>
  <c r="C1076" i="7"/>
  <c r="C1077" i="7"/>
  <c r="C1078" i="7"/>
  <c r="C1079" i="7"/>
  <c r="C1080" i="7"/>
  <c r="C1081" i="7"/>
  <c r="C1082" i="7"/>
  <c r="C1083" i="7"/>
  <c r="C1084" i="7"/>
  <c r="C1085" i="7"/>
  <c r="C1086" i="7"/>
  <c r="C1087" i="7"/>
  <c r="C1088" i="7"/>
  <c r="C1089" i="7"/>
  <c r="C1090" i="7"/>
  <c r="C1091" i="7"/>
  <c r="C1092" i="7"/>
  <c r="C1093" i="7"/>
  <c r="C1094" i="7"/>
  <c r="C1095" i="7"/>
  <c r="C1096" i="7"/>
  <c r="C1097" i="7"/>
  <c r="C1098" i="7"/>
  <c r="C1099" i="7"/>
  <c r="C1100" i="7"/>
  <c r="C1101" i="7"/>
  <c r="C1102" i="7"/>
  <c r="C1103" i="7"/>
  <c r="C1104" i="7"/>
  <c r="C1105" i="7"/>
  <c r="C1106" i="7"/>
  <c r="C1107" i="7"/>
  <c r="C1108" i="7"/>
  <c r="C1109" i="7"/>
  <c r="C1110" i="7"/>
  <c r="C1111" i="7"/>
  <c r="C1112" i="7"/>
  <c r="C1113" i="7"/>
  <c r="C1114" i="7"/>
  <c r="C1115" i="7"/>
  <c r="C1116" i="7"/>
  <c r="C1117" i="7"/>
  <c r="C1118" i="7"/>
  <c r="C1119" i="7"/>
  <c r="C1120" i="7"/>
  <c r="C1121" i="7"/>
  <c r="C1122" i="7"/>
  <c r="C1123" i="7"/>
  <c r="C1124" i="7"/>
  <c r="C1125" i="7"/>
  <c r="C1126" i="7"/>
  <c r="C1127" i="7"/>
  <c r="C1128" i="7"/>
  <c r="C1129" i="7"/>
  <c r="C1130" i="7"/>
  <c r="C1131" i="7"/>
  <c r="C1132" i="7"/>
  <c r="C1133" i="7"/>
  <c r="C1134" i="7"/>
  <c r="C1135" i="7"/>
  <c r="C1136" i="7"/>
  <c r="C1137" i="7"/>
  <c r="C1138" i="7"/>
  <c r="C1139" i="7"/>
  <c r="C1140" i="7"/>
  <c r="C1141" i="7"/>
  <c r="C1142" i="7"/>
  <c r="C1143" i="7"/>
  <c r="C1144" i="7"/>
  <c r="C1145" i="7"/>
  <c r="C1146" i="7"/>
  <c r="C1147" i="7"/>
  <c r="C1148" i="7"/>
  <c r="C1149" i="7"/>
  <c r="C1150" i="7"/>
  <c r="C1151" i="7"/>
  <c r="C1152" i="7"/>
  <c r="C1153" i="7"/>
  <c r="C1154" i="7"/>
  <c r="C1155" i="7"/>
  <c r="C1156" i="7"/>
  <c r="C1157" i="7"/>
  <c r="C1158" i="7"/>
  <c r="C1159" i="7"/>
  <c r="C1160" i="7"/>
  <c r="C1161" i="7"/>
  <c r="C1162" i="7"/>
  <c r="C1163" i="7"/>
  <c r="C1164" i="7"/>
  <c r="C1165" i="7"/>
  <c r="C1166" i="7"/>
  <c r="C1167" i="7"/>
  <c r="C1168" i="7"/>
  <c r="C1169" i="7"/>
  <c r="C1170" i="7"/>
  <c r="C1171" i="7"/>
  <c r="C1172" i="7"/>
  <c r="C1173" i="7"/>
  <c r="C1174" i="7"/>
  <c r="C1175" i="7"/>
  <c r="C1176" i="7"/>
  <c r="C1177" i="7"/>
  <c r="C1178" i="7"/>
  <c r="C1179" i="7"/>
  <c r="C1180" i="7"/>
  <c r="C1181" i="7"/>
  <c r="C1182" i="7"/>
  <c r="C1183" i="7"/>
  <c r="C1184" i="7"/>
  <c r="C1185" i="7"/>
  <c r="C1186" i="7"/>
  <c r="C1187" i="7"/>
  <c r="C1188" i="7"/>
  <c r="C1189" i="7"/>
  <c r="C1190" i="7"/>
  <c r="C1191" i="7"/>
  <c r="C1192" i="7"/>
  <c r="C1193" i="7"/>
  <c r="C1194" i="7"/>
  <c r="C1195" i="7"/>
  <c r="C1196" i="7"/>
  <c r="C1197" i="7"/>
  <c r="C1198" i="7"/>
  <c r="C1199" i="7"/>
  <c r="C1200" i="7"/>
  <c r="C1201" i="7"/>
  <c r="C1202" i="7"/>
  <c r="C1203" i="7"/>
  <c r="C1204" i="7"/>
  <c r="C1205" i="7"/>
  <c r="C1206" i="7"/>
  <c r="C1207" i="7"/>
  <c r="C1208" i="7"/>
  <c r="C1209" i="7"/>
  <c r="C1210" i="7"/>
  <c r="C1211" i="7"/>
  <c r="C1212" i="7"/>
  <c r="C1213" i="7"/>
  <c r="C1214" i="7"/>
  <c r="C1215" i="7"/>
  <c r="C1216" i="7"/>
  <c r="C1217" i="7"/>
  <c r="C1218" i="7"/>
  <c r="C1219" i="7"/>
  <c r="C1220" i="7"/>
  <c r="C1221" i="7"/>
  <c r="C1222" i="7"/>
  <c r="C1223" i="7"/>
  <c r="C1224" i="7"/>
  <c r="C1225" i="7"/>
  <c r="C1226" i="7"/>
  <c r="C1227" i="7"/>
  <c r="C1228" i="7"/>
  <c r="C1229" i="7"/>
  <c r="C1230" i="7"/>
  <c r="C1231" i="7"/>
  <c r="C1232" i="7"/>
  <c r="C1233" i="7"/>
  <c r="C1234" i="7"/>
  <c r="C1235" i="7"/>
  <c r="C1236" i="7"/>
  <c r="C1237" i="7"/>
  <c r="C1238" i="7"/>
  <c r="C1239" i="7"/>
  <c r="C1240" i="7"/>
  <c r="C1241" i="7"/>
  <c r="C1242" i="7"/>
  <c r="C1243" i="7"/>
  <c r="C1244" i="7"/>
  <c r="C1245" i="7"/>
  <c r="C1246" i="7"/>
  <c r="C1247" i="7"/>
  <c r="C1248" i="7"/>
  <c r="C1249" i="7"/>
  <c r="C1250" i="7"/>
  <c r="C1251" i="7"/>
  <c r="C1252" i="7"/>
  <c r="C1253" i="7"/>
  <c r="C1254" i="7"/>
  <c r="C1255" i="7"/>
  <c r="C1256" i="7"/>
  <c r="C1257" i="7"/>
  <c r="C1258" i="7"/>
  <c r="C1259" i="7"/>
  <c r="C1260" i="7"/>
  <c r="C1261" i="7"/>
  <c r="C1262" i="7"/>
  <c r="C1263" i="7"/>
  <c r="C1264" i="7"/>
  <c r="C1265" i="7"/>
  <c r="C1266" i="7"/>
  <c r="C1267" i="7"/>
  <c r="C1268" i="7"/>
  <c r="C1269" i="7"/>
  <c r="C1270" i="7"/>
  <c r="C1271" i="7"/>
  <c r="C1272" i="7"/>
  <c r="C1273" i="7"/>
  <c r="B1284" i="7" l="1"/>
  <c r="N13" i="8" s="1"/>
  <c r="D10" i="8" s="1"/>
  <c r="D12" i="8" s="1"/>
  <c r="O8" i="8" s="1"/>
  <c r="D4" i="7"/>
  <c r="V1280" i="7"/>
  <c r="B4" i="7" s="1"/>
  <c r="B20" i="8" s="1"/>
  <c r="F20" i="8" s="1"/>
  <c r="Y1277" i="7"/>
  <c r="Y1280" i="7"/>
  <c r="B5" i="7" s="1"/>
  <c r="B21" i="8" s="1"/>
  <c r="F21" i="8" s="1"/>
  <c r="D3" i="7"/>
  <c r="J1281" i="7"/>
  <c r="B3" i="7" s="1"/>
  <c r="B19" i="8" s="1"/>
  <c r="O1278" i="7"/>
  <c r="P526" i="7" s="1"/>
  <c r="D2" i="7"/>
  <c r="C1275" i="7"/>
  <c r="P33" i="7" l="1"/>
  <c r="P290" i="7"/>
  <c r="P546" i="7"/>
  <c r="P802" i="7"/>
  <c r="P1058" i="7"/>
  <c r="P229" i="7"/>
  <c r="Q229" i="7" s="1"/>
  <c r="P374" i="7"/>
  <c r="P115" i="7"/>
  <c r="P371" i="7"/>
  <c r="P627" i="7"/>
  <c r="P883" i="7"/>
  <c r="P1139" i="7"/>
  <c r="P741" i="7"/>
  <c r="P574" i="7"/>
  <c r="P100" i="7"/>
  <c r="P540" i="7"/>
  <c r="P1052" i="7"/>
  <c r="P422" i="7"/>
  <c r="P255" i="7"/>
  <c r="P767" i="7"/>
  <c r="P1215" i="7"/>
  <c r="P280" i="7"/>
  <c r="Q280" i="7" s="1"/>
  <c r="P792" i="7"/>
  <c r="P197" i="7"/>
  <c r="P265" i="7"/>
  <c r="P521" i="7"/>
  <c r="P777" i="7"/>
  <c r="P1033" i="7"/>
  <c r="P77" i="7"/>
  <c r="P90" i="7"/>
  <c r="P346" i="7"/>
  <c r="P602" i="7"/>
  <c r="P858" i="7"/>
  <c r="P1114" i="7"/>
  <c r="P525" i="7"/>
  <c r="P670" i="7"/>
  <c r="P171" i="7"/>
  <c r="P427" i="7"/>
  <c r="Q427" i="7" s="1"/>
  <c r="P683" i="7"/>
  <c r="P939" i="7"/>
  <c r="P1195" i="7"/>
  <c r="P989" i="7"/>
  <c r="P814" i="7"/>
  <c r="P156" i="7"/>
  <c r="P604" i="7"/>
  <c r="P1116" i="7"/>
  <c r="Q1116" i="7" s="1"/>
  <c r="P622" i="7"/>
  <c r="P319" i="7"/>
  <c r="P831" i="7"/>
  <c r="P45" i="7"/>
  <c r="P344" i="7"/>
  <c r="P856" i="7"/>
  <c r="P597" i="7"/>
  <c r="P536" i="7"/>
  <c r="Q536" i="7" s="1"/>
  <c r="P1048" i="7"/>
  <c r="P278" i="7"/>
  <c r="P209" i="7"/>
  <c r="P465" i="7"/>
  <c r="P977" i="7"/>
  <c r="P125" i="7"/>
  <c r="P354" i="7"/>
  <c r="P1122" i="7"/>
  <c r="P435" i="7"/>
  <c r="P691" i="7"/>
  <c r="P1021" i="7"/>
  <c r="P668" i="7"/>
  <c r="P895" i="7"/>
  <c r="P949" i="7"/>
  <c r="P329" i="7"/>
  <c r="P841" i="7"/>
  <c r="Q841" i="7" s="1"/>
  <c r="P445" i="7"/>
  <c r="P410" i="7"/>
  <c r="P666" i="7"/>
  <c r="P235" i="7"/>
  <c r="P1003" i="7"/>
  <c r="P1062" i="7"/>
  <c r="P1244" i="7"/>
  <c r="P447" i="7"/>
  <c r="P869" i="7"/>
  <c r="P37" i="7"/>
  <c r="P849" i="7"/>
  <c r="P418" i="7"/>
  <c r="P1186" i="7"/>
  <c r="P243" i="7"/>
  <c r="P755" i="7"/>
  <c r="P102" i="7"/>
  <c r="Q102" i="7" s="1"/>
  <c r="P292" i="7"/>
  <c r="P213" i="7"/>
  <c r="P511" i="7"/>
  <c r="P649" i="7"/>
  <c r="P837" i="7"/>
  <c r="P474" i="7"/>
  <c r="P730" i="7"/>
  <c r="P986" i="7"/>
  <c r="Q986" i="7" s="1"/>
  <c r="P1242" i="7"/>
  <c r="P78" i="7"/>
  <c r="P43" i="7"/>
  <c r="P299" i="7"/>
  <c r="P555" i="7"/>
  <c r="P811" i="7"/>
  <c r="P1067" i="7"/>
  <c r="P285" i="7"/>
  <c r="Q285" i="7" s="1"/>
  <c r="P310" i="7"/>
  <c r="P27" i="7"/>
  <c r="P348" i="7"/>
  <c r="P860" i="7"/>
  <c r="P613" i="7"/>
  <c r="P63" i="7"/>
  <c r="P575" i="7"/>
  <c r="P1023" i="7"/>
  <c r="Q1023" i="7" s="1"/>
  <c r="P88" i="7"/>
  <c r="P600" i="7"/>
  <c r="P1112" i="7"/>
  <c r="P21" i="7"/>
  <c r="Q21" i="7" s="1"/>
  <c r="P22" i="7"/>
  <c r="P23" i="7"/>
  <c r="P24" i="7"/>
  <c r="Q24" i="7" s="1"/>
  <c r="P1238" i="7"/>
  <c r="P1014" i="7"/>
  <c r="P686" i="7"/>
  <c r="P438" i="7"/>
  <c r="P182" i="7"/>
  <c r="P1133" i="7"/>
  <c r="P797" i="7"/>
  <c r="Q797" i="7" s="1"/>
  <c r="P453" i="7"/>
  <c r="Q453" i="7" s="1"/>
  <c r="P53" i="7"/>
  <c r="P1216" i="7"/>
  <c r="P1152" i="7"/>
  <c r="P1088" i="7"/>
  <c r="P1024" i="7"/>
  <c r="P960" i="7"/>
  <c r="P896" i="7"/>
  <c r="Q896" i="7" s="1"/>
  <c r="P832" i="7"/>
  <c r="Q832" i="7" s="1"/>
  <c r="P768" i="7"/>
  <c r="P704" i="7"/>
  <c r="P640" i="7"/>
  <c r="P576" i="7"/>
  <c r="P512" i="7"/>
  <c r="P448" i="7"/>
  <c r="P384" i="7"/>
  <c r="Q384" i="7" s="1"/>
  <c r="P320" i="7"/>
  <c r="Q320" i="7" s="1"/>
  <c r="P256" i="7"/>
  <c r="P192" i="7"/>
  <c r="P128" i="7"/>
  <c r="P64" i="7"/>
  <c r="P1149" i="7"/>
  <c r="P701" i="7"/>
  <c r="P309" i="7"/>
  <c r="Q309" i="7" s="1"/>
  <c r="P1255" i="7"/>
  <c r="Q1255" i="7" s="1"/>
  <c r="P1191" i="7"/>
  <c r="P1127" i="7"/>
  <c r="P1063" i="7"/>
  <c r="P999" i="7"/>
  <c r="P935" i="7"/>
  <c r="P871" i="7"/>
  <c r="P807" i="7"/>
  <c r="Q807" i="7" s="1"/>
  <c r="P743" i="7"/>
  <c r="P679" i="7"/>
  <c r="P615" i="7"/>
  <c r="P551" i="7"/>
  <c r="P487" i="7"/>
  <c r="P423" i="7"/>
  <c r="P359" i="7"/>
  <c r="P295" i="7"/>
  <c r="Q295" i="7" s="1"/>
  <c r="P231" i="7"/>
  <c r="Q231" i="7" s="1"/>
  <c r="P167" i="7"/>
  <c r="P103" i="7"/>
  <c r="P38" i="7"/>
  <c r="P1054" i="7"/>
  <c r="P870" i="7"/>
  <c r="P750" i="7"/>
  <c r="P558" i="7"/>
  <c r="Q558" i="7" s="1"/>
  <c r="P294" i="7"/>
  <c r="Q294" i="7" s="1"/>
  <c r="P1269" i="7"/>
  <c r="P861" i="7"/>
  <c r="P461" i="7"/>
  <c r="P69" i="7"/>
  <c r="P1220" i="7"/>
  <c r="P1156" i="7"/>
  <c r="P1092" i="7"/>
  <c r="Q1092" i="7" s="1"/>
  <c r="P1028" i="7"/>
  <c r="Q1028" i="7" s="1"/>
  <c r="P964" i="7"/>
  <c r="P900" i="7"/>
  <c r="P836" i="7"/>
  <c r="P772" i="7"/>
  <c r="P708" i="7"/>
  <c r="P644" i="7"/>
  <c r="P580" i="7"/>
  <c r="P516" i="7"/>
  <c r="P452" i="7"/>
  <c r="P388" i="7"/>
  <c r="P324" i="7"/>
  <c r="P260" i="7"/>
  <c r="P196" i="7"/>
  <c r="P132" i="7"/>
  <c r="P68" i="7"/>
  <c r="P1214" i="7"/>
  <c r="Q1214" i="7" s="1"/>
  <c r="P990" i="7"/>
  <c r="P710" i="7"/>
  <c r="P430" i="7"/>
  <c r="P238" i="7"/>
  <c r="P1173" i="7"/>
  <c r="P893" i="7"/>
  <c r="P541" i="7"/>
  <c r="Q541" i="7" s="1"/>
  <c r="P141" i="7"/>
  <c r="Q141" i="7" s="1"/>
  <c r="P1235" i="7"/>
  <c r="P1171" i="7"/>
  <c r="P1107" i="7"/>
  <c r="P1043" i="7"/>
  <c r="P979" i="7"/>
  <c r="P915" i="7"/>
  <c r="P851" i="7"/>
  <c r="P787" i="7"/>
  <c r="Q787" i="7" s="1"/>
  <c r="P723" i="7"/>
  <c r="P659" i="7"/>
  <c r="P595" i="7"/>
  <c r="P531" i="7"/>
  <c r="P467" i="7"/>
  <c r="P403" i="7"/>
  <c r="P339" i="7"/>
  <c r="Q339" i="7" s="1"/>
  <c r="P275" i="7"/>
  <c r="Q275" i="7" s="1"/>
  <c r="P211" i="7"/>
  <c r="P147" i="7"/>
  <c r="P83" i="7"/>
  <c r="P1262" i="7"/>
  <c r="P918" i="7"/>
  <c r="P518" i="7"/>
  <c r="P222" i="7"/>
  <c r="P1205" i="7"/>
  <c r="P773" i="7"/>
  <c r="P389" i="7"/>
  <c r="P28" i="7"/>
  <c r="P1218" i="7"/>
  <c r="P1154" i="7"/>
  <c r="P1090" i="7"/>
  <c r="P1026" i="7"/>
  <c r="P962" i="7"/>
  <c r="Q962" i="7" s="1"/>
  <c r="P898" i="7"/>
  <c r="P834" i="7"/>
  <c r="P770" i="7"/>
  <c r="P706" i="7"/>
  <c r="P642" i="7"/>
  <c r="P578" i="7"/>
  <c r="P514" i="7"/>
  <c r="Q514" i="7" s="1"/>
  <c r="P450" i="7"/>
  <c r="P386" i="7"/>
  <c r="P322" i="7"/>
  <c r="P258" i="7"/>
  <c r="P194" i="7"/>
  <c r="P130" i="7"/>
  <c r="P66" i="7"/>
  <c r="P798" i="7"/>
  <c r="Q798" i="7" s="1"/>
  <c r="P199" i="7"/>
  <c r="Q199" i="7" s="1"/>
  <c r="P1252" i="7"/>
  <c r="P868" i="7"/>
  <c r="P676" i="7"/>
  <c r="P420" i="7"/>
  <c r="P1206" i="7"/>
  <c r="P998" i="7"/>
  <c r="P654" i="7"/>
  <c r="Q654" i="7" s="1"/>
  <c r="P390" i="7"/>
  <c r="Q390" i="7" s="1"/>
  <c r="P150" i="7"/>
  <c r="P1093" i="7"/>
  <c r="P765" i="7"/>
  <c r="P397" i="7"/>
  <c r="P1272" i="7"/>
  <c r="P1208" i="7"/>
  <c r="P1144" i="7"/>
  <c r="Q1144" i="7" s="1"/>
  <c r="P1080" i="7"/>
  <c r="Q1080" i="7" s="1"/>
  <c r="P1016" i="7"/>
  <c r="P952" i="7"/>
  <c r="P888" i="7"/>
  <c r="P824" i="7"/>
  <c r="P760" i="7"/>
  <c r="P696" i="7"/>
  <c r="P632" i="7"/>
  <c r="Q632" i="7" s="1"/>
  <c r="P568" i="7"/>
  <c r="Q568" i="7" s="1"/>
  <c r="P504" i="7"/>
  <c r="P440" i="7"/>
  <c r="P376" i="7"/>
  <c r="P312" i="7"/>
  <c r="P248" i="7"/>
  <c r="P184" i="7"/>
  <c r="P120" i="7"/>
  <c r="P56" i="7"/>
  <c r="Q56" i="7" s="1"/>
  <c r="P1109" i="7"/>
  <c r="P653" i="7"/>
  <c r="P253" i="7"/>
  <c r="P1247" i="7"/>
  <c r="P1183" i="7"/>
  <c r="P1119" i="7"/>
  <c r="P1055" i="7"/>
  <c r="P991" i="7"/>
  <c r="Q991" i="7" s="1"/>
  <c r="P927" i="7"/>
  <c r="P863" i="7"/>
  <c r="P799" i="7"/>
  <c r="P735" i="7"/>
  <c r="P671" i="7"/>
  <c r="P607" i="7"/>
  <c r="P543" i="7"/>
  <c r="Q543" i="7" s="1"/>
  <c r="P479" i="7"/>
  <c r="Q479" i="7" s="1"/>
  <c r="P415" i="7"/>
  <c r="P351" i="7"/>
  <c r="P287" i="7"/>
  <c r="P223" i="7"/>
  <c r="P159" i="7"/>
  <c r="P95" i="7"/>
  <c r="P30" i="7"/>
  <c r="Q30" i="7" s="1"/>
  <c r="P1022" i="7"/>
  <c r="Q1022" i="7" s="1"/>
  <c r="P862" i="7"/>
  <c r="P718" i="7"/>
  <c r="P542" i="7"/>
  <c r="P262" i="7"/>
  <c r="P1221" i="7"/>
  <c r="P813" i="7"/>
  <c r="P421" i="7"/>
  <c r="P1276" i="7"/>
  <c r="Q1276" i="7" s="1"/>
  <c r="P1212" i="7"/>
  <c r="P1148" i="7"/>
  <c r="P1084" i="7"/>
  <c r="P1020" i="7"/>
  <c r="P956" i="7"/>
  <c r="P892" i="7"/>
  <c r="P828" i="7"/>
  <c r="Q828" i="7" s="1"/>
  <c r="P764" i="7"/>
  <c r="Q764" i="7" s="1"/>
  <c r="P700" i="7"/>
  <c r="P636" i="7"/>
  <c r="P572" i="7"/>
  <c r="P508" i="7"/>
  <c r="P444" i="7"/>
  <c r="P380" i="7"/>
  <c r="P316" i="7"/>
  <c r="P252" i="7"/>
  <c r="Q252" i="7" s="1"/>
  <c r="P188" i="7"/>
  <c r="P124" i="7"/>
  <c r="P60" i="7"/>
  <c r="P1182" i="7"/>
  <c r="P958" i="7"/>
  <c r="P678" i="7"/>
  <c r="P406" i="7"/>
  <c r="P206" i="7"/>
  <c r="Q206" i="7" s="1"/>
  <c r="P1125" i="7"/>
  <c r="P853" i="7"/>
  <c r="P493" i="7"/>
  <c r="P93" i="7"/>
  <c r="P1227" i="7"/>
  <c r="P1163" i="7"/>
  <c r="P1099" i="7"/>
  <c r="Q1099" i="7" s="1"/>
  <c r="P1035" i="7"/>
  <c r="Q1035" i="7" s="1"/>
  <c r="P971" i="7"/>
  <c r="P907" i="7"/>
  <c r="P843" i="7"/>
  <c r="P779" i="7"/>
  <c r="P715" i="7"/>
  <c r="P651" i="7"/>
  <c r="P587" i="7"/>
  <c r="P523" i="7"/>
  <c r="Q523" i="7" s="1"/>
  <c r="P459" i="7"/>
  <c r="P395" i="7"/>
  <c r="P331" i="7"/>
  <c r="P267" i="7"/>
  <c r="P203" i="7"/>
  <c r="P139" i="7"/>
  <c r="P75" i="7"/>
  <c r="P1230" i="7"/>
  <c r="Q1230" i="7" s="1"/>
  <c r="P886" i="7"/>
  <c r="P486" i="7"/>
  <c r="P198" i="7"/>
  <c r="P1141" i="7"/>
  <c r="P717" i="7"/>
  <c r="P349" i="7"/>
  <c r="P1274" i="7"/>
  <c r="P1210" i="7"/>
  <c r="Q1210" i="7" s="1"/>
  <c r="P1146" i="7"/>
  <c r="P1082" i="7"/>
  <c r="P1018" i="7"/>
  <c r="P954" i="7"/>
  <c r="P890" i="7"/>
  <c r="P826" i="7"/>
  <c r="P762" i="7"/>
  <c r="Q762" i="7" s="1"/>
  <c r="P698" i="7"/>
  <c r="Q698" i="7" s="1"/>
  <c r="P634" i="7"/>
  <c r="P570" i="7"/>
  <c r="P506" i="7"/>
  <c r="P442" i="7"/>
  <c r="P378" i="7"/>
  <c r="Q378" i="7" s="1"/>
  <c r="P314" i="7"/>
  <c r="P250" i="7"/>
  <c r="Q250" i="7" s="1"/>
  <c r="P186" i="7"/>
  <c r="P122" i="7"/>
  <c r="P58" i="7"/>
  <c r="P1174" i="7"/>
  <c r="P974" i="7"/>
  <c r="P630" i="7"/>
  <c r="Q630" i="7" s="1"/>
  <c r="P366" i="7"/>
  <c r="P118" i="7"/>
  <c r="P1045" i="7"/>
  <c r="Q1045" i="7" s="1"/>
  <c r="P733" i="7"/>
  <c r="P341" i="7"/>
  <c r="P1264" i="7"/>
  <c r="P1200" i="7"/>
  <c r="P1136" i="7"/>
  <c r="P1072" i="7"/>
  <c r="P1008" i="7"/>
  <c r="Q1008" i="7" s="1"/>
  <c r="P944" i="7"/>
  <c r="Q944" i="7" s="1"/>
  <c r="P880" i="7"/>
  <c r="P816" i="7"/>
  <c r="P752" i="7"/>
  <c r="P688" i="7"/>
  <c r="P624" i="7"/>
  <c r="Q624" i="7" s="1"/>
  <c r="P560" i="7"/>
  <c r="P496" i="7"/>
  <c r="Q496" i="7" s="1"/>
  <c r="P432" i="7"/>
  <c r="P368" i="7"/>
  <c r="P304" i="7"/>
  <c r="P240" i="7"/>
  <c r="P176" i="7"/>
  <c r="P112" i="7"/>
  <c r="P48" i="7"/>
  <c r="P1069" i="7"/>
  <c r="Q1069" i="7" s="1"/>
  <c r="P605" i="7"/>
  <c r="Q605" i="7" s="1"/>
  <c r="P205" i="7"/>
  <c r="P1239" i="7"/>
  <c r="P1175" i="7"/>
  <c r="P1111" i="7"/>
  <c r="P1047" i="7"/>
  <c r="P983" i="7"/>
  <c r="P919" i="7"/>
  <c r="Q919" i="7" s="1"/>
  <c r="P855" i="7"/>
  <c r="Q855" i="7" s="1"/>
  <c r="P791" i="7"/>
  <c r="P727" i="7"/>
  <c r="P663" i="7"/>
  <c r="P599" i="7"/>
  <c r="P535" i="7"/>
  <c r="P471" i="7"/>
  <c r="P407" i="7"/>
  <c r="Q407" i="7" s="1"/>
  <c r="P343" i="7"/>
  <c r="Q343" i="7" s="1"/>
  <c r="P279" i="7"/>
  <c r="P215" i="7"/>
  <c r="P151" i="7"/>
  <c r="P87" i="7"/>
  <c r="P1254" i="7"/>
  <c r="P966" i="7"/>
  <c r="P854" i="7"/>
  <c r="Q854" i="7" s="1"/>
  <c r="P694" i="7"/>
  <c r="Q694" i="7" s="1"/>
  <c r="P510" i="7"/>
  <c r="P230" i="7"/>
  <c r="P1197" i="7"/>
  <c r="P757" i="7"/>
  <c r="P373" i="7"/>
  <c r="Q373" i="7" s="1"/>
  <c r="P1268" i="7"/>
  <c r="P1204" i="7"/>
  <c r="Q1204" i="7" s="1"/>
  <c r="P1140" i="7"/>
  <c r="Q1140" i="7" s="1"/>
  <c r="P1076" i="7"/>
  <c r="P1012" i="7"/>
  <c r="P948" i="7"/>
  <c r="P884" i="7"/>
  <c r="P820" i="7"/>
  <c r="P756" i="7"/>
  <c r="P692" i="7"/>
  <c r="P628" i="7"/>
  <c r="Q628" i="7" s="1"/>
  <c r="P564" i="7"/>
  <c r="P500" i="7"/>
  <c r="P436" i="7"/>
  <c r="P372" i="7"/>
  <c r="P308" i="7"/>
  <c r="P244" i="7"/>
  <c r="P180" i="7"/>
  <c r="Q180" i="7" s="1"/>
  <c r="P116" i="7"/>
  <c r="Q116" i="7" s="1"/>
  <c r="P52" i="7"/>
  <c r="P1158" i="7"/>
  <c r="P926" i="7"/>
  <c r="P646" i="7"/>
  <c r="P382" i="7"/>
  <c r="P166" i="7"/>
  <c r="P1101" i="7"/>
  <c r="Q1101" i="7" s="1"/>
  <c r="P821" i="7"/>
  <c r="Q821" i="7" s="1"/>
  <c r="P429" i="7"/>
  <c r="P61" i="7"/>
  <c r="P1219" i="7"/>
  <c r="P1155" i="7"/>
  <c r="P1091" i="7"/>
  <c r="Q1091" i="7" s="1"/>
  <c r="P1027" i="7"/>
  <c r="P963" i="7"/>
  <c r="Q963" i="7" s="1"/>
  <c r="P899" i="7"/>
  <c r="Q899" i="7" s="1"/>
  <c r="P835" i="7"/>
  <c r="P771" i="7"/>
  <c r="P707" i="7"/>
  <c r="P643" i="7"/>
  <c r="P579" i="7"/>
  <c r="P515" i="7"/>
  <c r="P451" i="7"/>
  <c r="Q451" i="7" s="1"/>
  <c r="P387" i="7"/>
  <c r="Q387" i="7" s="1"/>
  <c r="P323" i="7"/>
  <c r="P259" i="7"/>
  <c r="P195" i="7"/>
  <c r="P131" i="7"/>
  <c r="P67" i="7"/>
  <c r="P1198" i="7"/>
  <c r="P846" i="7"/>
  <c r="P454" i="7"/>
  <c r="Q454" i="7" s="1"/>
  <c r="P174" i="7"/>
  <c r="P1085" i="7"/>
  <c r="P669" i="7"/>
  <c r="P301" i="7"/>
  <c r="P1266" i="7"/>
  <c r="P1202" i="7"/>
  <c r="P1138" i="7"/>
  <c r="Q1138" i="7" s="1"/>
  <c r="P1074" i="7"/>
  <c r="Q1074" i="7" s="1"/>
  <c r="P1010" i="7"/>
  <c r="P946" i="7"/>
  <c r="P882" i="7"/>
  <c r="P818" i="7"/>
  <c r="P754" i="7"/>
  <c r="P690" i="7"/>
  <c r="P626" i="7"/>
  <c r="Q626" i="7" s="1"/>
  <c r="P562" i="7"/>
  <c r="Q562" i="7" s="1"/>
  <c r="P498" i="7"/>
  <c r="P434" i="7"/>
  <c r="P370" i="7"/>
  <c r="P306" i="7"/>
  <c r="P242" i="7"/>
  <c r="P178" i="7"/>
  <c r="P114" i="7"/>
  <c r="Q114" i="7" s="1"/>
  <c r="P50" i="7"/>
  <c r="Q50" i="7" s="1"/>
  <c r="P1142" i="7"/>
  <c r="P950" i="7"/>
  <c r="P590" i="7"/>
  <c r="P342" i="7"/>
  <c r="P86" i="7"/>
  <c r="Q86" i="7" s="1"/>
  <c r="P1013" i="7"/>
  <c r="P685" i="7"/>
  <c r="Q685" i="7" s="1"/>
  <c r="P293" i="7"/>
  <c r="Q293" i="7" s="1"/>
  <c r="P1256" i="7"/>
  <c r="P1192" i="7"/>
  <c r="P1128" i="7"/>
  <c r="P1064" i="7"/>
  <c r="P1000" i="7"/>
  <c r="P936" i="7"/>
  <c r="P872" i="7"/>
  <c r="Q872" i="7" s="1"/>
  <c r="P808" i="7"/>
  <c r="Q808" i="7" s="1"/>
  <c r="P744" i="7"/>
  <c r="P680" i="7"/>
  <c r="P616" i="7"/>
  <c r="P552" i="7"/>
  <c r="P488" i="7"/>
  <c r="Q488" i="7" s="1"/>
  <c r="P424" i="7"/>
  <c r="P360" i="7"/>
  <c r="Q360" i="7" s="1"/>
  <c r="P296" i="7"/>
  <c r="Q296" i="7" s="1"/>
  <c r="P232" i="7"/>
  <c r="P168" i="7"/>
  <c r="P104" i="7"/>
  <c r="P39" i="7"/>
  <c r="P1005" i="7"/>
  <c r="P557" i="7"/>
  <c r="P165" i="7"/>
  <c r="Q165" i="7" s="1"/>
  <c r="P1231" i="7"/>
  <c r="Q1231" i="7" s="1"/>
  <c r="P1167" i="7"/>
  <c r="P1103" i="7"/>
  <c r="P1039" i="7"/>
  <c r="P975" i="7"/>
  <c r="P911" i="7"/>
  <c r="P847" i="7"/>
  <c r="P783" i="7"/>
  <c r="Q783" i="7" s="1"/>
  <c r="P719" i="7"/>
  <c r="Q719" i="7" s="1"/>
  <c r="P655" i="7"/>
  <c r="P591" i="7"/>
  <c r="P527" i="7"/>
  <c r="P463" i="7"/>
  <c r="P399" i="7"/>
  <c r="P335" i="7"/>
  <c r="P271" i="7"/>
  <c r="P207" i="7"/>
  <c r="Q207" i="7" s="1"/>
  <c r="P143" i="7"/>
  <c r="P79" i="7"/>
  <c r="P1222" i="7"/>
  <c r="P942" i="7"/>
  <c r="P830" i="7"/>
  <c r="P662" i="7"/>
  <c r="P478" i="7"/>
  <c r="Q478" i="7" s="1"/>
  <c r="P190" i="7"/>
  <c r="Q190" i="7" s="1"/>
  <c r="P1165" i="7"/>
  <c r="P709" i="7"/>
  <c r="P325" i="7"/>
  <c r="P1260" i="7"/>
  <c r="P1196" i="7"/>
  <c r="P1132" i="7"/>
  <c r="P1068" i="7"/>
  <c r="Q1068" i="7" s="1"/>
  <c r="P1004" i="7"/>
  <c r="Q1004" i="7" s="1"/>
  <c r="P940" i="7"/>
  <c r="P876" i="7"/>
  <c r="P812" i="7"/>
  <c r="P748" i="7"/>
  <c r="P684" i="7"/>
  <c r="P620" i="7"/>
  <c r="P556" i="7"/>
  <c r="Q556" i="7" s="1"/>
  <c r="P492" i="7"/>
  <c r="Q492" i="7" s="1"/>
  <c r="P428" i="7"/>
  <c r="P364" i="7"/>
  <c r="P300" i="7"/>
  <c r="P236" i="7"/>
  <c r="P172" i="7"/>
  <c r="P108" i="7"/>
  <c r="P44" i="7"/>
  <c r="P1126" i="7"/>
  <c r="Q1126" i="7" s="1"/>
  <c r="P878" i="7"/>
  <c r="P606" i="7"/>
  <c r="P358" i="7"/>
  <c r="P134" i="7"/>
  <c r="P1053" i="7"/>
  <c r="P781" i="7"/>
  <c r="P381" i="7"/>
  <c r="P1275" i="7"/>
  <c r="Q1275" i="7" s="1"/>
  <c r="P1211" i="7"/>
  <c r="P1147" i="7"/>
  <c r="P1083" i="7"/>
  <c r="P1019" i="7"/>
  <c r="P955" i="7"/>
  <c r="P891" i="7"/>
  <c r="P827" i="7"/>
  <c r="P763" i="7"/>
  <c r="P699" i="7"/>
  <c r="P635" i="7"/>
  <c r="P571" i="7"/>
  <c r="P507" i="7"/>
  <c r="P443" i="7"/>
  <c r="P379" i="7"/>
  <c r="P315" i="7"/>
  <c r="Q315" i="7" s="1"/>
  <c r="P251" i="7"/>
  <c r="Q251" i="7" s="1"/>
  <c r="P187" i="7"/>
  <c r="P123" i="7"/>
  <c r="P59" i="7"/>
  <c r="P1166" i="7"/>
  <c r="P790" i="7"/>
  <c r="P414" i="7"/>
  <c r="P142" i="7"/>
  <c r="P1037" i="7"/>
  <c r="Q1037" i="7" s="1"/>
  <c r="P621" i="7"/>
  <c r="P277" i="7"/>
  <c r="P1258" i="7"/>
  <c r="P1194" i="7"/>
  <c r="P1130" i="7"/>
  <c r="P1066" i="7"/>
  <c r="P1002" i="7"/>
  <c r="Q1002" i="7" s="1"/>
  <c r="P938" i="7"/>
  <c r="Q938" i="7" s="1"/>
  <c r="P874" i="7"/>
  <c r="P810" i="7"/>
  <c r="P746" i="7"/>
  <c r="P682" i="7"/>
  <c r="P618" i="7"/>
  <c r="P554" i="7"/>
  <c r="P490" i="7"/>
  <c r="Q490" i="7" s="1"/>
  <c r="P426" i="7"/>
  <c r="Q426" i="7" s="1"/>
  <c r="P362" i="7"/>
  <c r="P298" i="7"/>
  <c r="P234" i="7"/>
  <c r="P170" i="7"/>
  <c r="P106" i="7"/>
  <c r="P41" i="7"/>
  <c r="P263" i="7"/>
  <c r="P1070" i="7"/>
  <c r="Q1070" i="7" s="1"/>
  <c r="P726" i="7"/>
  <c r="P502" i="7"/>
  <c r="P246" i="7"/>
  <c r="P1245" i="7"/>
  <c r="P901" i="7"/>
  <c r="P549" i="7"/>
  <c r="P149" i="7"/>
  <c r="Q149" i="7" s="1"/>
  <c r="P1232" i="7"/>
  <c r="Q1232" i="7" s="1"/>
  <c r="P1168" i="7"/>
  <c r="P1104" i="7"/>
  <c r="P1040" i="7"/>
  <c r="P976" i="7"/>
  <c r="P912" i="7"/>
  <c r="P848" i="7"/>
  <c r="P784" i="7"/>
  <c r="P720" i="7"/>
  <c r="Q720" i="7" s="1"/>
  <c r="P656" i="7"/>
  <c r="P592" i="7"/>
  <c r="P528" i="7"/>
  <c r="P464" i="7"/>
  <c r="P400" i="7"/>
  <c r="P336" i="7"/>
  <c r="P272" i="7"/>
  <c r="Q272" i="7" s="1"/>
  <c r="P208" i="7"/>
  <c r="Q208" i="7" s="1"/>
  <c r="P144" i="7"/>
  <c r="P80" i="7"/>
  <c r="P1237" i="7"/>
  <c r="P805" i="7"/>
  <c r="P413" i="7"/>
  <c r="P1271" i="7"/>
  <c r="P1207" i="7"/>
  <c r="P1143" i="7"/>
  <c r="Q1143" i="7" s="1"/>
  <c r="P1079" i="7"/>
  <c r="P1015" i="7"/>
  <c r="P951" i="7"/>
  <c r="P887" i="7"/>
  <c r="P823" i="7"/>
  <c r="P759" i="7"/>
  <c r="P695" i="7"/>
  <c r="Q695" i="7" s="1"/>
  <c r="P631" i="7"/>
  <c r="P567" i="7"/>
  <c r="P503" i="7"/>
  <c r="P439" i="7"/>
  <c r="P375" i="7"/>
  <c r="P311" i="7"/>
  <c r="P247" i="7"/>
  <c r="P183" i="7"/>
  <c r="Q183" i="7" s="1"/>
  <c r="P119" i="7"/>
  <c r="Q119" i="7" s="1"/>
  <c r="P55" i="7"/>
  <c r="P1110" i="7"/>
  <c r="P902" i="7"/>
  <c r="P782" i="7"/>
  <c r="P598" i="7"/>
  <c r="Q598" i="7" s="1"/>
  <c r="P398" i="7"/>
  <c r="P94" i="7"/>
  <c r="Q94" i="7" s="1"/>
  <c r="P997" i="7"/>
  <c r="Q997" i="7" s="1"/>
  <c r="P565" i="7"/>
  <c r="P157" i="7"/>
  <c r="P1236" i="7"/>
  <c r="P1172" i="7"/>
  <c r="P1108" i="7"/>
  <c r="Q1108" i="7" s="1"/>
  <c r="P1044" i="7"/>
  <c r="P980" i="7"/>
  <c r="Q980" i="7" s="1"/>
  <c r="P916" i="7"/>
  <c r="Q916" i="7" s="1"/>
  <c r="P852" i="7"/>
  <c r="P788" i="7"/>
  <c r="P724" i="7"/>
  <c r="P660" i="7"/>
  <c r="P596" i="7"/>
  <c r="Q596" i="7" s="1"/>
  <c r="P532" i="7"/>
  <c r="P468" i="7"/>
  <c r="Q468" i="7" s="1"/>
  <c r="P404" i="7"/>
  <c r="P340" i="7"/>
  <c r="P276" i="7"/>
  <c r="P212" i="7"/>
  <c r="P148" i="7"/>
  <c r="P84" i="7"/>
  <c r="Q84" i="7" s="1"/>
  <c r="P1270" i="7"/>
  <c r="P1030" i="7"/>
  <c r="Q1030" i="7" s="1"/>
  <c r="P774" i="7"/>
  <c r="P494" i="7"/>
  <c r="P286" i="7"/>
  <c r="P46" i="7"/>
  <c r="P957" i="7"/>
  <c r="P637" i="7"/>
  <c r="Q637" i="7" s="1"/>
  <c r="P237" i="7"/>
  <c r="P1251" i="7"/>
  <c r="Q1251" i="7" s="1"/>
  <c r="P1187" i="7"/>
  <c r="Q1187" i="7" s="1"/>
  <c r="P1123" i="7"/>
  <c r="P1059" i="7"/>
  <c r="P995" i="7"/>
  <c r="P931" i="7"/>
  <c r="P867" i="7"/>
  <c r="Q867" i="7" s="1"/>
  <c r="P803" i="7"/>
  <c r="P739" i="7"/>
  <c r="P675" i="7"/>
  <c r="Q675" i="7" s="1"/>
  <c r="P611" i="7"/>
  <c r="P547" i="7"/>
  <c r="P483" i="7"/>
  <c r="P419" i="7"/>
  <c r="P355" i="7"/>
  <c r="Q355" i="7" s="1"/>
  <c r="P291" i="7"/>
  <c r="P227" i="7"/>
  <c r="P163" i="7"/>
  <c r="Q163" i="7" s="1"/>
  <c r="P99" i="7"/>
  <c r="P34" i="7"/>
  <c r="P1038" i="7"/>
  <c r="P614" i="7"/>
  <c r="P302" i="7"/>
  <c r="Q302" i="7" s="1"/>
  <c r="P29" i="7"/>
  <c r="P885" i="7"/>
  <c r="Q885" i="7" s="1"/>
  <c r="P477" i="7"/>
  <c r="P133" i="7"/>
  <c r="P1234" i="7"/>
  <c r="P1170" i="7"/>
  <c r="P1106" i="7"/>
  <c r="P1042" i="7"/>
  <c r="Q1042" i="7" s="1"/>
  <c r="P978" i="7"/>
  <c r="P914" i="7"/>
  <c r="Q914" i="7" s="1"/>
  <c r="P850" i="7"/>
  <c r="Q850" i="7" s="1"/>
  <c r="P786" i="7"/>
  <c r="P722" i="7"/>
  <c r="P658" i="7"/>
  <c r="P594" i="7"/>
  <c r="P530" i="7"/>
  <c r="Q530" i="7" s="1"/>
  <c r="P466" i="7"/>
  <c r="P402" i="7"/>
  <c r="Q402" i="7" s="1"/>
  <c r="P338" i="7"/>
  <c r="Q338" i="7" s="1"/>
  <c r="P274" i="7"/>
  <c r="P210" i="7"/>
  <c r="P146" i="7"/>
  <c r="P82" i="7"/>
  <c r="P1213" i="7"/>
  <c r="P789" i="7"/>
  <c r="P405" i="7"/>
  <c r="P36" i="7"/>
  <c r="Q36" i="7" s="1"/>
  <c r="P1217" i="7"/>
  <c r="P1153" i="7"/>
  <c r="P1089" i="7"/>
  <c r="P1025" i="7"/>
  <c r="P961" i="7"/>
  <c r="P897" i="7"/>
  <c r="P833" i="7"/>
  <c r="Q833" i="7" s="1"/>
  <c r="P769" i="7"/>
  <c r="Q769" i="7" s="1"/>
  <c r="P705" i="7"/>
  <c r="P641" i="7"/>
  <c r="P577" i="7"/>
  <c r="P513" i="7"/>
  <c r="P449" i="7"/>
  <c r="P385" i="7"/>
  <c r="P321" i="7"/>
  <c r="Q321" i="7" s="1"/>
  <c r="P257" i="7"/>
  <c r="Q257" i="7" s="1"/>
  <c r="P193" i="7"/>
  <c r="P129" i="7"/>
  <c r="P65" i="7"/>
  <c r="P1157" i="7"/>
  <c r="P725" i="7"/>
  <c r="Q725" i="7" s="1"/>
  <c r="P357" i="7"/>
  <c r="P1273" i="7"/>
  <c r="Q1273" i="7" s="1"/>
  <c r="P1209" i="7"/>
  <c r="Q1209" i="7" s="1"/>
  <c r="P1145" i="7"/>
  <c r="P1081" i="7"/>
  <c r="P1017" i="7"/>
  <c r="P953" i="7"/>
  <c r="P889" i="7"/>
  <c r="Q889" i="7" s="1"/>
  <c r="P825" i="7"/>
  <c r="P761" i="7"/>
  <c r="Q761" i="7" s="1"/>
  <c r="P697" i="7"/>
  <c r="Q697" i="7" s="1"/>
  <c r="P633" i="7"/>
  <c r="P569" i="7"/>
  <c r="P505" i="7"/>
  <c r="P441" i="7"/>
  <c r="P377" i="7"/>
  <c r="P313" i="7"/>
  <c r="P249" i="7"/>
  <c r="Q249" i="7" s="1"/>
  <c r="P185" i="7"/>
  <c r="Q185" i="7" s="1"/>
  <c r="P121" i="7"/>
  <c r="P57" i="7"/>
  <c r="P1077" i="7"/>
  <c r="P677" i="7"/>
  <c r="P317" i="7"/>
  <c r="P1265" i="7"/>
  <c r="P1201" i="7"/>
  <c r="P1137" i="7"/>
  <c r="Q1137" i="7" s="1"/>
  <c r="P1073" i="7"/>
  <c r="P1009" i="7"/>
  <c r="P945" i="7"/>
  <c r="P881" i="7"/>
  <c r="P817" i="7"/>
  <c r="P753" i="7"/>
  <c r="P689" i="7"/>
  <c r="Q689" i="7" s="1"/>
  <c r="P625" i="7"/>
  <c r="P561" i="7"/>
  <c r="P497" i="7"/>
  <c r="P433" i="7"/>
  <c r="P369" i="7"/>
  <c r="P305" i="7"/>
  <c r="Q305" i="7" s="1"/>
  <c r="P241" i="7"/>
  <c r="P177" i="7"/>
  <c r="Q177" i="7" s="1"/>
  <c r="P113" i="7"/>
  <c r="Q113" i="7" s="1"/>
  <c r="P49" i="7"/>
  <c r="P1029" i="7"/>
  <c r="P629" i="7"/>
  <c r="P261" i="7"/>
  <c r="P1257" i="7"/>
  <c r="P1193" i="7"/>
  <c r="P1129" i="7"/>
  <c r="Q1129" i="7" s="1"/>
  <c r="P1065" i="7"/>
  <c r="P1001" i="7"/>
  <c r="P937" i="7"/>
  <c r="P873" i="7"/>
  <c r="P809" i="7"/>
  <c r="P745" i="7"/>
  <c r="P681" i="7"/>
  <c r="P617" i="7"/>
  <c r="Q617" i="7" s="1"/>
  <c r="P553" i="7"/>
  <c r="Q553" i="7" s="1"/>
  <c r="P489" i="7"/>
  <c r="P425" i="7"/>
  <c r="P361" i="7"/>
  <c r="P297" i="7"/>
  <c r="P233" i="7"/>
  <c r="Q233" i="7" s="1"/>
  <c r="P169" i="7"/>
  <c r="P105" i="7"/>
  <c r="Q105" i="7" s="1"/>
  <c r="P40" i="7"/>
  <c r="P965" i="7"/>
  <c r="P573" i="7"/>
  <c r="P221" i="7"/>
  <c r="P1249" i="7"/>
  <c r="P1185" i="7"/>
  <c r="Q1185" i="7" s="1"/>
  <c r="P1121" i="7"/>
  <c r="P1057" i="7"/>
  <c r="Q1057" i="7" s="1"/>
  <c r="P993" i="7"/>
  <c r="Q993" i="7" s="1"/>
  <c r="P929" i="7"/>
  <c r="P865" i="7"/>
  <c r="P801" i="7"/>
  <c r="P737" i="7"/>
  <c r="P673" i="7"/>
  <c r="P609" i="7"/>
  <c r="P545" i="7"/>
  <c r="Q545" i="7" s="1"/>
  <c r="P481" i="7"/>
  <c r="Q481" i="7" s="1"/>
  <c r="P417" i="7"/>
  <c r="P353" i="7"/>
  <c r="P289" i="7"/>
  <c r="P225" i="7"/>
  <c r="P161" i="7"/>
  <c r="Q161" i="7" s="1"/>
  <c r="P97" i="7"/>
  <c r="P32" i="7"/>
  <c r="P909" i="7"/>
  <c r="Q909" i="7" s="1"/>
  <c r="P533" i="7"/>
  <c r="P173" i="7"/>
  <c r="P1241" i="7"/>
  <c r="P1177" i="7"/>
  <c r="P1113" i="7"/>
  <c r="P1049" i="7"/>
  <c r="P985" i="7"/>
  <c r="Q985" i="7" s="1"/>
  <c r="P921" i="7"/>
  <c r="Q921" i="7" s="1"/>
  <c r="P857" i="7"/>
  <c r="P793" i="7"/>
  <c r="P729" i="7"/>
  <c r="P665" i="7"/>
  <c r="P601" i="7"/>
  <c r="Q601" i="7" s="1"/>
  <c r="P537" i="7"/>
  <c r="P473" i="7"/>
  <c r="Q473" i="7" s="1"/>
  <c r="P409" i="7"/>
  <c r="Q409" i="7" s="1"/>
  <c r="P345" i="7"/>
  <c r="P281" i="7"/>
  <c r="P217" i="7"/>
  <c r="P153" i="7"/>
  <c r="P89" i="7"/>
  <c r="P42" i="7"/>
  <c r="P1118" i="7"/>
  <c r="Q1118" i="7" s="1"/>
  <c r="P550" i="7"/>
  <c r="Q550" i="7" s="1"/>
  <c r="P318" i="7"/>
  <c r="P62" i="7"/>
  <c r="P973" i="7"/>
  <c r="P645" i="7"/>
  <c r="P245" i="7"/>
  <c r="Q245" i="7" s="1"/>
  <c r="P1248" i="7"/>
  <c r="P1184" i="7"/>
  <c r="Q1184" i="7" s="1"/>
  <c r="P1120" i="7"/>
  <c r="Q1120" i="7" s="1"/>
  <c r="P1056" i="7"/>
  <c r="P992" i="7"/>
  <c r="P928" i="7"/>
  <c r="P864" i="7"/>
  <c r="P800" i="7"/>
  <c r="Q800" i="7" s="1"/>
  <c r="P736" i="7"/>
  <c r="P672" i="7"/>
  <c r="Q672" i="7" s="1"/>
  <c r="P608" i="7"/>
  <c r="Q608" i="7" s="1"/>
  <c r="P544" i="7"/>
  <c r="P480" i="7"/>
  <c r="P416" i="7"/>
  <c r="P352" i="7"/>
  <c r="P288" i="7"/>
  <c r="Q288" i="7" s="1"/>
  <c r="P224" i="7"/>
  <c r="P160" i="7"/>
  <c r="Q160" i="7" s="1"/>
  <c r="P96" i="7"/>
  <c r="Q96" i="7" s="1"/>
  <c r="P31" i="7"/>
  <c r="P925" i="7"/>
  <c r="P509" i="7"/>
  <c r="P109" i="7"/>
  <c r="P1223" i="7"/>
  <c r="Q1223" i="7" s="1"/>
  <c r="P1159" i="7"/>
  <c r="P1095" i="7"/>
  <c r="Q1095" i="7" s="1"/>
  <c r="P1031" i="7"/>
  <c r="Q1031" i="7" s="1"/>
  <c r="P903" i="7"/>
  <c r="P839" i="7"/>
  <c r="P775" i="7"/>
  <c r="P711" i="7"/>
  <c r="P647" i="7"/>
  <c r="Q647" i="7" s="1"/>
  <c r="P583" i="7"/>
  <c r="P519" i="7"/>
  <c r="Q519" i="7" s="1"/>
  <c r="P455" i="7"/>
  <c r="Q455" i="7" s="1"/>
  <c r="P391" i="7"/>
  <c r="P327" i="7"/>
  <c r="P135" i="7"/>
  <c r="P71" i="7"/>
  <c r="P1190" i="7"/>
  <c r="Q1190" i="7" s="1"/>
  <c r="P934" i="7"/>
  <c r="P822" i="7"/>
  <c r="P638" i="7"/>
  <c r="Q638" i="7" s="1"/>
  <c r="P446" i="7"/>
  <c r="P158" i="7"/>
  <c r="P1117" i="7"/>
  <c r="P661" i="7"/>
  <c r="P269" i="7"/>
  <c r="P1188" i="7"/>
  <c r="P1124" i="7"/>
  <c r="P1060" i="7"/>
  <c r="Q1060" i="7" s="1"/>
  <c r="P996" i="7"/>
  <c r="P932" i="7"/>
  <c r="P804" i="7"/>
  <c r="P740" i="7"/>
  <c r="P612" i="7"/>
  <c r="P548" i="7"/>
  <c r="P484" i="7"/>
  <c r="Q484" i="7" s="1"/>
  <c r="P356" i="7"/>
  <c r="P228" i="7"/>
  <c r="P164" i="7"/>
  <c r="P1046" i="7"/>
  <c r="P702" i="7"/>
  <c r="P470" i="7"/>
  <c r="P214" i="7"/>
  <c r="P1181" i="7"/>
  <c r="P845" i="7"/>
  <c r="Q845" i="7" s="1"/>
  <c r="P501" i="7"/>
  <c r="P101" i="7"/>
  <c r="P1224" i="7"/>
  <c r="P1160" i="7"/>
  <c r="P1096" i="7"/>
  <c r="Q1096" i="7" s="1"/>
  <c r="P1032" i="7"/>
  <c r="P968" i="7"/>
  <c r="P904" i="7"/>
  <c r="Q904" i="7" s="1"/>
  <c r="P840" i="7"/>
  <c r="P776" i="7"/>
  <c r="P712" i="7"/>
  <c r="P648" i="7"/>
  <c r="P584" i="7"/>
  <c r="Q584" i="7" s="1"/>
  <c r="P520" i="7"/>
  <c r="P456" i="7"/>
  <c r="Q456" i="7" s="1"/>
  <c r="P392" i="7"/>
  <c r="Q392" i="7" s="1"/>
  <c r="P328" i="7"/>
  <c r="P264" i="7"/>
  <c r="P200" i="7"/>
  <c r="P136" i="7"/>
  <c r="P72" i="7"/>
  <c r="Q72" i="7" s="1"/>
  <c r="P1189" i="7"/>
  <c r="P749" i="7"/>
  <c r="Q749" i="7" s="1"/>
  <c r="P365" i="7"/>
  <c r="Q365" i="7" s="1"/>
  <c r="P1263" i="7"/>
  <c r="P1199" i="7"/>
  <c r="P1135" i="7"/>
  <c r="P1071" i="7"/>
  <c r="P1007" i="7"/>
  <c r="Q1007" i="7" s="1"/>
  <c r="P943" i="7"/>
  <c r="P879" i="7"/>
  <c r="Q879" i="7" s="1"/>
  <c r="P815" i="7"/>
  <c r="Q815" i="7" s="1"/>
  <c r="P751" i="7"/>
  <c r="P687" i="7"/>
  <c r="P623" i="7"/>
  <c r="P559" i="7"/>
  <c r="P495" i="7"/>
  <c r="Q495" i="7" s="1"/>
  <c r="P431" i="7"/>
  <c r="P367" i="7"/>
  <c r="Q367" i="7" s="1"/>
  <c r="P303" i="7"/>
  <c r="Q303" i="7" s="1"/>
  <c r="P239" i="7"/>
  <c r="P175" i="7"/>
  <c r="P111" i="7"/>
  <c r="P47" i="7"/>
  <c r="P1078" i="7"/>
  <c r="Q1078" i="7" s="1"/>
  <c r="P894" i="7"/>
  <c r="P766" i="7"/>
  <c r="Q766" i="7" s="1"/>
  <c r="P582" i="7"/>
  <c r="Q582" i="7" s="1"/>
  <c r="P350" i="7"/>
  <c r="P54" i="7"/>
  <c r="P933" i="7"/>
  <c r="P517" i="7"/>
  <c r="P117" i="7"/>
  <c r="Q117" i="7" s="1"/>
  <c r="P1228" i="7"/>
  <c r="P1164" i="7"/>
  <c r="P1100" i="7"/>
  <c r="Q1100" i="7" s="1"/>
  <c r="P1036" i="7"/>
  <c r="P972" i="7"/>
  <c r="P908" i="7"/>
  <c r="P844" i="7"/>
  <c r="P780" i="7"/>
  <c r="Q780" i="7" s="1"/>
  <c r="P716" i="7"/>
  <c r="P652" i="7"/>
  <c r="Q652" i="7" s="1"/>
  <c r="P588" i="7"/>
  <c r="Q588" i="7" s="1"/>
  <c r="P524" i="7"/>
  <c r="P460" i="7"/>
  <c r="P396" i="7"/>
  <c r="P332" i="7"/>
  <c r="P268" i="7"/>
  <c r="P204" i="7"/>
  <c r="P140" i="7"/>
  <c r="P76" i="7"/>
  <c r="Q76" i="7" s="1"/>
  <c r="P1246" i="7"/>
  <c r="P1006" i="7"/>
  <c r="P742" i="7"/>
  <c r="P462" i="7"/>
  <c r="P254" i="7"/>
  <c r="Q254" i="7" s="1"/>
  <c r="P1229" i="7"/>
  <c r="P941" i="7"/>
  <c r="P589" i="7"/>
  <c r="P189" i="7"/>
  <c r="P1243" i="7"/>
  <c r="P1179" i="7"/>
  <c r="P1115" i="7"/>
  <c r="P1051" i="7"/>
  <c r="P987" i="7"/>
  <c r="P923" i="7"/>
  <c r="Q923" i="7" s="1"/>
  <c r="P859" i="7"/>
  <c r="Q859" i="7" s="1"/>
  <c r="P795" i="7"/>
  <c r="P731" i="7"/>
  <c r="P667" i="7"/>
  <c r="P603" i="7"/>
  <c r="P539" i="7"/>
  <c r="P475" i="7"/>
  <c r="P411" i="7"/>
  <c r="Q411" i="7" s="1"/>
  <c r="P347" i="7"/>
  <c r="Q347" i="7" s="1"/>
  <c r="P283" i="7"/>
  <c r="P219" i="7"/>
  <c r="Q219" i="7" s="1"/>
  <c r="P155" i="7"/>
  <c r="P91" i="7"/>
  <c r="P26" i="7"/>
  <c r="P982" i="7"/>
  <c r="P566" i="7"/>
  <c r="Q566" i="7" s="1"/>
  <c r="P270" i="7"/>
  <c r="Q270" i="7" s="1"/>
  <c r="P1253" i="7"/>
  <c r="P829" i="7"/>
  <c r="P437" i="7"/>
  <c r="P85" i="7"/>
  <c r="P1226" i="7"/>
  <c r="P1162" i="7"/>
  <c r="P1098" i="7"/>
  <c r="Q1098" i="7" s="1"/>
  <c r="P1034" i="7"/>
  <c r="Q1034" i="7" s="1"/>
  <c r="P970" i="7"/>
  <c r="P906" i="7"/>
  <c r="P842" i="7"/>
  <c r="P778" i="7"/>
  <c r="P714" i="7"/>
  <c r="P650" i="7"/>
  <c r="P586" i="7"/>
  <c r="Q586" i="7" s="1"/>
  <c r="P522" i="7"/>
  <c r="P458" i="7"/>
  <c r="P394" i="7"/>
  <c r="P330" i="7"/>
  <c r="P266" i="7"/>
  <c r="P202" i="7"/>
  <c r="Q202" i="7" s="1"/>
  <c r="P138" i="7"/>
  <c r="P74" i="7"/>
  <c r="Q74" i="7" s="1"/>
  <c r="P1041" i="7"/>
  <c r="Q1041" i="7" s="1"/>
  <c r="P734" i="7"/>
  <c r="P947" i="7"/>
  <c r="P838" i="7"/>
  <c r="P1180" i="7"/>
  <c r="P383" i="7"/>
  <c r="Q383" i="7" s="1"/>
  <c r="P408" i="7"/>
  <c r="P154" i="7"/>
  <c r="Q154" i="7" s="1"/>
  <c r="P917" i="7"/>
  <c r="Q917" i="7" s="1"/>
  <c r="P747" i="7"/>
  <c r="P1259" i="7"/>
  <c r="P284" i="7"/>
  <c r="P732" i="7"/>
  <c r="P910" i="7"/>
  <c r="Q910" i="7" s="1"/>
  <c r="P472" i="7"/>
  <c r="P81" i="7"/>
  <c r="Q81" i="7" s="1"/>
  <c r="P593" i="7"/>
  <c r="Q593" i="7" s="1"/>
  <c r="P485" i="7"/>
  <c r="P674" i="7"/>
  <c r="P981" i="7"/>
  <c r="P499" i="7"/>
  <c r="P1267" i="7"/>
  <c r="P1094" i="7"/>
  <c r="P796" i="7"/>
  <c r="Q796" i="7" s="1"/>
  <c r="P967" i="7"/>
  <c r="Q967" i="7" s="1"/>
  <c r="P137" i="7"/>
  <c r="P393" i="7"/>
  <c r="P905" i="7"/>
  <c r="P1161" i="7"/>
  <c r="P218" i="7"/>
  <c r="P145" i="7"/>
  <c r="P401" i="7"/>
  <c r="Q401" i="7" s="1"/>
  <c r="P657" i="7"/>
  <c r="P913" i="7"/>
  <c r="P1169" i="7"/>
  <c r="P877" i="7"/>
  <c r="P226" i="7"/>
  <c r="P482" i="7"/>
  <c r="Q482" i="7" s="1"/>
  <c r="P738" i="7"/>
  <c r="P994" i="7"/>
  <c r="Q994" i="7" s="1"/>
  <c r="P1250" i="7"/>
  <c r="Q1250" i="7" s="1"/>
  <c r="P110" i="7"/>
  <c r="P51" i="7"/>
  <c r="P307" i="7"/>
  <c r="P563" i="7"/>
  <c r="P819" i="7"/>
  <c r="P1075" i="7"/>
  <c r="P333" i="7"/>
  <c r="Q333" i="7" s="1"/>
  <c r="P326" i="7"/>
  <c r="P35" i="7"/>
  <c r="P412" i="7"/>
  <c r="P924" i="7"/>
  <c r="P1061" i="7"/>
  <c r="P127" i="7"/>
  <c r="P639" i="7"/>
  <c r="P1087" i="7"/>
  <c r="Q1087" i="7" s="1"/>
  <c r="P152" i="7"/>
  <c r="Q152" i="7" s="1"/>
  <c r="P664" i="7"/>
  <c r="P1176" i="7"/>
  <c r="P758" i="7"/>
  <c r="P721" i="7"/>
  <c r="P1233" i="7"/>
  <c r="P273" i="7"/>
  <c r="P529" i="7"/>
  <c r="Q529" i="7" s="1"/>
  <c r="P785" i="7"/>
  <c r="Q785" i="7" s="1"/>
  <c r="P98" i="7"/>
  <c r="P610" i="7"/>
  <c r="P866" i="7"/>
  <c r="P581" i="7"/>
  <c r="P179" i="7"/>
  <c r="Q179" i="7" s="1"/>
  <c r="P1203" i="7"/>
  <c r="P220" i="7"/>
  <c r="Q220" i="7" s="1"/>
  <c r="P806" i="7"/>
  <c r="Q806" i="7" s="1"/>
  <c r="P469" i="7"/>
  <c r="Q469" i="7" s="1"/>
  <c r="P920" i="7"/>
  <c r="P73" i="7"/>
  <c r="P585" i="7"/>
  <c r="P1097" i="7"/>
  <c r="Q1097" i="7" s="1"/>
  <c r="P922" i="7"/>
  <c r="P1178" i="7"/>
  <c r="Q1178" i="7" s="1"/>
  <c r="P1086" i="7"/>
  <c r="Q1086" i="7" s="1"/>
  <c r="P491" i="7"/>
  <c r="P70" i="7"/>
  <c r="Q70" i="7" s="1"/>
  <c r="P959" i="7"/>
  <c r="P984" i="7"/>
  <c r="P337" i="7"/>
  <c r="Q337" i="7" s="1"/>
  <c r="P1105" i="7"/>
  <c r="P162" i="7"/>
  <c r="Q162" i="7" s="1"/>
  <c r="P930" i="7"/>
  <c r="Q930" i="7" s="1"/>
  <c r="P1134" i="7"/>
  <c r="P1011" i="7"/>
  <c r="P1150" i="7"/>
  <c r="P201" i="7"/>
  <c r="P457" i="7"/>
  <c r="P713" i="7"/>
  <c r="P969" i="7"/>
  <c r="Q969" i="7" s="1"/>
  <c r="P1225" i="7"/>
  <c r="Q1225" i="7" s="1"/>
  <c r="P1261" i="7"/>
  <c r="P25" i="7"/>
  <c r="P282" i="7"/>
  <c r="P538" i="7"/>
  <c r="P794" i="7"/>
  <c r="Q794" i="7" s="1"/>
  <c r="P1050" i="7"/>
  <c r="P181" i="7"/>
  <c r="Q181" i="7" s="1"/>
  <c r="P334" i="7"/>
  <c r="Q334" i="7" s="1"/>
  <c r="P107" i="7"/>
  <c r="Q107" i="7" s="1"/>
  <c r="P363" i="7"/>
  <c r="P619" i="7"/>
  <c r="P875" i="7"/>
  <c r="P1131" i="7"/>
  <c r="Q1131" i="7" s="1"/>
  <c r="P693" i="7"/>
  <c r="P534" i="7"/>
  <c r="P92" i="7"/>
  <c r="Q92" i="7" s="1"/>
  <c r="P476" i="7"/>
  <c r="P988" i="7"/>
  <c r="P126" i="7"/>
  <c r="P191" i="7"/>
  <c r="P703" i="7"/>
  <c r="P1151" i="7"/>
  <c r="P216" i="7"/>
  <c r="P728" i="7"/>
  <c r="Q728" i="7" s="1"/>
  <c r="P1240" i="7"/>
  <c r="P1102" i="7"/>
  <c r="P9" i="8"/>
  <c r="F19" i="8"/>
  <c r="F22" i="8" s="1"/>
  <c r="G19" i="8" s="1"/>
  <c r="Q933" i="7"/>
  <c r="D18" i="7"/>
  <c r="D21" i="7"/>
  <c r="D19" i="7"/>
  <c r="D20" i="7"/>
  <c r="Q171" i="7"/>
  <c r="Q595" i="7"/>
  <c r="Q397" i="7"/>
  <c r="Q214" i="7"/>
  <c r="Q353" i="7"/>
  <c r="Q186" i="7"/>
  <c r="Q211" i="7"/>
  <c r="Q683" i="7"/>
  <c r="Q445" i="7"/>
  <c r="Q414" i="7"/>
  <c r="Q291" i="7"/>
  <c r="Q69" i="7"/>
  <c r="Q525" i="7"/>
  <c r="Q537" i="7"/>
  <c r="Q572" i="7"/>
  <c r="Q419" i="7"/>
  <c r="Q533" i="7"/>
  <c r="Q120" i="7"/>
  <c r="Q934" i="7"/>
  <c r="Q863" i="7"/>
  <c r="Q653" i="7"/>
  <c r="Q511" i="7"/>
  <c r="Q35" i="7"/>
  <c r="Q467" i="7"/>
  <c r="Q189" i="7"/>
  <c r="Q661" i="7"/>
  <c r="Q1058" i="7"/>
  <c r="Q83" i="7"/>
  <c r="Q475" i="7"/>
  <c r="Q317" i="7"/>
  <c r="Q701" i="7"/>
  <c r="Q1017" i="7"/>
  <c r="Q547" i="7"/>
  <c r="Q325" i="7"/>
  <c r="Q142" i="7"/>
  <c r="Q680" i="7"/>
  <c r="Q22" i="7"/>
  <c r="Q23" i="7"/>
  <c r="Q299" i="7"/>
  <c r="Q61" i="7"/>
  <c r="Q405" i="7"/>
  <c r="Q150" i="7"/>
  <c r="Q552" i="7"/>
  <c r="Q555" i="7"/>
  <c r="Q269" i="7"/>
  <c r="Q581" i="7"/>
  <c r="Q422" i="7"/>
  <c r="Q273" i="7"/>
  <c r="Q43" i="7"/>
  <c r="Q277" i="7"/>
  <c r="Q573" i="7"/>
  <c r="Q222" i="7"/>
  <c r="Q544" i="7"/>
  <c r="Q918" i="7"/>
  <c r="Q82" i="7"/>
  <c r="Q91" i="7"/>
  <c r="Q603" i="7"/>
  <c r="Q197" i="7"/>
  <c r="Q590" i="7"/>
  <c r="Q65" i="7"/>
  <c r="Q194" i="7"/>
  <c r="Q99" i="7"/>
  <c r="Q227" i="7"/>
  <c r="Q483" i="7"/>
  <c r="Q611" i="7"/>
  <c r="Q77" i="7"/>
  <c r="Q205" i="7"/>
  <c r="Q461" i="7"/>
  <c r="Q589" i="7"/>
  <c r="Q38" i="7"/>
  <c r="Q230" i="7"/>
  <c r="Q73" i="7"/>
  <c r="Q170" i="7"/>
  <c r="Q1001" i="7"/>
  <c r="Q1132" i="7"/>
  <c r="Q932" i="7"/>
  <c r="Q235" i="7"/>
  <c r="Q363" i="7"/>
  <c r="Q491" i="7"/>
  <c r="Q619" i="7"/>
  <c r="Q85" i="7"/>
  <c r="Q213" i="7"/>
  <c r="Q341" i="7"/>
  <c r="Q597" i="7"/>
  <c r="Q46" i="7"/>
  <c r="Q246" i="7"/>
  <c r="Q662" i="7"/>
  <c r="Q368" i="7"/>
  <c r="Q1107" i="7"/>
  <c r="Q690" i="7"/>
  <c r="Q1212" i="7"/>
  <c r="D292" i="7"/>
  <c r="Q147" i="7"/>
  <c r="Q403" i="7"/>
  <c r="Q531" i="7"/>
  <c r="Q659" i="7"/>
  <c r="Q125" i="7"/>
  <c r="Q253" i="7"/>
  <c r="Q381" i="7"/>
  <c r="Q509" i="7"/>
  <c r="Q350" i="7"/>
  <c r="Q104" i="7"/>
  <c r="Q217" i="7"/>
  <c r="Q1038" i="7"/>
  <c r="Q707" i="7"/>
  <c r="Q848" i="7"/>
  <c r="Q775" i="7"/>
  <c r="D767" i="7"/>
  <c r="Q155" i="7"/>
  <c r="Q283" i="7"/>
  <c r="Q539" i="7"/>
  <c r="Q667" i="7"/>
  <c r="Q133" i="7"/>
  <c r="Q261" i="7"/>
  <c r="Q389" i="7"/>
  <c r="Q517" i="7"/>
  <c r="Q645" i="7"/>
  <c r="Q110" i="7"/>
  <c r="Q406" i="7"/>
  <c r="Q112" i="7"/>
  <c r="Q504" i="7"/>
  <c r="Q265" i="7"/>
  <c r="Q816" i="7"/>
  <c r="Q844" i="7"/>
  <c r="Q51" i="7"/>
  <c r="Q115" i="7"/>
  <c r="Q243" i="7"/>
  <c r="Q307" i="7"/>
  <c r="Q371" i="7"/>
  <c r="Q435" i="7"/>
  <c r="Q499" i="7"/>
  <c r="Q563" i="7"/>
  <c r="Q627" i="7"/>
  <c r="Q691" i="7"/>
  <c r="Q93" i="7"/>
  <c r="Q157" i="7"/>
  <c r="Q221" i="7"/>
  <c r="Q349" i="7"/>
  <c r="Q413" i="7"/>
  <c r="Q477" i="7"/>
  <c r="Q669" i="7"/>
  <c r="Q158" i="7"/>
  <c r="Q462" i="7"/>
  <c r="Q670" i="7"/>
  <c r="Q168" i="7"/>
  <c r="Q376" i="7"/>
  <c r="Q616" i="7"/>
  <c r="Q121" i="7"/>
  <c r="Q361" i="7"/>
  <c r="Q609" i="7"/>
  <c r="Q886" i="7"/>
  <c r="Q931" i="7"/>
  <c r="Q866" i="7"/>
  <c r="Q282" i="7"/>
  <c r="Q1244" i="7"/>
  <c r="Q599" i="7"/>
  <c r="Q59" i="7"/>
  <c r="Q123" i="7"/>
  <c r="Q187" i="7"/>
  <c r="Q379" i="7"/>
  <c r="Q443" i="7"/>
  <c r="Q507" i="7"/>
  <c r="Q571" i="7"/>
  <c r="Q635" i="7"/>
  <c r="Q37" i="7"/>
  <c r="Q101" i="7"/>
  <c r="Q357" i="7"/>
  <c r="Q421" i="7"/>
  <c r="Q485" i="7"/>
  <c r="Q549" i="7"/>
  <c r="Q613" i="7"/>
  <c r="Q677" i="7"/>
  <c r="Q78" i="7"/>
  <c r="Q166" i="7"/>
  <c r="Q310" i="7"/>
  <c r="Q470" i="7"/>
  <c r="Q678" i="7"/>
  <c r="Q232" i="7"/>
  <c r="Q416" i="7"/>
  <c r="Q129" i="7"/>
  <c r="Q385" i="7"/>
  <c r="Q822" i="7"/>
  <c r="Q915" i="7"/>
  <c r="Q829" i="7"/>
  <c r="Q1128" i="7"/>
  <c r="Q67" i="7"/>
  <c r="Q131" i="7"/>
  <c r="Q195" i="7"/>
  <c r="Q259" i="7"/>
  <c r="Q323" i="7"/>
  <c r="Q515" i="7"/>
  <c r="Q579" i="7"/>
  <c r="Q643" i="7"/>
  <c r="Q45" i="7"/>
  <c r="Q109" i="7"/>
  <c r="Q173" i="7"/>
  <c r="Q237" i="7"/>
  <c r="Q301" i="7"/>
  <c r="Q429" i="7"/>
  <c r="Q493" i="7"/>
  <c r="Q557" i="7"/>
  <c r="Q621" i="7"/>
  <c r="Q174" i="7"/>
  <c r="Q534" i="7"/>
  <c r="Q32" i="7"/>
  <c r="Q240" i="7"/>
  <c r="Q424" i="7"/>
  <c r="Q201" i="7"/>
  <c r="Q425" i="7"/>
  <c r="Q1110" i="7"/>
  <c r="Q782" i="7"/>
  <c r="Q851" i="7"/>
  <c r="Q287" i="7"/>
  <c r="Q135" i="7"/>
  <c r="Q871" i="7"/>
  <c r="Q925" i="7"/>
  <c r="D385" i="7"/>
  <c r="Q75" i="7"/>
  <c r="Q139" i="7"/>
  <c r="Q203" i="7"/>
  <c r="Q267" i="7"/>
  <c r="Q331" i="7"/>
  <c r="Q395" i="7"/>
  <c r="Q459" i="7"/>
  <c r="Q587" i="7"/>
  <c r="Q651" i="7"/>
  <c r="Q53" i="7"/>
  <c r="Q437" i="7"/>
  <c r="Q501" i="7"/>
  <c r="Q565" i="7"/>
  <c r="Q629" i="7"/>
  <c r="Q693" i="7"/>
  <c r="Q342" i="7"/>
  <c r="Q542" i="7"/>
  <c r="Q40" i="7"/>
  <c r="Q248" i="7"/>
  <c r="Q209" i="7"/>
  <c r="Q449" i="7"/>
  <c r="Q1102" i="7"/>
  <c r="Q554" i="7"/>
  <c r="Q723" i="7"/>
  <c r="Q244" i="7"/>
  <c r="Q1085" i="7"/>
  <c r="Q527" i="7"/>
  <c r="Q399" i="7"/>
  <c r="Q54" i="7"/>
  <c r="Q118" i="7"/>
  <c r="Q182" i="7"/>
  <c r="Q358" i="7"/>
  <c r="Q606" i="7"/>
  <c r="Q48" i="7"/>
  <c r="Q176" i="7"/>
  <c r="Q304" i="7"/>
  <c r="Q432" i="7"/>
  <c r="Q560" i="7"/>
  <c r="Q688" i="7"/>
  <c r="Q137" i="7"/>
  <c r="Q281" i="7"/>
  <c r="Q457" i="7"/>
  <c r="Q774" i="7"/>
  <c r="Q674" i="7"/>
  <c r="Q834" i="7"/>
  <c r="Q1056" i="7"/>
  <c r="Q239" i="7"/>
  <c r="Q423" i="7"/>
  <c r="Q924" i="7"/>
  <c r="Q1061" i="7"/>
  <c r="Q1153" i="7"/>
  <c r="Q62" i="7"/>
  <c r="Q126" i="7"/>
  <c r="Q278" i="7"/>
  <c r="Q374" i="7"/>
  <c r="Q486" i="7"/>
  <c r="Q614" i="7"/>
  <c r="Q184" i="7"/>
  <c r="Q312" i="7"/>
  <c r="Q440" i="7"/>
  <c r="Q696" i="7"/>
  <c r="Q145" i="7"/>
  <c r="Q289" i="7"/>
  <c r="Q465" i="7"/>
  <c r="Q641" i="7"/>
  <c r="Q1014" i="7"/>
  <c r="Q758" i="7"/>
  <c r="Q1075" i="7"/>
  <c r="Q631" i="7"/>
  <c r="Q802" i="7"/>
  <c r="Q1040" i="7"/>
  <c r="Q535" i="7"/>
  <c r="Q965" i="7"/>
  <c r="Q1055" i="7"/>
  <c r="Q1124" i="7"/>
  <c r="Q134" i="7"/>
  <c r="Q198" i="7"/>
  <c r="Q286" i="7"/>
  <c r="Q398" i="7"/>
  <c r="Q526" i="7"/>
  <c r="Q224" i="7"/>
  <c r="Q352" i="7"/>
  <c r="Q480" i="7"/>
  <c r="Q57" i="7"/>
  <c r="Q193" i="7"/>
  <c r="Q345" i="7"/>
  <c r="Q521" i="7"/>
  <c r="Q681" i="7"/>
  <c r="Q950" i="7"/>
  <c r="Q575" i="7"/>
  <c r="Q947" i="7"/>
  <c r="Q713" i="7"/>
  <c r="Q864" i="7"/>
  <c r="Q743" i="7"/>
  <c r="Q1109" i="7"/>
  <c r="Q1238" i="7"/>
  <c r="Q570" i="7"/>
  <c r="Q238" i="7"/>
  <c r="Q366" i="7"/>
  <c r="Q430" i="7"/>
  <c r="Q494" i="7"/>
  <c r="Q622" i="7"/>
  <c r="Q686" i="7"/>
  <c r="Q64" i="7"/>
  <c r="Q128" i="7"/>
  <c r="Q192" i="7"/>
  <c r="Q256" i="7"/>
  <c r="Q448" i="7"/>
  <c r="Q512" i="7"/>
  <c r="Q576" i="7"/>
  <c r="Q640" i="7"/>
  <c r="Q89" i="7"/>
  <c r="Q153" i="7"/>
  <c r="Q225" i="7"/>
  <c r="Q297" i="7"/>
  <c r="Q393" i="7"/>
  <c r="Q649" i="7"/>
  <c r="Q1094" i="7"/>
  <c r="Q998" i="7"/>
  <c r="Q870" i="7"/>
  <c r="Q742" i="7"/>
  <c r="Q340" i="7"/>
  <c r="Q1059" i="7"/>
  <c r="Q835" i="7"/>
  <c r="Q546" i="7"/>
  <c r="Q1026" i="7"/>
  <c r="Q722" i="7"/>
  <c r="Q873" i="7"/>
  <c r="Q111" i="7"/>
  <c r="Q1139" i="7"/>
  <c r="Q655" i="7"/>
  <c r="Q1260" i="7"/>
  <c r="Q1158" i="7"/>
  <c r="Q1151" i="7"/>
  <c r="Q1229" i="7"/>
  <c r="Q1205" i="7"/>
  <c r="Q438" i="7"/>
  <c r="Q502" i="7"/>
  <c r="Q136" i="7"/>
  <c r="Q200" i="7"/>
  <c r="Q264" i="7"/>
  <c r="Q328" i="7"/>
  <c r="Q520" i="7"/>
  <c r="Q648" i="7"/>
  <c r="Q33" i="7"/>
  <c r="Q97" i="7"/>
  <c r="Q577" i="7"/>
  <c r="Q657" i="7"/>
  <c r="Q974" i="7"/>
  <c r="Q726" i="7"/>
  <c r="Q298" i="7"/>
  <c r="Q1043" i="7"/>
  <c r="Q819" i="7"/>
  <c r="Q332" i="7"/>
  <c r="Q706" i="7"/>
  <c r="Q306" i="7"/>
  <c r="Q992" i="7"/>
  <c r="Q666" i="7"/>
  <c r="Q68" i="7"/>
  <c r="Q1155" i="7"/>
  <c r="Q940" i="7"/>
  <c r="Q39" i="7"/>
  <c r="Q1174" i="7"/>
  <c r="Q1047" i="7"/>
  <c r="Q1146" i="7"/>
  <c r="Q1201" i="7"/>
  <c r="Q318" i="7"/>
  <c r="Q382" i="7"/>
  <c r="Q446" i="7"/>
  <c r="Q510" i="7"/>
  <c r="Q574" i="7"/>
  <c r="Q702" i="7"/>
  <c r="Q80" i="7"/>
  <c r="Q144" i="7"/>
  <c r="Q336" i="7"/>
  <c r="Q400" i="7"/>
  <c r="Q464" i="7"/>
  <c r="Q528" i="7"/>
  <c r="Q592" i="7"/>
  <c r="Q656" i="7"/>
  <c r="Q41" i="7"/>
  <c r="Q169" i="7"/>
  <c r="Q241" i="7"/>
  <c r="Q329" i="7"/>
  <c r="Q489" i="7"/>
  <c r="Q585" i="7"/>
  <c r="Q665" i="7"/>
  <c r="Q966" i="7"/>
  <c r="Q846" i="7"/>
  <c r="Q718" i="7"/>
  <c r="Q255" i="7"/>
  <c r="Q979" i="7"/>
  <c r="Q803" i="7"/>
  <c r="Q290" i="7"/>
  <c r="Q978" i="7"/>
  <c r="Q1065" i="7"/>
  <c r="Q825" i="7"/>
  <c r="Q976" i="7"/>
  <c r="Q623" i="7"/>
  <c r="Q591" i="7"/>
  <c r="Q1171" i="7"/>
  <c r="Q981" i="7"/>
  <c r="Q271" i="7"/>
  <c r="Q1221" i="7"/>
  <c r="Q1199" i="7"/>
  <c r="Q1226" i="7"/>
  <c r="Q262" i="7"/>
  <c r="Q326" i="7"/>
  <c r="Q518" i="7"/>
  <c r="Q646" i="7"/>
  <c r="Q88" i="7"/>
  <c r="Q216" i="7"/>
  <c r="Q344" i="7"/>
  <c r="Q408" i="7"/>
  <c r="Q472" i="7"/>
  <c r="Q600" i="7"/>
  <c r="Q664" i="7"/>
  <c r="Q49" i="7"/>
  <c r="Q417" i="7"/>
  <c r="Q513" i="7"/>
  <c r="Q673" i="7"/>
  <c r="Q1046" i="7"/>
  <c r="Q958" i="7"/>
  <c r="Q838" i="7"/>
  <c r="Q212" i="7"/>
  <c r="Q204" i="7"/>
  <c r="Q898" i="7"/>
  <c r="Q1033" i="7"/>
  <c r="Q809" i="7"/>
  <c r="Q178" i="7"/>
  <c r="Q880" i="7"/>
  <c r="Q580" i="7"/>
  <c r="Q699" i="7"/>
  <c r="Q1203" i="7"/>
  <c r="Q751" i="7"/>
  <c r="Q1222" i="7"/>
  <c r="Q1247" i="7"/>
  <c r="Q1224" i="7"/>
  <c r="Q215" i="7"/>
  <c r="Q578" i="7"/>
  <c r="Q1076" i="7"/>
  <c r="Q369" i="7"/>
  <c r="Q433" i="7"/>
  <c r="Q497" i="7"/>
  <c r="Q561" i="7"/>
  <c r="Q625" i="7"/>
  <c r="Q1062" i="7"/>
  <c r="Q990" i="7"/>
  <c r="Q710" i="7"/>
  <c r="Q127" i="7"/>
  <c r="Q1027" i="7"/>
  <c r="Q771" i="7"/>
  <c r="Q503" i="7"/>
  <c r="Q34" i="7"/>
  <c r="Q786" i="7"/>
  <c r="Q458" i="7"/>
  <c r="Q31" i="7"/>
  <c r="Q953" i="7"/>
  <c r="Q777" i="7"/>
  <c r="Q476" i="7"/>
  <c r="Q28" i="7"/>
  <c r="Q784" i="7"/>
  <c r="Q452" i="7"/>
  <c r="Q130" i="7"/>
  <c r="Q1219" i="7"/>
  <c r="Q767" i="7"/>
  <c r="Q1148" i="7"/>
  <c r="Q380" i="7"/>
  <c r="Q1052" i="7"/>
  <c r="Q1254" i="7"/>
  <c r="Q1117" i="7"/>
  <c r="Q781" i="7"/>
  <c r="Q1249" i="7"/>
  <c r="Q1121" i="7"/>
  <c r="Q791" i="7"/>
  <c r="Q1253" i="7"/>
  <c r="Q1127" i="7"/>
  <c r="Q799" i="7"/>
  <c r="Q1256" i="7"/>
  <c r="Q313" i="7"/>
  <c r="Q377" i="7"/>
  <c r="Q441" i="7"/>
  <c r="Q505" i="7"/>
  <c r="Q569" i="7"/>
  <c r="Q633" i="7"/>
  <c r="Q1054" i="7"/>
  <c r="Q982" i="7"/>
  <c r="Q902" i="7"/>
  <c r="Q790" i="7"/>
  <c r="Q682" i="7"/>
  <c r="Q404" i="7"/>
  <c r="Q1011" i="7"/>
  <c r="Q883" i="7"/>
  <c r="Q755" i="7"/>
  <c r="Q460" i="7"/>
  <c r="Q1106" i="7"/>
  <c r="Q770" i="7"/>
  <c r="Q415" i="7"/>
  <c r="Q937" i="7"/>
  <c r="Q391" i="7"/>
  <c r="Q1104" i="7"/>
  <c r="Q928" i="7"/>
  <c r="Q752" i="7"/>
  <c r="Q410" i="7"/>
  <c r="Q999" i="7"/>
  <c r="Q1235" i="7"/>
  <c r="Q812" i="7"/>
  <c r="Q1180" i="7"/>
  <c r="Q1093" i="7"/>
  <c r="Q167" i="7"/>
  <c r="Q847" i="7"/>
  <c r="Q1149" i="7"/>
  <c r="Q861" i="7"/>
  <c r="Q228" i="7"/>
  <c r="Q1152" i="7"/>
  <c r="Q868" i="7"/>
  <c r="Q639" i="7"/>
  <c r="Q42" i="7"/>
  <c r="Q995" i="7"/>
  <c r="Q739" i="7"/>
  <c r="Q375" i="7"/>
  <c r="Q1090" i="7"/>
  <c r="Q738" i="7"/>
  <c r="Q372" i="7"/>
  <c r="Q1081" i="7"/>
  <c r="Q905" i="7"/>
  <c r="Q745" i="7"/>
  <c r="Q348" i="7"/>
  <c r="Q1072" i="7"/>
  <c r="Q912" i="7"/>
  <c r="Q736" i="7"/>
  <c r="Q324" i="7"/>
  <c r="Q359" i="7"/>
  <c r="Q1044" i="7"/>
  <c r="Q1267" i="7"/>
  <c r="Q853" i="7"/>
  <c r="Q1196" i="7"/>
  <c r="Q709" i="7"/>
  <c r="Q1125" i="7"/>
  <c r="Q1194" i="7"/>
  <c r="Q386" i="7"/>
  <c r="Q1200" i="7"/>
  <c r="Q927" i="7"/>
  <c r="Q1202" i="7"/>
  <c r="Q1133" i="7"/>
  <c r="Q741" i="7"/>
  <c r="Q87" i="7"/>
  <c r="Q450" i="7"/>
  <c r="Q60" i="7"/>
  <c r="Q428" i="7"/>
  <c r="Q869" i="7"/>
  <c r="Q1012" i="7"/>
  <c r="Q884" i="7"/>
  <c r="Q1234" i="7"/>
  <c r="Q973" i="7"/>
  <c r="Q615" i="7"/>
  <c r="Q1111" i="7"/>
  <c r="Q1218" i="7"/>
  <c r="Q894" i="7"/>
  <c r="Q830" i="7"/>
  <c r="Q700" i="7"/>
  <c r="Q532" i="7"/>
  <c r="Q362" i="7"/>
  <c r="Q191" i="7"/>
  <c r="Q1115" i="7"/>
  <c r="Q1051" i="7"/>
  <c r="Q987" i="7"/>
  <c r="Q795" i="7"/>
  <c r="Q731" i="7"/>
  <c r="Q610" i="7"/>
  <c r="Q439" i="7"/>
  <c r="Q268" i="7"/>
  <c r="Q98" i="7"/>
  <c r="Q1082" i="7"/>
  <c r="Q1018" i="7"/>
  <c r="Q954" i="7"/>
  <c r="Q890" i="7"/>
  <c r="Q826" i="7"/>
  <c r="Q692" i="7"/>
  <c r="Q522" i="7"/>
  <c r="Q351" i="7"/>
  <c r="Q27" i="7"/>
  <c r="Q929" i="7"/>
  <c r="Q865" i="7"/>
  <c r="Q801" i="7"/>
  <c r="Q737" i="7"/>
  <c r="Q284" i="7"/>
  <c r="Q1032" i="7"/>
  <c r="Q968" i="7"/>
  <c r="Q840" i="7"/>
  <c r="Q776" i="7"/>
  <c r="Q712" i="7"/>
  <c r="Q559" i="7"/>
  <c r="Q388" i="7"/>
  <c r="Q218" i="7"/>
  <c r="Q47" i="7"/>
  <c r="Q420" i="7"/>
  <c r="Q765" i="7"/>
  <c r="Q935" i="7"/>
  <c r="Q1179" i="7"/>
  <c r="Q1243" i="7"/>
  <c r="Q703" i="7"/>
  <c r="Q876" i="7"/>
  <c r="Q1156" i="7"/>
  <c r="Q1220" i="7"/>
  <c r="Q100" i="7"/>
  <c r="Q551" i="7"/>
  <c r="Q988" i="7"/>
  <c r="Q1134" i="7"/>
  <c r="Q1198" i="7"/>
  <c r="Q1262" i="7"/>
  <c r="Q620" i="7"/>
  <c r="Q948" i="7"/>
  <c r="Q1157" i="7"/>
  <c r="Q1258" i="7"/>
  <c r="Q636" i="7"/>
  <c r="Q951" i="7"/>
  <c r="Q1160" i="7"/>
  <c r="Q1263" i="7"/>
  <c r="Q658" i="7"/>
  <c r="Q956" i="7"/>
  <c r="Q1161" i="7"/>
  <c r="Q1264" i="7"/>
  <c r="Q676" i="7"/>
  <c r="Q964" i="7"/>
  <c r="Q1162" i="7"/>
  <c r="Q1265" i="7"/>
  <c r="Q679" i="7"/>
  <c r="Q1165" i="7"/>
  <c r="Q1266" i="7"/>
  <c r="Q684" i="7"/>
  <c r="Q972" i="7"/>
  <c r="Q1167" i="7"/>
  <c r="Q1269" i="7"/>
  <c r="Q804" i="7"/>
  <c r="Q1053" i="7"/>
  <c r="Q711" i="7"/>
  <c r="Q1119" i="7"/>
  <c r="Q274" i="7"/>
  <c r="Q418" i="7"/>
  <c r="Q247" i="7"/>
  <c r="Q1010" i="7"/>
  <c r="Q946" i="7"/>
  <c r="Q882" i="7"/>
  <c r="Q818" i="7"/>
  <c r="Q754" i="7"/>
  <c r="Q671" i="7"/>
  <c r="Q500" i="7"/>
  <c r="Q330" i="7"/>
  <c r="Q159" i="7"/>
  <c r="Q1113" i="7"/>
  <c r="Q1049" i="7"/>
  <c r="Q857" i="7"/>
  <c r="Q793" i="7"/>
  <c r="Q729" i="7"/>
  <c r="Q604" i="7"/>
  <c r="Q434" i="7"/>
  <c r="Q263" i="7"/>
  <c r="Q1088" i="7"/>
  <c r="Q1024" i="7"/>
  <c r="Q960" i="7"/>
  <c r="Q768" i="7"/>
  <c r="Q704" i="7"/>
  <c r="Q538" i="7"/>
  <c r="Q196" i="7"/>
  <c r="Q29" i="7"/>
  <c r="Q471" i="7"/>
  <c r="Q788" i="7"/>
  <c r="Q957" i="7"/>
  <c r="Q1122" i="7"/>
  <c r="Q314" i="7"/>
  <c r="Q895" i="7"/>
  <c r="Q1164" i="7"/>
  <c r="Q1228" i="7"/>
  <c r="Q151" i="7"/>
  <c r="Q612" i="7"/>
  <c r="Q837" i="7"/>
  <c r="Q1142" i="7"/>
  <c r="Q1206" i="7"/>
  <c r="Q1270" i="7"/>
  <c r="Q708" i="7"/>
  <c r="Q975" i="7"/>
  <c r="Q1169" i="7"/>
  <c r="Q1272" i="7"/>
  <c r="Q716" i="7"/>
  <c r="Q989" i="7"/>
  <c r="Q1173" i="7"/>
  <c r="Q1274" i="7"/>
  <c r="Q717" i="7"/>
  <c r="Q1175" i="7"/>
  <c r="Q996" i="7"/>
  <c r="Q1176" i="7"/>
  <c r="Q44" i="7"/>
  <c r="Q727" i="7"/>
  <c r="Q1177" i="7"/>
  <c r="Q58" i="7"/>
  <c r="Q733" i="7"/>
  <c r="Q1005" i="7"/>
  <c r="Q164" i="7"/>
  <c r="Q908" i="7"/>
  <c r="Q1077" i="7"/>
  <c r="Q735" i="7"/>
  <c r="Q1168" i="7"/>
  <c r="Q1006" i="7"/>
  <c r="Q942" i="7"/>
  <c r="Q878" i="7"/>
  <c r="Q814" i="7"/>
  <c r="Q750" i="7"/>
  <c r="Q660" i="7"/>
  <c r="Q319" i="7"/>
  <c r="Q148" i="7"/>
  <c r="Q971" i="7"/>
  <c r="Q907" i="7"/>
  <c r="Q843" i="7"/>
  <c r="Q779" i="7"/>
  <c r="Q715" i="7"/>
  <c r="Q567" i="7"/>
  <c r="Q396" i="7"/>
  <c r="Q226" i="7"/>
  <c r="Q55" i="7"/>
  <c r="Q1066" i="7"/>
  <c r="Q874" i="7"/>
  <c r="Q810" i="7"/>
  <c r="Q746" i="7"/>
  <c r="Q650" i="7"/>
  <c r="Q308" i="7"/>
  <c r="Q138" i="7"/>
  <c r="Q1105" i="7"/>
  <c r="Q977" i="7"/>
  <c r="Q913" i="7"/>
  <c r="Q849" i="7"/>
  <c r="Q721" i="7"/>
  <c r="Q583" i="7"/>
  <c r="Q412" i="7"/>
  <c r="Q242" i="7"/>
  <c r="Q71" i="7"/>
  <c r="Q1016" i="7"/>
  <c r="Q952" i="7"/>
  <c r="Q888" i="7"/>
  <c r="Q824" i="7"/>
  <c r="Q760" i="7"/>
  <c r="Q687" i="7"/>
  <c r="Q516" i="7"/>
  <c r="Q346" i="7"/>
  <c r="Q175" i="7"/>
  <c r="Q1195" i="7"/>
  <c r="Q1259" i="7"/>
  <c r="Q364" i="7"/>
  <c r="Q748" i="7"/>
  <c r="Q1172" i="7"/>
  <c r="Q1236" i="7"/>
  <c r="Q210" i="7"/>
  <c r="Q663" i="7"/>
  <c r="Q860" i="7"/>
  <c r="Q1029" i="7"/>
  <c r="Q1150" i="7"/>
  <c r="Q66" i="7"/>
  <c r="Q740" i="7"/>
  <c r="Q1013" i="7"/>
  <c r="Q1183" i="7"/>
  <c r="Q103" i="7"/>
  <c r="Q1020" i="7"/>
  <c r="Q108" i="7"/>
  <c r="Q756" i="7"/>
  <c r="Q1186" i="7"/>
  <c r="Q122" i="7"/>
  <c r="Q757" i="7"/>
  <c r="Q1189" i="7"/>
  <c r="Q124" i="7"/>
  <c r="Q759" i="7"/>
  <c r="Q1036" i="7"/>
  <c r="Q1191" i="7"/>
  <c r="Q146" i="7"/>
  <c r="Q1192" i="7"/>
  <c r="Q172" i="7"/>
  <c r="Q1084" i="7"/>
  <c r="Q1181" i="7"/>
  <c r="Q839" i="7"/>
  <c r="Q1159" i="7"/>
  <c r="Q1248" i="7"/>
  <c r="Q236" i="7"/>
  <c r="Q813" i="7"/>
  <c r="Q1245" i="7"/>
  <c r="Q911" i="7"/>
  <c r="Q1207" i="7"/>
  <c r="Q1145" i="7"/>
  <c r="Q634" i="7"/>
  <c r="Q926" i="7"/>
  <c r="Q862" i="7"/>
  <c r="Q734" i="7"/>
  <c r="Q618" i="7"/>
  <c r="Q447" i="7"/>
  <c r="Q276" i="7"/>
  <c r="Q106" i="7"/>
  <c r="Q1083" i="7"/>
  <c r="Q1019" i="7"/>
  <c r="Q955" i="7"/>
  <c r="Q891" i="7"/>
  <c r="Q827" i="7"/>
  <c r="Q763" i="7"/>
  <c r="Q524" i="7"/>
  <c r="Q354" i="7"/>
  <c r="Q1114" i="7"/>
  <c r="Q1050" i="7"/>
  <c r="Q922" i="7"/>
  <c r="Q858" i="7"/>
  <c r="Q730" i="7"/>
  <c r="Q607" i="7"/>
  <c r="Q436" i="7"/>
  <c r="Q266" i="7"/>
  <c r="Q95" i="7"/>
  <c r="Q1089" i="7"/>
  <c r="Q1025" i="7"/>
  <c r="Q961" i="7"/>
  <c r="Q897" i="7"/>
  <c r="Q705" i="7"/>
  <c r="Q540" i="7"/>
  <c r="Q370" i="7"/>
  <c r="Q26" i="7"/>
  <c r="Q1064" i="7"/>
  <c r="Q1000" i="7"/>
  <c r="Q936" i="7"/>
  <c r="Q744" i="7"/>
  <c r="Q644" i="7"/>
  <c r="Q474" i="7"/>
  <c r="Q132" i="7"/>
  <c r="Q188" i="7"/>
  <c r="Q642" i="7"/>
  <c r="Q852" i="7"/>
  <c r="Q1021" i="7"/>
  <c r="Q1147" i="7"/>
  <c r="Q1211" i="7"/>
  <c r="Q789" i="7"/>
  <c r="Q959" i="7"/>
  <c r="Q1123" i="7"/>
  <c r="Q1188" i="7"/>
  <c r="Q1252" i="7"/>
  <c r="Q322" i="7"/>
  <c r="Q732" i="7"/>
  <c r="Q901" i="7"/>
  <c r="Q1071" i="7"/>
  <c r="Q1166" i="7"/>
  <c r="Q258" i="7"/>
  <c r="Q805" i="7"/>
  <c r="Q1079" i="7"/>
  <c r="Q1208" i="7"/>
  <c r="Q279" i="7"/>
  <c r="Q820" i="7"/>
  <c r="Q292" i="7"/>
  <c r="Q1213" i="7"/>
  <c r="Q823" i="7"/>
  <c r="Q1215" i="7"/>
  <c r="Q316" i="7"/>
  <c r="Q1216" i="7"/>
  <c r="Q335" i="7"/>
  <c r="Q836" i="7"/>
  <c r="Q1103" i="7"/>
  <c r="Q1217" i="7"/>
  <c r="Q356" i="7"/>
  <c r="Q1261" i="7"/>
  <c r="Q983" i="7"/>
  <c r="Q1193" i="7"/>
  <c r="Q548" i="7"/>
  <c r="Q941" i="7"/>
  <c r="Q1015" i="7"/>
  <c r="Q1271" i="7"/>
  <c r="Q1170" i="7"/>
  <c r="Q234" i="7"/>
  <c r="Q63" i="7"/>
  <c r="Q1067" i="7"/>
  <c r="Q1003" i="7"/>
  <c r="Q939" i="7"/>
  <c r="Q875" i="7"/>
  <c r="Q811" i="7"/>
  <c r="Q747" i="7"/>
  <c r="Q311" i="7"/>
  <c r="Q140" i="7"/>
  <c r="Q970" i="7"/>
  <c r="Q906" i="7"/>
  <c r="Q842" i="7"/>
  <c r="Q778" i="7"/>
  <c r="Q714" i="7"/>
  <c r="Q564" i="7"/>
  <c r="Q394" i="7"/>
  <c r="Q223" i="7"/>
  <c r="Q52" i="7"/>
  <c r="Q1073" i="7"/>
  <c r="Q1009" i="7"/>
  <c r="Q945" i="7"/>
  <c r="Q881" i="7"/>
  <c r="Q817" i="7"/>
  <c r="Q753" i="7"/>
  <c r="Q668" i="7"/>
  <c r="Q498" i="7"/>
  <c r="Q327" i="7"/>
  <c r="Q156" i="7"/>
  <c r="Q1112" i="7"/>
  <c r="Q1048" i="7"/>
  <c r="Q984" i="7"/>
  <c r="Q920" i="7"/>
  <c r="Q856" i="7"/>
  <c r="Q792" i="7"/>
  <c r="Q602" i="7"/>
  <c r="Q431" i="7"/>
  <c r="Q260" i="7"/>
  <c r="Q90" i="7"/>
  <c r="Q300" i="7"/>
  <c r="Q724" i="7"/>
  <c r="Q893" i="7"/>
  <c r="Q1063" i="7"/>
  <c r="Q1163" i="7"/>
  <c r="Q1227" i="7"/>
  <c r="Q143" i="7"/>
  <c r="Q594" i="7"/>
  <c r="Q831" i="7"/>
  <c r="Q1268" i="7"/>
  <c r="Q442" i="7"/>
  <c r="Q773" i="7"/>
  <c r="Q943" i="7"/>
  <c r="Q1182" i="7"/>
  <c r="Q1246" i="7"/>
  <c r="Q444" i="7"/>
  <c r="Q877" i="7"/>
  <c r="Q1130" i="7"/>
  <c r="Q1233" i="7"/>
  <c r="Q463" i="7"/>
  <c r="Q1135" i="7"/>
  <c r="Q1237" i="7"/>
  <c r="Q466" i="7"/>
  <c r="Q887" i="7"/>
  <c r="Q1136" i="7"/>
  <c r="Q1239" i="7"/>
  <c r="Q487" i="7"/>
  <c r="Q892" i="7"/>
  <c r="Q1240" i="7"/>
  <c r="Q506" i="7"/>
  <c r="Q900" i="7"/>
  <c r="Q1241" i="7"/>
  <c r="Q508" i="7"/>
  <c r="Q903" i="7"/>
  <c r="Q1141" i="7"/>
  <c r="Q1242" i="7"/>
  <c r="Q772" i="7"/>
  <c r="Q949" i="7"/>
  <c r="Q79" i="7"/>
  <c r="Q1039" i="7"/>
  <c r="Q1154" i="7"/>
  <c r="Q1257" i="7"/>
  <c r="Q1197" i="7"/>
  <c r="D741" i="7"/>
  <c r="D614" i="7"/>
  <c r="D264" i="7"/>
  <c r="D393" i="7"/>
  <c r="D619" i="7"/>
  <c r="D804" i="7"/>
  <c r="D994" i="7"/>
  <c r="D356" i="7"/>
  <c r="D805" i="7"/>
  <c r="D678" i="7"/>
  <c r="D839" i="7"/>
  <c r="D328" i="7"/>
  <c r="D481" i="7"/>
  <c r="D683" i="7"/>
  <c r="D868" i="7"/>
  <c r="D806" i="7"/>
  <c r="D1029" i="7"/>
  <c r="D894" i="7"/>
  <c r="D1039" i="7"/>
  <c r="D520" i="7"/>
  <c r="D673" i="7"/>
  <c r="D875" i="7"/>
  <c r="D1060" i="7"/>
  <c r="D1210" i="7"/>
  <c r="D1093" i="7"/>
  <c r="D958" i="7"/>
  <c r="D1103" i="7"/>
  <c r="D584" i="7"/>
  <c r="D745" i="7"/>
  <c r="D939" i="7"/>
  <c r="D1124" i="7"/>
  <c r="D1175" i="7"/>
  <c r="D107" i="7"/>
  <c r="D330" i="7"/>
  <c r="D1158" i="7"/>
  <c r="D984" i="7"/>
  <c r="D792" i="7"/>
  <c r="D961" i="7"/>
  <c r="D1147" i="7"/>
  <c r="D1058" i="7"/>
  <c r="D690" i="7"/>
  <c r="D171" i="7"/>
  <c r="D166" i="7"/>
  <c r="D1222" i="7"/>
  <c r="D1112" i="7"/>
  <c r="D872" i="7"/>
  <c r="D1025" i="7"/>
  <c r="D1211" i="7"/>
  <c r="D69" i="7"/>
  <c r="D1066" i="7"/>
  <c r="D363" i="7"/>
  <c r="D189" i="7"/>
  <c r="D358" i="7"/>
  <c r="D103" i="7"/>
  <c r="D322" i="7"/>
  <c r="D1240" i="7"/>
  <c r="D114" i="7"/>
  <c r="D548" i="7"/>
  <c r="D525" i="7"/>
  <c r="D353" i="7"/>
  <c r="D427" i="7"/>
  <c r="D373" i="7"/>
  <c r="D422" i="7"/>
  <c r="D287" i="7"/>
  <c r="D72" i="7"/>
  <c r="D122" i="7"/>
  <c r="D378" i="7"/>
  <c r="D612" i="7"/>
  <c r="D669" i="7"/>
  <c r="D897" i="7"/>
  <c r="D123" i="7"/>
  <c r="D379" i="7"/>
  <c r="D308" i="7"/>
  <c r="D245" i="7"/>
  <c r="D757" i="7"/>
  <c r="D1045" i="7"/>
  <c r="D118" i="7"/>
  <c r="D374" i="7"/>
  <c r="D630" i="7"/>
  <c r="D910" i="7"/>
  <c r="D1174" i="7"/>
  <c r="D159" i="7"/>
  <c r="D783" i="7"/>
  <c r="D1055" i="7"/>
  <c r="D1016" i="7"/>
  <c r="D24" i="7"/>
  <c r="D280" i="7"/>
  <c r="D536" i="7"/>
  <c r="D808" i="7"/>
  <c r="D1272" i="7"/>
  <c r="D425" i="7"/>
  <c r="D689" i="7"/>
  <c r="D977" i="7"/>
  <c r="D178" i="7"/>
  <c r="D635" i="7"/>
  <c r="D891" i="7"/>
  <c r="D1163" i="7"/>
  <c r="D564" i="7"/>
  <c r="D820" i="7"/>
  <c r="D1076" i="7"/>
  <c r="D1154" i="7"/>
  <c r="D573" i="7"/>
  <c r="D1090" i="7"/>
  <c r="D599" i="7"/>
  <c r="D778" i="7"/>
  <c r="D100" i="7"/>
  <c r="D92" i="7"/>
  <c r="D84" i="7"/>
  <c r="D76" i="7"/>
  <c r="D68" i="7"/>
  <c r="D60" i="7"/>
  <c r="D52" i="7"/>
  <c r="D44" i="7"/>
  <c r="D36" i="7"/>
  <c r="D28" i="7"/>
  <c r="D110" i="7"/>
  <c r="D102" i="7"/>
  <c r="D94" i="7"/>
  <c r="D86" i="7"/>
  <c r="D78" i="7"/>
  <c r="D70" i="7"/>
  <c r="D62" i="7"/>
  <c r="D54" i="7"/>
  <c r="D46" i="7"/>
  <c r="D38" i="7"/>
  <c r="D30" i="7"/>
  <c r="D22" i="7"/>
  <c r="D471" i="7"/>
  <c r="D391" i="7"/>
  <c r="D119" i="7"/>
  <c r="D87" i="7"/>
  <c r="D439" i="7"/>
  <c r="D567" i="7"/>
  <c r="D519" i="7"/>
  <c r="D463" i="7"/>
  <c r="D183" i="7"/>
  <c r="D151" i="7"/>
  <c r="D79" i="7"/>
  <c r="D47" i="7"/>
  <c r="D703" i="7"/>
  <c r="D541" i="7"/>
  <c r="D335" i="7"/>
  <c r="D199" i="7"/>
  <c r="D133" i="7"/>
  <c r="D559" i="7"/>
  <c r="D247" i="7"/>
  <c r="D215" i="7"/>
  <c r="D143" i="7"/>
  <c r="D111" i="7"/>
  <c r="D776" i="7"/>
  <c r="D591" i="7"/>
  <c r="D407" i="7"/>
  <c r="D269" i="7"/>
  <c r="D97" i="7"/>
  <c r="D503" i="7"/>
  <c r="D455" i="7"/>
  <c r="D311" i="7"/>
  <c r="D279" i="7"/>
  <c r="D207" i="7"/>
  <c r="D175" i="7"/>
  <c r="D71" i="7"/>
  <c r="D1111" i="7"/>
  <c r="D303" i="7"/>
  <c r="D65" i="7"/>
  <c r="D551" i="7"/>
  <c r="D495" i="7"/>
  <c r="D375" i="7"/>
  <c r="D343" i="7"/>
  <c r="D271" i="7"/>
  <c r="D239" i="7"/>
  <c r="D135" i="7"/>
  <c r="D849" i="7"/>
  <c r="D647" i="7"/>
  <c r="D493" i="7"/>
  <c r="D369" i="7"/>
  <c r="D237" i="7"/>
  <c r="D165" i="7"/>
  <c r="D29" i="7"/>
  <c r="D535" i="7"/>
  <c r="D487" i="7"/>
  <c r="D399" i="7"/>
  <c r="D367" i="7"/>
  <c r="D263" i="7"/>
  <c r="D1054" i="7"/>
  <c r="D904" i="7"/>
  <c r="D831" i="7"/>
  <c r="D758" i="7"/>
  <c r="D685" i="7"/>
  <c r="D631" i="7"/>
  <c r="D583" i="7"/>
  <c r="D527" i="7"/>
  <c r="D477" i="7"/>
  <c r="D431" i="7"/>
  <c r="D397" i="7"/>
  <c r="D365" i="7"/>
  <c r="D327" i="7"/>
  <c r="D293" i="7"/>
  <c r="D261" i="7"/>
  <c r="D225" i="7"/>
  <c r="D193" i="7"/>
  <c r="D157" i="7"/>
  <c r="D121" i="7"/>
  <c r="D89" i="7"/>
  <c r="D55" i="7"/>
  <c r="D23" i="7"/>
  <c r="D1234" i="7"/>
  <c r="D858" i="7"/>
  <c r="D554" i="7"/>
  <c r="D769" i="7"/>
  <c r="D345" i="7"/>
  <c r="D217" i="7"/>
  <c r="D49" i="7"/>
  <c r="D1018" i="7"/>
  <c r="D626" i="7"/>
  <c r="D1202" i="7"/>
  <c r="D722" i="7"/>
  <c r="D679" i="7"/>
  <c r="D1162" i="7"/>
  <c r="D826" i="7"/>
  <c r="D498" i="7"/>
  <c r="D963" i="7"/>
  <c r="D962" i="7"/>
  <c r="D658" i="7"/>
  <c r="D402" i="7"/>
  <c r="D653" i="7"/>
  <c r="D509" i="7"/>
  <c r="D349" i="7"/>
  <c r="D197" i="7"/>
  <c r="D45" i="7"/>
  <c r="D1010" i="7"/>
  <c r="D1244" i="7"/>
  <c r="D1180" i="7"/>
  <c r="D1116" i="7"/>
  <c r="D1052" i="7"/>
  <c r="D988" i="7"/>
  <c r="D924" i="7"/>
  <c r="D860" i="7"/>
  <c r="D796" i="7"/>
  <c r="D732" i="7"/>
  <c r="D668" i="7"/>
  <c r="D604" i="7"/>
  <c r="D540" i="7"/>
  <c r="D476" i="7"/>
  <c r="D1267" i="7"/>
  <c r="D1203" i="7"/>
  <c r="D1139" i="7"/>
  <c r="D1075" i="7"/>
  <c r="D1011" i="7"/>
  <c r="D931" i="7"/>
  <c r="D867" i="7"/>
  <c r="D803" i="7"/>
  <c r="D739" i="7"/>
  <c r="D675" i="7"/>
  <c r="D611" i="7"/>
  <c r="D547" i="7"/>
  <c r="D483" i="7"/>
  <c r="D346" i="7"/>
  <c r="D82" i="7"/>
  <c r="D1153" i="7"/>
  <c r="D1081" i="7"/>
  <c r="D1017" i="7"/>
  <c r="D953" i="7"/>
  <c r="D881" i="7"/>
  <c r="D809" i="7"/>
  <c r="D737" i="7"/>
  <c r="D665" i="7"/>
  <c r="D601" i="7"/>
  <c r="D537" i="7"/>
  <c r="D473" i="7"/>
  <c r="D361" i="7"/>
  <c r="D201" i="7"/>
  <c r="D394" i="7"/>
  <c r="D90" i="7"/>
  <c r="D1216" i="7"/>
  <c r="D1088" i="7"/>
  <c r="D960" i="7"/>
  <c r="D864" i="7"/>
  <c r="D784" i="7"/>
  <c r="D712" i="7"/>
  <c r="D640" i="7"/>
  <c r="D576" i="7"/>
  <c r="D512" i="7"/>
  <c r="D448" i="7"/>
  <c r="D384" i="7"/>
  <c r="D320" i="7"/>
  <c r="D256" i="7"/>
  <c r="D192" i="7"/>
  <c r="D128" i="7"/>
  <c r="D64" i="7"/>
  <c r="D290" i="7"/>
  <c r="D1249" i="7"/>
  <c r="D1224" i="7"/>
  <c r="D1096" i="7"/>
  <c r="D968" i="7"/>
  <c r="D1247" i="7"/>
  <c r="D1167" i="7"/>
  <c r="D1095" i="7"/>
  <c r="D1031" i="7"/>
  <c r="D967" i="7"/>
  <c r="D903" i="7"/>
  <c r="D823" i="7"/>
  <c r="D759" i="7"/>
  <c r="D671" i="7"/>
  <c r="D423" i="7"/>
  <c r="D255" i="7"/>
  <c r="D95" i="7"/>
  <c r="D226" i="7"/>
  <c r="D1241" i="7"/>
  <c r="D1214" i="7"/>
  <c r="D1150" i="7"/>
  <c r="D1086" i="7"/>
  <c r="D1014" i="7"/>
  <c r="D950" i="7"/>
  <c r="D878" i="7"/>
  <c r="D814" i="7"/>
  <c r="D734" i="7"/>
  <c r="D670" i="7"/>
  <c r="D606" i="7"/>
  <c r="D542" i="7"/>
  <c r="D478" i="7"/>
  <c r="D414" i="7"/>
  <c r="D350" i="7"/>
  <c r="D286" i="7"/>
  <c r="D222" i="7"/>
  <c r="D158" i="7"/>
  <c r="D282" i="7"/>
  <c r="D1221" i="7"/>
  <c r="D1157" i="7"/>
  <c r="D1085" i="7"/>
  <c r="D1021" i="7"/>
  <c r="D941" i="7"/>
  <c r="D877" i="7"/>
  <c r="D797" i="7"/>
  <c r="D725" i="7"/>
  <c r="D629" i="7"/>
  <c r="D501" i="7"/>
  <c r="D341" i="7"/>
  <c r="D181" i="7"/>
  <c r="D412" i="7"/>
  <c r="D348" i="7"/>
  <c r="D284" i="7"/>
  <c r="D220" i="7"/>
  <c r="D156" i="7"/>
  <c r="D419" i="7"/>
  <c r="D355" i="7"/>
  <c r="D291" i="7"/>
  <c r="D227" i="7"/>
  <c r="D163" i="7"/>
  <c r="D99" i="7"/>
  <c r="D35" i="7"/>
  <c r="D1186" i="7"/>
  <c r="D810" i="7"/>
  <c r="D522" i="7"/>
  <c r="D721" i="7"/>
  <c r="D313" i="7"/>
  <c r="D185" i="7"/>
  <c r="D33" i="7"/>
  <c r="D954" i="7"/>
  <c r="D578" i="7"/>
  <c r="D1138" i="7"/>
  <c r="D682" i="7"/>
  <c r="D663" i="7"/>
  <c r="D1146" i="7"/>
  <c r="D794" i="7"/>
  <c r="D474" i="7"/>
  <c r="D922" i="7"/>
  <c r="D610" i="7"/>
  <c r="D1101" i="7"/>
  <c r="D637" i="7"/>
  <c r="D461" i="7"/>
  <c r="D333" i="7"/>
  <c r="D173" i="7"/>
  <c r="D37" i="7"/>
  <c r="D970" i="7"/>
  <c r="D1236" i="7"/>
  <c r="D1172" i="7"/>
  <c r="D1108" i="7"/>
  <c r="D1044" i="7"/>
  <c r="D980" i="7"/>
  <c r="D916" i="7"/>
  <c r="D852" i="7"/>
  <c r="D788" i="7"/>
  <c r="D724" i="7"/>
  <c r="D660" i="7"/>
  <c r="D596" i="7"/>
  <c r="D532" i="7"/>
  <c r="D468" i="7"/>
  <c r="D1259" i="7"/>
  <c r="D1195" i="7"/>
  <c r="D1131" i="7"/>
  <c r="D1067" i="7"/>
  <c r="D1003" i="7"/>
  <c r="D923" i="7"/>
  <c r="D859" i="7"/>
  <c r="D795" i="7"/>
  <c r="D731" i="7"/>
  <c r="D667" i="7"/>
  <c r="D603" i="7"/>
  <c r="D539" i="7"/>
  <c r="D475" i="7"/>
  <c r="D298" i="7"/>
  <c r="D66" i="7"/>
  <c r="D1145" i="7"/>
  <c r="D1073" i="7"/>
  <c r="D1009" i="7"/>
  <c r="D945" i="7"/>
  <c r="D873" i="7"/>
  <c r="D801" i="7"/>
  <c r="D729" i="7"/>
  <c r="D657" i="7"/>
  <c r="D593" i="7"/>
  <c r="D529" i="7"/>
  <c r="D465" i="7"/>
  <c r="D337" i="7"/>
  <c r="D169" i="7"/>
  <c r="D354" i="7"/>
  <c r="D50" i="7"/>
  <c r="D1200" i="7"/>
  <c r="D1072" i="7"/>
  <c r="D944" i="7"/>
  <c r="D848" i="7"/>
  <c r="D768" i="7"/>
  <c r="D704" i="7"/>
  <c r="D632" i="7"/>
  <c r="D568" i="7"/>
  <c r="D504" i="7"/>
  <c r="D440" i="7"/>
  <c r="D376" i="7"/>
  <c r="D312" i="7"/>
  <c r="D248" i="7"/>
  <c r="D184" i="7"/>
  <c r="D120" i="7"/>
  <c r="D56" i="7"/>
  <c r="D250" i="7"/>
  <c r="D1217" i="7"/>
  <c r="D1208" i="7"/>
  <c r="D1080" i="7"/>
  <c r="D952" i="7"/>
  <c r="D1231" i="7"/>
  <c r="D1159" i="7"/>
  <c r="D1087" i="7"/>
  <c r="D1023" i="7"/>
  <c r="D959" i="7"/>
  <c r="D895" i="7"/>
  <c r="D815" i="7"/>
  <c r="D743" i="7"/>
  <c r="D639" i="7"/>
  <c r="D415" i="7"/>
  <c r="D231" i="7"/>
  <c r="D63" i="7"/>
  <c r="D202" i="7"/>
  <c r="D1270" i="7"/>
  <c r="D1206" i="7"/>
  <c r="D1142" i="7"/>
  <c r="D1078" i="7"/>
  <c r="D1006" i="7"/>
  <c r="D942" i="7"/>
  <c r="D870" i="7"/>
  <c r="D798" i="7"/>
  <c r="D726" i="7"/>
  <c r="D662" i="7"/>
  <c r="D598" i="7"/>
  <c r="D534" i="7"/>
  <c r="D470" i="7"/>
  <c r="D406" i="7"/>
  <c r="D342" i="7"/>
  <c r="D278" i="7"/>
  <c r="D214" i="7"/>
  <c r="D150" i="7"/>
  <c r="D162" i="7"/>
  <c r="D1213" i="7"/>
  <c r="D1149" i="7"/>
  <c r="D1077" i="7"/>
  <c r="D1013" i="7"/>
  <c r="D933" i="7"/>
  <c r="D869" i="7"/>
  <c r="D789" i="7"/>
  <c r="D717" i="7"/>
  <c r="D613" i="7"/>
  <c r="D485" i="7"/>
  <c r="D317" i="7"/>
  <c r="D149" i="7"/>
  <c r="D404" i="7"/>
  <c r="D340" i="7"/>
  <c r="D276" i="7"/>
  <c r="D212" i="7"/>
  <c r="D148" i="7"/>
  <c r="D411" i="7"/>
  <c r="D347" i="7"/>
  <c r="D283" i="7"/>
  <c r="D219" i="7"/>
  <c r="D155" i="7"/>
  <c r="D91" i="7"/>
  <c r="D27" i="7"/>
  <c r="D1122" i="7"/>
  <c r="D762" i="7"/>
  <c r="D490" i="7"/>
  <c r="D433" i="7"/>
  <c r="D305" i="7"/>
  <c r="D177" i="7"/>
  <c r="D25" i="7"/>
  <c r="D906" i="7"/>
  <c r="D530" i="7"/>
  <c r="D1074" i="7"/>
  <c r="D642" i="7"/>
  <c r="D655" i="7"/>
  <c r="D1098" i="7"/>
  <c r="D754" i="7"/>
  <c r="D426" i="7"/>
  <c r="D1226" i="7"/>
  <c r="D890" i="7"/>
  <c r="D570" i="7"/>
  <c r="D1005" i="7"/>
  <c r="D621" i="7"/>
  <c r="D445" i="7"/>
  <c r="D325" i="7"/>
  <c r="D141" i="7"/>
  <c r="D1258" i="7"/>
  <c r="D914" i="7"/>
  <c r="D1228" i="7"/>
  <c r="D1164" i="7"/>
  <c r="D1100" i="7"/>
  <c r="D1036" i="7"/>
  <c r="D972" i="7"/>
  <c r="D908" i="7"/>
  <c r="D844" i="7"/>
  <c r="D780" i="7"/>
  <c r="D716" i="7"/>
  <c r="D652" i="7"/>
  <c r="D588" i="7"/>
  <c r="D524" i="7"/>
  <c r="D460" i="7"/>
  <c r="D1251" i="7"/>
  <c r="D1187" i="7"/>
  <c r="D1123" i="7"/>
  <c r="D1059" i="7"/>
  <c r="D995" i="7"/>
  <c r="D915" i="7"/>
  <c r="D851" i="7"/>
  <c r="D787" i="7"/>
  <c r="D723" i="7"/>
  <c r="D659" i="7"/>
  <c r="D595" i="7"/>
  <c r="D531" i="7"/>
  <c r="D467" i="7"/>
  <c r="D266" i="7"/>
  <c r="D42" i="7"/>
  <c r="D1129" i="7"/>
  <c r="D1065" i="7"/>
  <c r="D1001" i="7"/>
  <c r="D937" i="7"/>
  <c r="D865" i="7"/>
  <c r="D793" i="7"/>
  <c r="D713" i="7"/>
  <c r="D649" i="7"/>
  <c r="D585" i="7"/>
  <c r="D521" i="7"/>
  <c r="D457" i="7"/>
  <c r="D329" i="7"/>
  <c r="D145" i="7"/>
  <c r="D314" i="7"/>
  <c r="D1225" i="7"/>
  <c r="D1184" i="7"/>
  <c r="D1056" i="7"/>
  <c r="D928" i="7"/>
  <c r="D840" i="7"/>
  <c r="D760" i="7"/>
  <c r="D688" i="7"/>
  <c r="D624" i="7"/>
  <c r="D560" i="7"/>
  <c r="D496" i="7"/>
  <c r="D432" i="7"/>
  <c r="D368" i="7"/>
  <c r="D304" i="7"/>
  <c r="D240" i="7"/>
  <c r="D176" i="7"/>
  <c r="D112" i="7"/>
  <c r="D48" i="7"/>
  <c r="D218" i="7"/>
  <c r="D1201" i="7"/>
  <c r="D1192" i="7"/>
  <c r="D1064" i="7"/>
  <c r="D936" i="7"/>
  <c r="D1223" i="7"/>
  <c r="D1151" i="7"/>
  <c r="D1079" i="7"/>
  <c r="D1015" i="7"/>
  <c r="D951" i="7"/>
  <c r="D887" i="7"/>
  <c r="D807" i="7"/>
  <c r="D735" i="7"/>
  <c r="D607" i="7"/>
  <c r="D383" i="7"/>
  <c r="D223" i="7"/>
  <c r="D39" i="7"/>
  <c r="D170" i="7"/>
  <c r="D1262" i="7"/>
  <c r="D1198" i="7"/>
  <c r="D1134" i="7"/>
  <c r="D1070" i="7"/>
  <c r="D998" i="7"/>
  <c r="D934" i="7"/>
  <c r="D862" i="7"/>
  <c r="D790" i="7"/>
  <c r="D718" i="7"/>
  <c r="D654" i="7"/>
  <c r="D590" i="7"/>
  <c r="D526" i="7"/>
  <c r="D462" i="7"/>
  <c r="D398" i="7"/>
  <c r="D334" i="7"/>
  <c r="D270" i="7"/>
  <c r="D206" i="7"/>
  <c r="D142" i="7"/>
  <c r="D1269" i="7"/>
  <c r="D1205" i="7"/>
  <c r="D1141" i="7"/>
  <c r="D1069" i="7"/>
  <c r="D989" i="7"/>
  <c r="D925" i="7"/>
  <c r="D853" i="7"/>
  <c r="D781" i="7"/>
  <c r="D709" i="7"/>
  <c r="D597" i="7"/>
  <c r="D469" i="7"/>
  <c r="D309" i="7"/>
  <c r="D125" i="7"/>
  <c r="D396" i="7"/>
  <c r="D332" i="7"/>
  <c r="D268" i="7"/>
  <c r="D204" i="7"/>
  <c r="D140" i="7"/>
  <c r="D403" i="7"/>
  <c r="D339" i="7"/>
  <c r="D275" i="7"/>
  <c r="D211" i="7"/>
  <c r="D147" i="7"/>
  <c r="D83" i="7"/>
  <c r="D1082" i="7"/>
  <c r="D730" i="7"/>
  <c r="D466" i="7"/>
  <c r="D417" i="7"/>
  <c r="D289" i="7"/>
  <c r="D161" i="7"/>
  <c r="D955" i="7"/>
  <c r="D866" i="7"/>
  <c r="D450" i="7"/>
  <c r="D1002" i="7"/>
  <c r="D602" i="7"/>
  <c r="D623" i="7"/>
  <c r="D1050" i="7"/>
  <c r="D714" i="7"/>
  <c r="D1239" i="7"/>
  <c r="D1178" i="7"/>
  <c r="D850" i="7"/>
  <c r="D546" i="7"/>
  <c r="D997" i="7"/>
  <c r="D605" i="7"/>
  <c r="D429" i="7"/>
  <c r="D301" i="7"/>
  <c r="D109" i="7"/>
  <c r="D1218" i="7"/>
  <c r="D842" i="7"/>
  <c r="D1220" i="7"/>
  <c r="D1156" i="7"/>
  <c r="D1092" i="7"/>
  <c r="D1028" i="7"/>
  <c r="D964" i="7"/>
  <c r="D900" i="7"/>
  <c r="D836" i="7"/>
  <c r="D772" i="7"/>
  <c r="D708" i="7"/>
  <c r="D644" i="7"/>
  <c r="D580" i="7"/>
  <c r="D516" i="7"/>
  <c r="D452" i="7"/>
  <c r="D1243" i="7"/>
  <c r="D1179" i="7"/>
  <c r="D1115" i="7"/>
  <c r="D1051" i="7"/>
  <c r="D987" i="7"/>
  <c r="D907" i="7"/>
  <c r="D843" i="7"/>
  <c r="D779" i="7"/>
  <c r="D715" i="7"/>
  <c r="D651" i="7"/>
  <c r="D587" i="7"/>
  <c r="D523" i="7"/>
  <c r="D459" i="7"/>
  <c r="D234" i="7"/>
  <c r="D1265" i="7"/>
  <c r="D1121" i="7"/>
  <c r="D1057" i="7"/>
  <c r="D993" i="7"/>
  <c r="D929" i="7"/>
  <c r="D857" i="7"/>
  <c r="D785" i="7"/>
  <c r="D705" i="7"/>
  <c r="D641" i="7"/>
  <c r="D577" i="7"/>
  <c r="D513" i="7"/>
  <c r="D449" i="7"/>
  <c r="D297" i="7"/>
  <c r="D137" i="7"/>
  <c r="D274" i="7"/>
  <c r="D1193" i="7"/>
  <c r="D1168" i="7"/>
  <c r="D1040" i="7"/>
  <c r="D912" i="7"/>
  <c r="D832" i="7"/>
  <c r="D752" i="7"/>
  <c r="D680" i="7"/>
  <c r="D616" i="7"/>
  <c r="D552" i="7"/>
  <c r="D488" i="7"/>
  <c r="D424" i="7"/>
  <c r="D360" i="7"/>
  <c r="D296" i="7"/>
  <c r="D232" i="7"/>
  <c r="D168" i="7"/>
  <c r="D104" i="7"/>
  <c r="D40" i="7"/>
  <c r="D186" i="7"/>
  <c r="D1177" i="7"/>
  <c r="D1176" i="7"/>
  <c r="D1048" i="7"/>
  <c r="D920" i="7"/>
  <c r="D1215" i="7"/>
  <c r="D1143" i="7"/>
  <c r="D1071" i="7"/>
  <c r="D1007" i="7"/>
  <c r="D943" i="7"/>
  <c r="D871" i="7"/>
  <c r="D799" i="7"/>
  <c r="D727" i="7"/>
  <c r="D575" i="7"/>
  <c r="D359" i="7"/>
  <c r="D191" i="7"/>
  <c r="D31" i="7"/>
  <c r="D130" i="7"/>
  <c r="D1254" i="7"/>
  <c r="D1190" i="7"/>
  <c r="D1126" i="7"/>
  <c r="D1062" i="7"/>
  <c r="D990" i="7"/>
  <c r="D926" i="7"/>
  <c r="D854" i="7"/>
  <c r="D782" i="7"/>
  <c r="D710" i="7"/>
  <c r="D646" i="7"/>
  <c r="D582" i="7"/>
  <c r="D518" i="7"/>
  <c r="D454" i="7"/>
  <c r="D390" i="7"/>
  <c r="D326" i="7"/>
  <c r="D262" i="7"/>
  <c r="D198" i="7"/>
  <c r="D134" i="7"/>
  <c r="D1261" i="7"/>
  <c r="D1197" i="7"/>
  <c r="D1133" i="7"/>
  <c r="D1061" i="7"/>
  <c r="D981" i="7"/>
  <c r="D917" i="7"/>
  <c r="D845" i="7"/>
  <c r="D773" i="7"/>
  <c r="D701" i="7"/>
  <c r="D581" i="7"/>
  <c r="D453" i="7"/>
  <c r="D277" i="7"/>
  <c r="D117" i="7"/>
  <c r="D388" i="7"/>
  <c r="D324" i="7"/>
  <c r="D260" i="7"/>
  <c r="D196" i="7"/>
  <c r="D132" i="7"/>
  <c r="D395" i="7"/>
  <c r="D331" i="7"/>
  <c r="D267" i="7"/>
  <c r="D203" i="7"/>
  <c r="D139" i="7"/>
  <c r="D1034" i="7"/>
  <c r="D698" i="7"/>
  <c r="D442" i="7"/>
  <c r="D409" i="7"/>
  <c r="D281" i="7"/>
  <c r="D153" i="7"/>
  <c r="D1242" i="7"/>
  <c r="D818" i="7"/>
  <c r="D321" i="7"/>
  <c r="D946" i="7"/>
  <c r="D562" i="7"/>
  <c r="D615" i="7"/>
  <c r="D1026" i="7"/>
  <c r="D674" i="7"/>
  <c r="D879" i="7"/>
  <c r="D1130" i="7"/>
  <c r="D802" i="7"/>
  <c r="D514" i="7"/>
  <c r="D861" i="7"/>
  <c r="D589" i="7"/>
  <c r="D421" i="7"/>
  <c r="D285" i="7"/>
  <c r="D101" i="7"/>
  <c r="D1170" i="7"/>
  <c r="D666" i="7"/>
  <c r="D1212" i="7"/>
  <c r="D1148" i="7"/>
  <c r="D1084" i="7"/>
  <c r="D1020" i="7"/>
  <c r="D956" i="7"/>
  <c r="D892" i="7"/>
  <c r="D828" i="7"/>
  <c r="D764" i="7"/>
  <c r="D700" i="7"/>
  <c r="D636" i="7"/>
  <c r="D572" i="7"/>
  <c r="D508" i="7"/>
  <c r="D444" i="7"/>
  <c r="D1235" i="7"/>
  <c r="D1171" i="7"/>
  <c r="D1107" i="7"/>
  <c r="D1043" i="7"/>
  <c r="D979" i="7"/>
  <c r="D899" i="7"/>
  <c r="D835" i="7"/>
  <c r="D771" i="7"/>
  <c r="D707" i="7"/>
  <c r="D643" i="7"/>
  <c r="D579" i="7"/>
  <c r="D515" i="7"/>
  <c r="D451" i="7"/>
  <c r="D210" i="7"/>
  <c r="D1233" i="7"/>
  <c r="D1113" i="7"/>
  <c r="D1049" i="7"/>
  <c r="D985" i="7"/>
  <c r="D921" i="7"/>
  <c r="D841" i="7"/>
  <c r="D777" i="7"/>
  <c r="D697" i="7"/>
  <c r="D633" i="7"/>
  <c r="D569" i="7"/>
  <c r="D505" i="7"/>
  <c r="D441" i="7"/>
  <c r="D273" i="7"/>
  <c r="D105" i="7"/>
  <c r="D242" i="7"/>
  <c r="D1161" i="7"/>
  <c r="D1152" i="7"/>
  <c r="D1024" i="7"/>
  <c r="D896" i="7"/>
  <c r="D816" i="7"/>
  <c r="D744" i="7"/>
  <c r="D672" i="7"/>
  <c r="D608" i="7"/>
  <c r="D544" i="7"/>
  <c r="D480" i="7"/>
  <c r="D416" i="7"/>
  <c r="D352" i="7"/>
  <c r="D288" i="7"/>
  <c r="D224" i="7"/>
  <c r="D160" i="7"/>
  <c r="D96" i="7"/>
  <c r="D32" i="7"/>
  <c r="D138" i="7"/>
  <c r="D1137" i="7"/>
  <c r="D1160" i="7"/>
  <c r="D1032" i="7"/>
  <c r="D856" i="7"/>
  <c r="D1207" i="7"/>
  <c r="D1135" i="7"/>
  <c r="D1063" i="7"/>
  <c r="D999" i="7"/>
  <c r="D935" i="7"/>
  <c r="D863" i="7"/>
  <c r="D791" i="7"/>
  <c r="D719" i="7"/>
  <c r="D543" i="7"/>
  <c r="D351" i="7"/>
  <c r="D167" i="7"/>
  <c r="D370" i="7"/>
  <c r="D98" i="7"/>
  <c r="D1246" i="7"/>
  <c r="D1182" i="7"/>
  <c r="D1118" i="7"/>
  <c r="D1046" i="7"/>
  <c r="D982" i="7"/>
  <c r="D918" i="7"/>
  <c r="D846" i="7"/>
  <c r="D774" i="7"/>
  <c r="D702" i="7"/>
  <c r="D638" i="7"/>
  <c r="D574" i="7"/>
  <c r="D510" i="7"/>
  <c r="D446" i="7"/>
  <c r="D382" i="7"/>
  <c r="D318" i="7"/>
  <c r="D254" i="7"/>
  <c r="D190" i="7"/>
  <c r="D126" i="7"/>
  <c r="D1253" i="7"/>
  <c r="D1189" i="7"/>
  <c r="D1125" i="7"/>
  <c r="D1053" i="7"/>
  <c r="D973" i="7"/>
  <c r="D909" i="7"/>
  <c r="D837" i="7"/>
  <c r="D765" i="7"/>
  <c r="D693" i="7"/>
  <c r="D565" i="7"/>
  <c r="D437" i="7"/>
  <c r="D253" i="7"/>
  <c r="D85" i="7"/>
  <c r="D380" i="7"/>
  <c r="D316" i="7"/>
  <c r="D252" i="7"/>
  <c r="D188" i="7"/>
  <c r="D124" i="7"/>
  <c r="D387" i="7"/>
  <c r="D323" i="7"/>
  <c r="D259" i="7"/>
  <c r="D195" i="7"/>
  <c r="D131" i="7"/>
  <c r="D67" i="7"/>
  <c r="D938" i="7"/>
  <c r="D618" i="7"/>
  <c r="D1257" i="7"/>
  <c r="D377" i="7"/>
  <c r="D249" i="7"/>
  <c r="D113" i="7"/>
  <c r="D1114" i="7"/>
  <c r="D738" i="7"/>
  <c r="D696" i="7"/>
  <c r="D834" i="7"/>
  <c r="D418" i="7"/>
  <c r="D1250" i="7"/>
  <c r="D930" i="7"/>
  <c r="D594" i="7"/>
  <c r="D886" i="7"/>
  <c r="D1042" i="7"/>
  <c r="D746" i="7"/>
  <c r="D458" i="7"/>
  <c r="D733" i="7"/>
  <c r="D557" i="7"/>
  <c r="D389" i="7"/>
  <c r="D221" i="7"/>
  <c r="D77" i="7"/>
  <c r="D1106" i="7"/>
  <c r="D1260" i="7"/>
  <c r="D1196" i="7"/>
  <c r="D1132" i="7"/>
  <c r="D1068" i="7"/>
  <c r="D1004" i="7"/>
  <c r="D940" i="7"/>
  <c r="D876" i="7"/>
  <c r="D812" i="7"/>
  <c r="D748" i="7"/>
  <c r="D684" i="7"/>
  <c r="D620" i="7"/>
  <c r="D556" i="7"/>
  <c r="D492" i="7"/>
  <c r="D428" i="7"/>
  <c r="D1219" i="7"/>
  <c r="D1155" i="7"/>
  <c r="D1091" i="7"/>
  <c r="D1027" i="7"/>
  <c r="D947" i="7"/>
  <c r="D883" i="7"/>
  <c r="D819" i="7"/>
  <c r="D755" i="7"/>
  <c r="D691" i="7"/>
  <c r="D627" i="7"/>
  <c r="D563" i="7"/>
  <c r="D499" i="7"/>
  <c r="D435" i="7"/>
  <c r="D146" i="7"/>
  <c r="D1185" i="7"/>
  <c r="D1097" i="7"/>
  <c r="D1033" i="7"/>
  <c r="D969" i="7"/>
  <c r="D905" i="7"/>
  <c r="D825" i="7"/>
  <c r="D753" i="7"/>
  <c r="D681" i="7"/>
  <c r="D617" i="7"/>
  <c r="D553" i="7"/>
  <c r="D489" i="7"/>
  <c r="D401" i="7"/>
  <c r="D233" i="7"/>
  <c r="D73" i="7"/>
  <c r="D154" i="7"/>
  <c r="D1256" i="7"/>
  <c r="D1120" i="7"/>
  <c r="D992" i="7"/>
  <c r="D880" i="7"/>
  <c r="D800" i="7"/>
  <c r="D728" i="7"/>
  <c r="D656" i="7"/>
  <c r="D592" i="7"/>
  <c r="D528" i="7"/>
  <c r="D464" i="7"/>
  <c r="D400" i="7"/>
  <c r="D336" i="7"/>
  <c r="D272" i="7"/>
  <c r="D208" i="7"/>
  <c r="D144" i="7"/>
  <c r="D80" i="7"/>
  <c r="D362" i="7"/>
  <c r="D74" i="7"/>
  <c r="D1248" i="7"/>
  <c r="D1128" i="7"/>
  <c r="D1000" i="7"/>
  <c r="D1263" i="7"/>
  <c r="D1191" i="7"/>
  <c r="D1119" i="7"/>
  <c r="D1047" i="7"/>
  <c r="D983" i="7"/>
  <c r="D919" i="7"/>
  <c r="D847" i="7"/>
  <c r="D775" i="7"/>
  <c r="D695" i="7"/>
  <c r="D479" i="7"/>
  <c r="D295" i="7"/>
  <c r="D127" i="7"/>
  <c r="D306" i="7"/>
  <c r="D26" i="7"/>
  <c r="D1230" i="7"/>
  <c r="D1166" i="7"/>
  <c r="D1102" i="7"/>
  <c r="D1030" i="7"/>
  <c r="D966" i="7"/>
  <c r="D902" i="7"/>
  <c r="D830" i="7"/>
  <c r="D750" i="7"/>
  <c r="D686" i="7"/>
  <c r="D622" i="7"/>
  <c r="D558" i="7"/>
  <c r="D494" i="7"/>
  <c r="D430" i="7"/>
  <c r="D366" i="7"/>
  <c r="D302" i="7"/>
  <c r="D238" i="7"/>
  <c r="D174" i="7"/>
  <c r="D386" i="7"/>
  <c r="D1237" i="7"/>
  <c r="D1173" i="7"/>
  <c r="D1109" i="7"/>
  <c r="D1037" i="7"/>
  <c r="D957" i="7"/>
  <c r="D893" i="7"/>
  <c r="D821" i="7"/>
  <c r="D749" i="7"/>
  <c r="D661" i="7"/>
  <c r="D533" i="7"/>
  <c r="D381" i="7"/>
  <c r="D213" i="7"/>
  <c r="D53" i="7"/>
  <c r="D364" i="7"/>
  <c r="D300" i="7"/>
  <c r="D236" i="7"/>
  <c r="D172" i="7"/>
  <c r="D108" i="7"/>
  <c r="D371" i="7"/>
  <c r="D307" i="7"/>
  <c r="D243" i="7"/>
  <c r="D179" i="7"/>
  <c r="D115" i="7"/>
  <c r="D51" i="7"/>
  <c r="D187" i="7"/>
  <c r="D116" i="7"/>
  <c r="D372" i="7"/>
  <c r="D405" i="7"/>
  <c r="D829" i="7"/>
  <c r="D1117" i="7"/>
  <c r="D182" i="7"/>
  <c r="D438" i="7"/>
  <c r="D694" i="7"/>
  <c r="D974" i="7"/>
  <c r="D1238" i="7"/>
  <c r="D319" i="7"/>
  <c r="D855" i="7"/>
  <c r="D1127" i="7"/>
  <c r="D1144" i="7"/>
  <c r="D88" i="7"/>
  <c r="D344" i="7"/>
  <c r="D600" i="7"/>
  <c r="D888" i="7"/>
  <c r="D194" i="7"/>
  <c r="D497" i="7"/>
  <c r="D761" i="7"/>
  <c r="D1041" i="7"/>
  <c r="D443" i="7"/>
  <c r="D699" i="7"/>
  <c r="D971" i="7"/>
  <c r="D1227" i="7"/>
  <c r="D628" i="7"/>
  <c r="D884" i="7"/>
  <c r="D1140" i="7"/>
  <c r="D93" i="7"/>
  <c r="D813" i="7"/>
  <c r="D751" i="7"/>
  <c r="D506" i="7"/>
  <c r="D1194" i="7"/>
  <c r="D410" i="7"/>
  <c r="D235" i="7"/>
  <c r="D164" i="7"/>
  <c r="D517" i="7"/>
  <c r="D885" i="7"/>
  <c r="D1165" i="7"/>
  <c r="D230" i="7"/>
  <c r="D486" i="7"/>
  <c r="D742" i="7"/>
  <c r="D1022" i="7"/>
  <c r="D1273" i="7"/>
  <c r="D447" i="7"/>
  <c r="D911" i="7"/>
  <c r="D1183" i="7"/>
  <c r="D1232" i="7"/>
  <c r="D136" i="7"/>
  <c r="D392" i="7"/>
  <c r="D648" i="7"/>
  <c r="D976" i="7"/>
  <c r="D41" i="7"/>
  <c r="D545" i="7"/>
  <c r="D817" i="7"/>
  <c r="D1089" i="7"/>
  <c r="D491" i="7"/>
  <c r="D747" i="7"/>
  <c r="D1019" i="7"/>
  <c r="D420" i="7"/>
  <c r="D676" i="7"/>
  <c r="D932" i="7"/>
  <c r="D1188" i="7"/>
  <c r="D205" i="7"/>
  <c r="D434" i="7"/>
  <c r="D538" i="7"/>
  <c r="D786" i="7"/>
  <c r="D57" i="7"/>
  <c r="D586" i="7"/>
  <c r="D43" i="7"/>
  <c r="D251" i="7"/>
  <c r="D180" i="7"/>
  <c r="D549" i="7"/>
  <c r="D901" i="7"/>
  <c r="D1181" i="7"/>
  <c r="D246" i="7"/>
  <c r="D502" i="7"/>
  <c r="D766" i="7"/>
  <c r="D1038" i="7"/>
  <c r="D58" i="7"/>
  <c r="D511" i="7"/>
  <c r="D927" i="7"/>
  <c r="D1199" i="7"/>
  <c r="D1264" i="7"/>
  <c r="D152" i="7"/>
  <c r="D408" i="7"/>
  <c r="D664" i="7"/>
  <c r="D1008" i="7"/>
  <c r="D81" i="7"/>
  <c r="D561" i="7"/>
  <c r="D833" i="7"/>
  <c r="D1105" i="7"/>
  <c r="D507" i="7"/>
  <c r="D763" i="7"/>
  <c r="D1035" i="7"/>
  <c r="D436" i="7"/>
  <c r="D692" i="7"/>
  <c r="D948" i="7"/>
  <c r="D1204" i="7"/>
  <c r="D229" i="7"/>
  <c r="D482" i="7"/>
  <c r="D634" i="7"/>
  <c r="D882" i="7"/>
  <c r="D129" i="7"/>
  <c r="D650" i="7"/>
  <c r="D59" i="7"/>
  <c r="D299" i="7"/>
  <c r="D228" i="7"/>
  <c r="D645" i="7"/>
  <c r="D949" i="7"/>
  <c r="D1229" i="7"/>
  <c r="D294" i="7"/>
  <c r="D550" i="7"/>
  <c r="D822" i="7"/>
  <c r="D1094" i="7"/>
  <c r="D258" i="7"/>
  <c r="D687" i="7"/>
  <c r="D975" i="7"/>
  <c r="D1255" i="7"/>
  <c r="D34" i="7"/>
  <c r="D200" i="7"/>
  <c r="D456" i="7"/>
  <c r="D720" i="7"/>
  <c r="D1104" i="7"/>
  <c r="D209" i="7"/>
  <c r="D609" i="7"/>
  <c r="D889" i="7"/>
  <c r="D1169" i="7"/>
  <c r="D555" i="7"/>
  <c r="D811" i="7"/>
  <c r="D1083" i="7"/>
  <c r="D484" i="7"/>
  <c r="D740" i="7"/>
  <c r="D996" i="7"/>
  <c r="D1252" i="7"/>
  <c r="D357" i="7"/>
  <c r="D706" i="7"/>
  <c r="D874" i="7"/>
  <c r="D1266" i="7"/>
  <c r="D241" i="7"/>
  <c r="D898" i="7"/>
  <c r="D75" i="7"/>
  <c r="D315" i="7"/>
  <c r="D244" i="7"/>
  <c r="D61" i="7"/>
  <c r="D677" i="7"/>
  <c r="D965" i="7"/>
  <c r="D1245" i="7"/>
  <c r="D310" i="7"/>
  <c r="D566" i="7"/>
  <c r="D838" i="7"/>
  <c r="D1110" i="7"/>
  <c r="D338" i="7"/>
  <c r="D711" i="7"/>
  <c r="D991" i="7"/>
  <c r="D1271" i="7"/>
  <c r="D106" i="7"/>
  <c r="D216" i="7"/>
  <c r="D472" i="7"/>
  <c r="D736" i="7"/>
  <c r="D1136" i="7"/>
  <c r="D265" i="7"/>
  <c r="D625" i="7"/>
  <c r="D913" i="7"/>
  <c r="D1209" i="7"/>
  <c r="D571" i="7"/>
  <c r="D827" i="7"/>
  <c r="D1099" i="7"/>
  <c r="D500" i="7"/>
  <c r="D756" i="7"/>
  <c r="D1012" i="7"/>
  <c r="D1268" i="7"/>
  <c r="D413" i="7"/>
  <c r="D770" i="7"/>
  <c r="D978" i="7"/>
  <c r="D824" i="7"/>
  <c r="D257" i="7"/>
  <c r="D986" i="7"/>
  <c r="V1277" i="7" l="1"/>
  <c r="G20" i="8"/>
  <c r="G21" i="8"/>
  <c r="J1278" i="7"/>
  <c r="Q25" i="7"/>
  <c r="O1280" i="7"/>
  <c r="V1276" i="7" s="1"/>
  <c r="Y1276" i="7" s="1"/>
  <c r="C1277" i="7"/>
  <c r="J1279" i="7" l="1"/>
  <c r="J1280" i="7" s="1"/>
  <c r="O1281" i="7"/>
  <c r="S1279" i="7" s="1"/>
  <c r="C1278" i="7" l="1"/>
  <c r="C1280" i="7" s="1"/>
  <c r="F12" i="5"/>
  <c r="M34" i="3" s="1"/>
  <c r="P31" i="6"/>
  <c r="P34" i="6" s="1"/>
  <c r="L34" i="3"/>
  <c r="E12" i="5"/>
  <c r="O34" i="6"/>
  <c r="O31" i="6"/>
  <c r="D12" i="5"/>
  <c r="K34" i="3" s="1"/>
  <c r="N31" i="6"/>
  <c r="N34" i="6" s="1"/>
  <c r="J9" i="3" l="1"/>
  <c r="K9" i="3" s="1"/>
  <c r="L9" i="3" s="1"/>
  <c r="M9" i="3" s="1"/>
  <c r="J38" i="3"/>
  <c r="K38" i="3" s="1"/>
  <c r="L38" i="3" s="1"/>
  <c r="M38" i="3" s="1"/>
  <c r="D40" i="9" s="1"/>
  <c r="D56" i="9" s="1"/>
  <c r="J35" i="3"/>
  <c r="K35" i="3" s="1"/>
  <c r="L35" i="3" s="1"/>
  <c r="M35" i="3" s="1"/>
  <c r="J29" i="3"/>
  <c r="K29" i="3" s="1"/>
  <c r="L29" i="3" s="1"/>
  <c r="M29" i="3" s="1"/>
  <c r="J28" i="3"/>
  <c r="K28" i="3" s="1"/>
  <c r="L28" i="3" s="1"/>
  <c r="M28" i="3" s="1"/>
  <c r="B11" i="5"/>
  <c r="J47" i="3"/>
  <c r="K47" i="3" s="1"/>
  <c r="L47" i="3" s="1"/>
  <c r="M47" i="3" s="1"/>
  <c r="J45" i="3"/>
  <c r="K45" i="3" s="1"/>
  <c r="L45" i="3" s="1"/>
  <c r="M45" i="3" s="1"/>
  <c r="C12" i="5"/>
  <c r="J34" i="3" s="1"/>
  <c r="K37" i="6"/>
  <c r="M31" i="6"/>
  <c r="M34" i="6" s="1"/>
  <c r="J33" i="3"/>
  <c r="K33" i="3" s="1"/>
  <c r="L33" i="3" s="1"/>
  <c r="M33" i="3" s="1"/>
  <c r="J30" i="3"/>
  <c r="K30" i="3" s="1"/>
  <c r="L30" i="3" s="1"/>
  <c r="M30" i="3" s="1"/>
  <c r="J23" i="3"/>
  <c r="K23" i="3" s="1"/>
  <c r="L23" i="3" s="1"/>
  <c r="M23" i="3" s="1"/>
  <c r="J22" i="3"/>
  <c r="K22" i="3" s="1"/>
  <c r="L22" i="3" s="1"/>
  <c r="M22" i="3" s="1"/>
  <c r="J20" i="3"/>
  <c r="K20" i="3" s="1"/>
  <c r="L20" i="3" s="1"/>
  <c r="M20" i="3" s="1"/>
  <c r="J18" i="3"/>
  <c r="K18" i="3" s="1"/>
  <c r="L18" i="3" s="1"/>
  <c r="M18" i="3" s="1"/>
  <c r="J17" i="3"/>
  <c r="K17" i="3" s="1"/>
  <c r="L17" i="3" s="1"/>
  <c r="M17" i="3" s="1"/>
  <c r="J16" i="3"/>
  <c r="K16" i="3" s="1"/>
  <c r="L16" i="3" s="1"/>
  <c r="M16" i="3" s="1"/>
  <c r="J15" i="3"/>
  <c r="K15" i="3" s="1"/>
  <c r="L15" i="3" s="1"/>
  <c r="M15" i="3" s="1"/>
  <c r="J12" i="3"/>
  <c r="K12" i="3" s="1"/>
  <c r="L12" i="3" s="1"/>
  <c r="M12" i="3" s="1"/>
  <c r="J10" i="3"/>
  <c r="K10" i="3" s="1"/>
  <c r="L10" i="3" s="1"/>
  <c r="M10" i="3" s="1"/>
  <c r="K31" i="6"/>
  <c r="K34" i="6" s="1"/>
  <c r="B4" i="5"/>
  <c r="H34" i="3"/>
  <c r="G54" i="3"/>
  <c r="F54" i="3"/>
  <c r="F55" i="3" s="1"/>
  <c r="E54" i="3"/>
  <c r="E55" i="3" s="1"/>
  <c r="D54" i="3"/>
  <c r="D55" i="3" s="1"/>
  <c r="C54" i="3"/>
  <c r="C55" i="3" s="1"/>
  <c r="B54" i="3"/>
  <c r="B55" i="3" s="1"/>
  <c r="G62" i="3"/>
  <c r="F62" i="3"/>
  <c r="F63" i="3" s="1"/>
  <c r="E62" i="3"/>
  <c r="E63" i="3" s="1"/>
  <c r="D62" i="3"/>
  <c r="D63" i="3" s="1"/>
  <c r="C62" i="3"/>
  <c r="C63" i="3" s="1"/>
  <c r="B62" i="3"/>
  <c r="B63" i="3" s="1"/>
  <c r="D19" i="5"/>
  <c r="D18" i="5"/>
  <c r="D17" i="5"/>
  <c r="C22" i="5"/>
  <c r="B22" i="5"/>
  <c r="D16" i="5" s="1"/>
  <c r="D20" i="5" l="1"/>
  <c r="B13" i="5"/>
  <c r="H15" i="13"/>
  <c r="D21" i="5"/>
  <c r="D22" i="5"/>
  <c r="D15" i="5"/>
  <c r="D24" i="5" s="1"/>
  <c r="B26" i="5" s="1"/>
  <c r="P18" i="2" s="1"/>
  <c r="H63" i="3"/>
  <c r="I55" i="3"/>
  <c r="B6" i="5"/>
  <c r="G46" i="3"/>
  <c r="G48" i="3" s="1"/>
  <c r="G32" i="3"/>
  <c r="G37" i="3" s="1"/>
  <c r="G14" i="3"/>
  <c r="G24" i="3" s="1"/>
  <c r="F46" i="3"/>
  <c r="F48" i="3" s="1"/>
  <c r="J30" i="2"/>
  <c r="J28" i="2"/>
  <c r="F28" i="2"/>
  <c r="D28" i="2"/>
  <c r="C28" i="2"/>
  <c r="G49" i="3" l="1"/>
  <c r="G50" i="3" s="1"/>
  <c r="J25" i="2"/>
  <c r="D25" i="2"/>
  <c r="C25" i="2"/>
  <c r="H36" i="3"/>
  <c r="C4" i="5" s="1"/>
  <c r="I22" i="2"/>
  <c r="N20" i="2"/>
  <c r="N26" i="2" s="1"/>
  <c r="G15" i="13" s="1"/>
  <c r="M20" i="2"/>
  <c r="L20" i="2"/>
  <c r="J23" i="2"/>
  <c r="H20" i="2"/>
  <c r="G20" i="2"/>
  <c r="F20" i="2"/>
  <c r="D20" i="2"/>
  <c r="D62" i="2" s="1"/>
  <c r="H23" i="2" l="1"/>
  <c r="G23" i="2"/>
  <c r="F23" i="2"/>
  <c r="D23" i="2"/>
  <c r="F64" i="6" l="1"/>
  <c r="E64" i="6"/>
  <c r="D64" i="6"/>
  <c r="F51" i="6"/>
  <c r="E51" i="6"/>
  <c r="F50" i="6"/>
  <c r="E50" i="6"/>
  <c r="F36" i="6"/>
  <c r="E36" i="6"/>
  <c r="J18" i="4"/>
  <c r="L19" i="4"/>
  <c r="M19" i="4" s="1"/>
  <c r="N19" i="4" s="1"/>
  <c r="H25" i="4"/>
  <c r="J4" i="4"/>
  <c r="F20" i="4"/>
  <c r="F18" i="4"/>
  <c r="F6" i="4"/>
  <c r="F13" i="4" s="1"/>
  <c r="E6" i="4"/>
  <c r="E13" i="4" s="1"/>
  <c r="F4" i="4"/>
  <c r="E21" i="4"/>
  <c r="D21" i="4"/>
  <c r="D20" i="4" s="1"/>
  <c r="D25" i="4" s="1"/>
  <c r="E18" i="4"/>
  <c r="D18" i="4"/>
  <c r="E4" i="4"/>
  <c r="B21" i="4"/>
  <c r="C21" i="4"/>
  <c r="D6" i="4"/>
  <c r="D13" i="4" s="1"/>
  <c r="D4" i="4"/>
  <c r="C4" i="4"/>
  <c r="C6" i="4"/>
  <c r="C13" i="4" s="1"/>
  <c r="J13" i="4" s="1"/>
  <c r="J65" i="2"/>
  <c r="J60" i="2"/>
  <c r="H60" i="2"/>
  <c r="G60" i="2"/>
  <c r="F60" i="2"/>
  <c r="E60" i="2"/>
  <c r="D60" i="2"/>
  <c r="C60" i="2"/>
  <c r="L70" i="2" s="1"/>
  <c r="J58" i="2"/>
  <c r="H58" i="2"/>
  <c r="G58" i="2"/>
  <c r="F58" i="2"/>
  <c r="E58" i="2"/>
  <c r="D58" i="2"/>
  <c r="C58" i="2"/>
  <c r="H62" i="2"/>
  <c r="G62" i="2"/>
  <c r="F62" i="2"/>
  <c r="K13" i="4" l="1"/>
  <c r="L13" i="4" s="1"/>
  <c r="M13" i="4" s="1"/>
  <c r="N13" i="4" s="1"/>
  <c r="C20" i="4"/>
  <c r="C19" i="4" s="1"/>
  <c r="E5" i="4"/>
  <c r="D19" i="4"/>
  <c r="H11" i="4"/>
  <c r="F19" i="4"/>
  <c r="H13" i="4"/>
  <c r="C11" i="4"/>
  <c r="C5" i="4"/>
  <c r="F5" i="4"/>
  <c r="D5" i="4"/>
  <c r="F11" i="4"/>
  <c r="B20" i="4"/>
  <c r="B19" i="4" s="1"/>
  <c r="D11" i="4"/>
  <c r="E11" i="4"/>
  <c r="E20" i="4"/>
  <c r="E19" i="4" s="1"/>
  <c r="F25" i="4"/>
  <c r="B25" i="4" l="1"/>
  <c r="I11" i="4"/>
  <c r="C25" i="4"/>
  <c r="E25" i="4"/>
  <c r="J11" i="4" l="1"/>
  <c r="K11" i="4" s="1"/>
  <c r="L11" i="4" s="1"/>
  <c r="M11" i="4" s="1"/>
  <c r="N11" i="4" s="1"/>
  <c r="I25" i="4"/>
  <c r="J25" i="4" s="1"/>
  <c r="K25" i="4" s="1"/>
  <c r="L25" i="4" s="1"/>
  <c r="M25" i="4" s="1"/>
  <c r="N25" i="4" s="1"/>
  <c r="N5" i="2" l="1"/>
  <c r="E65" i="2"/>
  <c r="D65" i="2"/>
  <c r="C65" i="2"/>
  <c r="Q64" i="2" s="1"/>
  <c r="J62" i="2"/>
  <c r="I33" i="2"/>
  <c r="I32" i="2"/>
  <c r="I27" i="2"/>
  <c r="J29" i="2" s="1"/>
  <c r="I24" i="2"/>
  <c r="I19" i="2"/>
  <c r="H16" i="2"/>
  <c r="G16" i="2"/>
  <c r="F16" i="2"/>
  <c r="I14" i="2"/>
  <c r="I12" i="2"/>
  <c r="I11" i="2"/>
  <c r="I10" i="2"/>
  <c r="I9" i="2"/>
  <c r="I8" i="2"/>
  <c r="I7" i="2"/>
  <c r="L66" i="2"/>
  <c r="I62" i="2" l="1"/>
  <c r="I20" i="2"/>
  <c r="I23" i="2" s="1"/>
  <c r="L74" i="2"/>
  <c r="I13" i="2"/>
  <c r="P74" i="2" l="1"/>
  <c r="Q74" i="2" s="1"/>
  <c r="R74" i="2" s="1"/>
  <c r="S74" i="2" s="1"/>
  <c r="T74" i="2" s="1"/>
  <c r="I61" i="2"/>
  <c r="R64" i="2"/>
  <c r="M28" i="1"/>
  <c r="Q6" i="1" s="1"/>
  <c r="L28" i="1"/>
  <c r="K28" i="1"/>
  <c r="I28" i="1"/>
  <c r="H28" i="1"/>
  <c r="G28" i="1"/>
  <c r="H29" i="1" s="1"/>
  <c r="M21" i="1"/>
  <c r="K21" i="1"/>
  <c r="L21" i="1"/>
  <c r="M17" i="1"/>
  <c r="K17" i="1"/>
  <c r="M13" i="1"/>
  <c r="L13" i="1"/>
  <c r="K13" i="1"/>
  <c r="J12" i="1"/>
  <c r="J13" i="1" s="1"/>
  <c r="J16" i="1"/>
  <c r="J20" i="1"/>
  <c r="J24" i="1"/>
  <c r="B64" i="6"/>
  <c r="C62" i="6"/>
  <c r="C64" i="6" s="1"/>
  <c r="D51" i="6"/>
  <c r="C51" i="6"/>
  <c r="D36" i="6"/>
  <c r="C36" i="6"/>
  <c r="B51" i="6"/>
  <c r="B36" i="6"/>
  <c r="F32" i="3"/>
  <c r="F37" i="3" s="1"/>
  <c r="F49" i="3" s="1"/>
  <c r="F50" i="3" s="1"/>
  <c r="F14" i="3"/>
  <c r="F24" i="3" s="1"/>
  <c r="E46" i="3"/>
  <c r="E48" i="3" s="1"/>
  <c r="E32" i="3"/>
  <c r="E37" i="3" s="1"/>
  <c r="E14" i="3"/>
  <c r="E24" i="3" s="1"/>
  <c r="E50" i="3" s="1"/>
  <c r="D46" i="3"/>
  <c r="D48" i="3" s="1"/>
  <c r="D32" i="3"/>
  <c r="D37" i="3" s="1"/>
  <c r="D14" i="3"/>
  <c r="D24" i="3" s="1"/>
  <c r="D50" i="3" s="1"/>
  <c r="N29" i="2"/>
  <c r="M29" i="2"/>
  <c r="L29" i="2"/>
  <c r="N28" i="2"/>
  <c r="B50" i="3"/>
  <c r="E30" i="2"/>
  <c r="D30" i="2"/>
  <c r="C30" i="2"/>
  <c r="E29" i="2"/>
  <c r="E5" i="2"/>
  <c r="D29" i="2"/>
  <c r="C29" i="2"/>
  <c r="D16" i="2"/>
  <c r="C16" i="2"/>
  <c r="D15" i="2"/>
  <c r="C15" i="2"/>
  <c r="M5" i="2"/>
  <c r="L5" i="2"/>
  <c r="D5" i="2"/>
  <c r="C5" i="2"/>
  <c r="I4" i="2"/>
  <c r="I56" i="2" s="1"/>
  <c r="F13" i="2"/>
  <c r="F55" i="2" s="1"/>
  <c r="F31" i="2"/>
  <c r="F34" i="2"/>
  <c r="I34" i="2" s="1"/>
  <c r="F42" i="2"/>
  <c r="Q7" i="1" l="1"/>
  <c r="I29" i="1"/>
  <c r="Q8" i="1"/>
  <c r="J28" i="1"/>
  <c r="J29" i="1" s="1"/>
  <c r="I55" i="2"/>
  <c r="I54" i="2"/>
  <c r="S64" i="2"/>
  <c r="I58" i="2"/>
  <c r="I16" i="2"/>
  <c r="C46" i="3"/>
  <c r="C48" i="3" s="1"/>
  <c r="B46" i="3"/>
  <c r="B48" i="3" s="1"/>
  <c r="C32" i="3"/>
  <c r="C37" i="3" s="1"/>
  <c r="C24" i="3"/>
  <c r="C50" i="3" s="1"/>
  <c r="N30" i="2"/>
  <c r="H26" i="2"/>
  <c r="H13" i="2"/>
  <c r="H55" i="2" s="1"/>
  <c r="M13" i="2"/>
  <c r="M55" i="2" s="1"/>
  <c r="G31" i="2"/>
  <c r="G13" i="2"/>
  <c r="G55" i="2" s="1"/>
  <c r="L30" i="2"/>
  <c r="C42" i="2"/>
  <c r="C34" i="2"/>
  <c r="C19" i="2"/>
  <c r="C18" i="2"/>
  <c r="C20" i="2" s="1"/>
  <c r="C23" i="2" s="1"/>
  <c r="E34" i="2"/>
  <c r="E33" i="2"/>
  <c r="E31" i="2"/>
  <c r="E26" i="2"/>
  <c r="E22" i="2"/>
  <c r="E18" i="2"/>
  <c r="E14" i="2"/>
  <c r="N1" i="2"/>
  <c r="H31" i="2" l="1"/>
  <c r="H63" i="2"/>
  <c r="E28" i="2"/>
  <c r="E63" i="2"/>
  <c r="L72" i="2" s="1"/>
  <c r="E20" i="2"/>
  <c r="E62" i="2" s="1"/>
  <c r="E25" i="2"/>
  <c r="K25" i="2" s="1"/>
  <c r="T64" i="2"/>
  <c r="C62" i="2"/>
  <c r="I31" i="2"/>
  <c r="I26" i="2"/>
  <c r="I63" i="2" s="1"/>
  <c r="E16" i="2"/>
  <c r="E15" i="2"/>
  <c r="T12" i="1"/>
  <c r="F28" i="1"/>
  <c r="F29" i="1" s="1"/>
  <c r="E28" i="1"/>
  <c r="E29" i="1" s="1"/>
  <c r="D28" i="1"/>
  <c r="P71" i="2" l="1"/>
  <c r="Q71" i="2" s="1"/>
  <c r="R71" i="2" s="1"/>
  <c r="E23" i="2"/>
  <c r="P25" i="2"/>
  <c r="Q25" i="2" s="1"/>
  <c r="R25" i="2" s="1"/>
  <c r="S25" i="2" s="1"/>
  <c r="T25" i="2" s="1"/>
  <c r="T14" i="1"/>
  <c r="T13" i="1"/>
  <c r="L17" i="1"/>
  <c r="S71" i="2" l="1"/>
  <c r="O11" i="1"/>
  <c r="C24" i="1"/>
  <c r="C28" i="1" s="1"/>
  <c r="D13" i="1"/>
  <c r="T71" i="2" l="1"/>
  <c r="D29" i="1"/>
  <c r="F13" i="1"/>
  <c r="F17" i="1"/>
  <c r="E21" i="1"/>
  <c r="E17" i="1"/>
  <c r="E13" i="1"/>
  <c r="E25" i="1"/>
  <c r="F25" i="1" s="1"/>
  <c r="D25" i="1"/>
  <c r="D17" i="1"/>
  <c r="P21" i="1" l="1"/>
  <c r="P12" i="1"/>
  <c r="P3" i="2" l="1"/>
  <c r="P16" i="1"/>
  <c r="Q16" i="1" s="1"/>
  <c r="R16" i="1" s="1"/>
  <c r="S16" i="1" s="1"/>
  <c r="O28" i="1"/>
  <c r="O29" i="1" s="1"/>
  <c r="N13" i="1"/>
  <c r="O13" i="1" s="1"/>
  <c r="Q12" i="1"/>
  <c r="N21" i="1"/>
  <c r="P20" i="1"/>
  <c r="Q20" i="1" s="1"/>
  <c r="R20" i="1" s="1"/>
  <c r="S20" i="1" s="1"/>
  <c r="N17" i="1" l="1"/>
  <c r="O17" i="1" s="1"/>
  <c r="M9" i="1"/>
  <c r="Q3" i="2"/>
  <c r="R3" i="2"/>
  <c r="P19" i="2"/>
  <c r="P1" i="2"/>
  <c r="N28" i="1"/>
  <c r="O4" i="2" s="1"/>
  <c r="P4" i="2"/>
  <c r="P28" i="1"/>
  <c r="P29" i="1" s="1"/>
  <c r="R12" i="1"/>
  <c r="S3" i="2" s="1"/>
  <c r="Q28" i="1"/>
  <c r="P59" i="2" l="1"/>
  <c r="P7" i="2"/>
  <c r="P56" i="2" s="1"/>
  <c r="O55" i="2"/>
  <c r="O58" i="2"/>
  <c r="O60" i="2"/>
  <c r="O56" i="2"/>
  <c r="P60" i="2"/>
  <c r="P58" i="2"/>
  <c r="P5" i="2"/>
  <c r="O5" i="2" s="1"/>
  <c r="H62" i="3"/>
  <c r="Q4" i="2"/>
  <c r="Q9" i="2" s="1"/>
  <c r="Q19" i="2"/>
  <c r="R4" i="2"/>
  <c r="R9" i="2" s="1"/>
  <c r="R19" i="2"/>
  <c r="S19" i="2"/>
  <c r="S4" i="2"/>
  <c r="S9" i="2" s="1"/>
  <c r="Q29" i="1"/>
  <c r="S12" i="1"/>
  <c r="R28" i="1"/>
  <c r="R29" i="1" s="1"/>
  <c r="R68" i="2" l="1"/>
  <c r="S68" i="2" s="1"/>
  <c r="T68" i="2" s="1"/>
  <c r="P68" i="2"/>
  <c r="S8" i="2"/>
  <c r="S58" i="2" s="1"/>
  <c r="P55" i="2"/>
  <c r="Q55" i="2" s="1"/>
  <c r="R55" i="2" s="1"/>
  <c r="S55" i="2" s="1"/>
  <c r="T55" i="2" s="1"/>
  <c r="P70" i="2"/>
  <c r="P69" i="2"/>
  <c r="R8" i="2"/>
  <c r="R58" i="2" s="1"/>
  <c r="Q8" i="2"/>
  <c r="Q58" i="2" s="1"/>
  <c r="R5" i="2"/>
  <c r="S5" i="2"/>
  <c r="Q5" i="2"/>
  <c r="K6" i="4"/>
  <c r="K7" i="4" s="1"/>
  <c r="R11" i="2"/>
  <c r="L6" i="4"/>
  <c r="L7" i="4" s="1"/>
  <c r="L8" i="4" s="1"/>
  <c r="Q11" i="2"/>
  <c r="M6" i="4"/>
  <c r="S11" i="2"/>
  <c r="J5" i="4"/>
  <c r="K22" i="6" s="1"/>
  <c r="S28" i="1"/>
  <c r="S29" i="1" s="1"/>
  <c r="T3" i="2"/>
  <c r="G63" i="3"/>
  <c r="R69" i="2" l="1"/>
  <c r="R70" i="2"/>
  <c r="Q10" i="2"/>
  <c r="Q60" i="2" s="1"/>
  <c r="Q63" i="2"/>
  <c r="M12" i="6" s="1"/>
  <c r="K8" i="4"/>
  <c r="L4" i="4" s="1"/>
  <c r="L5" i="4" s="1"/>
  <c r="N22" i="6" s="1"/>
  <c r="K19" i="3"/>
  <c r="M4" i="4"/>
  <c r="M5" i="4" s="1"/>
  <c r="O22" i="6" s="1"/>
  <c r="K4" i="4"/>
  <c r="K5" i="4" s="1"/>
  <c r="M7" i="4"/>
  <c r="M8" i="4" s="1"/>
  <c r="T19" i="2"/>
  <c r="T4" i="2"/>
  <c r="T8" i="2"/>
  <c r="T58" i="2" s="1"/>
  <c r="C18" i="9"/>
  <c r="K24" i="6"/>
  <c r="G55" i="3"/>
  <c r="H11" i="3"/>
  <c r="J63" i="3"/>
  <c r="J22" i="4"/>
  <c r="K11" i="6" l="1"/>
  <c r="C16" i="9"/>
  <c r="T5" i="2"/>
  <c r="T9" i="2"/>
  <c r="K18" i="4"/>
  <c r="K20" i="4" s="1"/>
  <c r="K21" i="4" s="1"/>
  <c r="H21" i="3"/>
  <c r="S70" i="2"/>
  <c r="R10" i="2"/>
  <c r="R60" i="2" s="1"/>
  <c r="S69" i="2"/>
  <c r="R63" i="2"/>
  <c r="N12" i="6" s="1"/>
  <c r="J19" i="3"/>
  <c r="F18" i="9"/>
  <c r="O24" i="6"/>
  <c r="N6" i="4"/>
  <c r="T11" i="2"/>
  <c r="N4" i="4"/>
  <c r="L19" i="3"/>
  <c r="E18" i="9"/>
  <c r="N24" i="6"/>
  <c r="J55" i="3"/>
  <c r="J62" i="3"/>
  <c r="J11" i="3" s="1"/>
  <c r="M14" i="6" s="1"/>
  <c r="K63" i="3"/>
  <c r="K14" i="6"/>
  <c r="M22" i="6"/>
  <c r="H19" i="3"/>
  <c r="D16" i="9" l="1"/>
  <c r="M11" i="6"/>
  <c r="K22" i="4"/>
  <c r="T69" i="2"/>
  <c r="S63" i="2"/>
  <c r="O12" i="6" s="1"/>
  <c r="T63" i="2"/>
  <c r="P12" i="6" s="1"/>
  <c r="T70" i="2"/>
  <c r="T10" i="2" s="1"/>
  <c r="T60" i="2" s="1"/>
  <c r="S10" i="2"/>
  <c r="S60" i="2" s="1"/>
  <c r="N7" i="4"/>
  <c r="N8" i="4" s="1"/>
  <c r="M19" i="3" s="1"/>
  <c r="N5" i="4"/>
  <c r="P22" i="6" s="1"/>
  <c r="D18" i="9"/>
  <c r="M24" i="6"/>
  <c r="K55" i="3"/>
  <c r="L63" i="3"/>
  <c r="K62" i="3"/>
  <c r="K11" i="3" s="1"/>
  <c r="N14" i="6" s="1"/>
  <c r="L18" i="4" l="1"/>
  <c r="L20" i="4" s="1"/>
  <c r="L21" i="4" s="1"/>
  <c r="J21" i="3"/>
  <c r="P24" i="6"/>
  <c r="G18" i="9"/>
  <c r="M63" i="3"/>
  <c r="M62" i="3" s="1"/>
  <c r="M11" i="3" s="1"/>
  <c r="L62" i="3"/>
  <c r="L11" i="3" s="1"/>
  <c r="O14" i="6" s="1"/>
  <c r="L55" i="3"/>
  <c r="O29" i="2"/>
  <c r="O28" i="2"/>
  <c r="L22" i="4" l="1"/>
  <c r="N11" i="6"/>
  <c r="E16" i="9"/>
  <c r="M55" i="3"/>
  <c r="P14" i="6"/>
  <c r="M18" i="4" l="1"/>
  <c r="M20" i="4" s="1"/>
  <c r="K21" i="3"/>
  <c r="C11" i="5"/>
  <c r="C26" i="5"/>
  <c r="Q18" i="2" s="1"/>
  <c r="C13" i="5" l="1"/>
  <c r="J36" i="3" s="1"/>
  <c r="D4" i="5" s="1"/>
  <c r="H16" i="13"/>
  <c r="M21" i="4"/>
  <c r="G18" i="5"/>
  <c r="F16" i="9" l="1"/>
  <c r="O11" i="6"/>
  <c r="M22" i="4"/>
  <c r="D11" i="5"/>
  <c r="D26" i="5"/>
  <c r="R18" i="2" s="1"/>
  <c r="O30" i="2"/>
  <c r="D13" i="5" l="1"/>
  <c r="K36" i="3" s="1"/>
  <c r="E4" i="5" s="1"/>
  <c r="H17" i="13"/>
  <c r="N18" i="4"/>
  <c r="N20" i="4" s="1"/>
  <c r="N21" i="4" s="1"/>
  <c r="L21" i="3"/>
  <c r="W24" i="16"/>
  <c r="X24" i="16" s="1"/>
  <c r="N22" i="4" l="1"/>
  <c r="M21" i="3" s="1"/>
  <c r="P11" i="6"/>
  <c r="G16" i="9"/>
  <c r="E11" i="5"/>
  <c r="E13" i="5" s="1"/>
  <c r="L36" i="3" s="1"/>
  <c r="F4" i="5" s="1"/>
  <c r="E26" i="5"/>
  <c r="S18" i="2" s="1"/>
  <c r="Y24" i="16"/>
  <c r="F11" i="5" l="1"/>
  <c r="F26" i="5"/>
  <c r="T18" i="2" s="1"/>
  <c r="Z24" i="16"/>
  <c r="AA24" i="16" s="1"/>
  <c r="AA28" i="16" s="1"/>
  <c r="G24" i="16"/>
  <c r="D38" i="9" l="1"/>
  <c r="D54" i="9" s="1"/>
  <c r="F13" i="5"/>
  <c r="M36" i="3" s="1"/>
  <c r="P13" i="2" l="1"/>
  <c r="P14" i="2" s="1"/>
  <c r="P24" i="2" s="1"/>
  <c r="I54" i="3"/>
  <c r="H27" i="3" s="1"/>
  <c r="H32" i="3" s="1"/>
  <c r="H37" i="3" s="1"/>
  <c r="Q7" i="2"/>
  <c r="P16" i="2" l="1"/>
  <c r="K17" i="6"/>
  <c r="C17" i="9" s="1"/>
  <c r="P20" i="2"/>
  <c r="P62" i="2" s="1"/>
  <c r="Q62" i="2" s="1"/>
  <c r="R62" i="2" s="1"/>
  <c r="S62" i="2" s="1"/>
  <c r="T62" i="2" s="1"/>
  <c r="J54" i="3"/>
  <c r="J27" i="3" s="1"/>
  <c r="Q13" i="2"/>
  <c r="Q14" i="2" s="1"/>
  <c r="R7" i="2"/>
  <c r="C13" i="9" l="1"/>
  <c r="P27" i="2"/>
  <c r="P29" i="2" s="1"/>
  <c r="Q20" i="2"/>
  <c r="Q16" i="2"/>
  <c r="Q24" i="2"/>
  <c r="Q27" i="2"/>
  <c r="K54" i="3"/>
  <c r="K27" i="3" s="1"/>
  <c r="N17" i="6" s="1"/>
  <c r="E17" i="9" s="1"/>
  <c r="R13" i="2"/>
  <c r="R14" i="2" s="1"/>
  <c r="T67" i="2"/>
  <c r="T7" i="2" s="1"/>
  <c r="S7" i="2"/>
  <c r="J32" i="3"/>
  <c r="J37" i="3" s="1"/>
  <c r="M17" i="6"/>
  <c r="D17" i="9" s="1"/>
  <c r="L54" i="3" l="1"/>
  <c r="L27" i="3" s="1"/>
  <c r="O17" i="6" s="1"/>
  <c r="F17" i="9" s="1"/>
  <c r="S13" i="2"/>
  <c r="S14" i="2" s="1"/>
  <c r="R24" i="2"/>
  <c r="R20" i="2"/>
  <c r="R27" i="2"/>
  <c r="R16" i="2"/>
  <c r="M54" i="3"/>
  <c r="M27" i="3" s="1"/>
  <c r="M32" i="3" s="1"/>
  <c r="M37" i="3" s="1"/>
  <c r="T13" i="2"/>
  <c r="T14" i="2" s="1"/>
  <c r="K32" i="3"/>
  <c r="K37" i="3" s="1"/>
  <c r="D13" i="9"/>
  <c r="T16" i="2" l="1"/>
  <c r="T20" i="2"/>
  <c r="T27" i="2"/>
  <c r="T24" i="2"/>
  <c r="E13" i="9"/>
  <c r="S27" i="2"/>
  <c r="S24" i="2"/>
  <c r="S16" i="2"/>
  <c r="S20" i="2"/>
  <c r="L32" i="3"/>
  <c r="L37" i="3" s="1"/>
  <c r="P17" i="6"/>
  <c r="G17" i="9" s="1"/>
  <c r="F13" i="9" l="1"/>
  <c r="G13" i="9"/>
  <c r="D49" i="9" l="1"/>
  <c r="D50" i="9" s="1"/>
  <c r="D48" i="9"/>
  <c r="X53" i="2"/>
  <c r="Q53" i="2" s="1"/>
  <c r="C14" i="9" s="1"/>
  <c r="R53" i="2" l="1"/>
  <c r="S53" i="2" s="1"/>
  <c r="S22" i="2"/>
  <c r="S26" i="2" s="1"/>
  <c r="S28" i="2" s="1"/>
  <c r="O10" i="6" s="1"/>
  <c r="O19" i="6" s="1"/>
  <c r="T53" i="2"/>
  <c r="T22" i="2" s="1"/>
  <c r="T26" i="2" s="1"/>
  <c r="T28" i="2" s="1"/>
  <c r="P10" i="6" s="1"/>
  <c r="P19" i="6" s="1"/>
  <c r="C15" i="9"/>
  <c r="C19" i="9" s="1"/>
  <c r="C26" i="9" s="1"/>
  <c r="D14" i="9"/>
  <c r="P22" i="2"/>
  <c r="Q22" i="2"/>
  <c r="Q26" i="2" s="1"/>
  <c r="R22" i="2"/>
  <c r="R26" i="2" s="1"/>
  <c r="R28" i="2" s="1"/>
  <c r="N10" i="6" s="1"/>
  <c r="N19" i="6" s="1"/>
  <c r="N36" i="6" l="1"/>
  <c r="N28" i="6"/>
  <c r="D5" i="5" s="1"/>
  <c r="P23" i="2"/>
  <c r="W51" i="2" s="1"/>
  <c r="P26" i="2"/>
  <c r="P28" i="6"/>
  <c r="F5" i="5" s="1"/>
  <c r="P36" i="6"/>
  <c r="Q28" i="2"/>
  <c r="M10" i="6" s="1"/>
  <c r="M19" i="6" s="1"/>
  <c r="G17" i="13"/>
  <c r="D15" i="9"/>
  <c r="D19" i="9" s="1"/>
  <c r="D26" i="9" s="1"/>
  <c r="E14" i="9"/>
  <c r="O28" i="6"/>
  <c r="E5" i="5" s="1"/>
  <c r="O36" i="6"/>
  <c r="M28" i="6" l="1"/>
  <c r="C5" i="5" s="1"/>
  <c r="M36" i="6"/>
  <c r="P30" i="2"/>
  <c r="G16" i="13"/>
  <c r="P28" i="2"/>
  <c r="K10" i="6" s="1"/>
  <c r="E15" i="9"/>
  <c r="E19" i="9" s="1"/>
  <c r="E26" i="9" s="1"/>
  <c r="F14" i="9"/>
  <c r="G14" i="9" l="1"/>
  <c r="G15" i="9" s="1"/>
  <c r="G19" i="9" s="1"/>
  <c r="F15" i="9"/>
  <c r="F19" i="9" s="1"/>
  <c r="F26" i="9" s="1"/>
  <c r="H44" i="3"/>
  <c r="J44" i="3" l="1"/>
  <c r="G26" i="9"/>
  <c r="C28" i="9" s="1"/>
  <c r="D33" i="9"/>
  <c r="D34" i="9" s="1"/>
  <c r="D51" i="9" l="1"/>
  <c r="D53" i="9" s="1"/>
  <c r="D35" i="9"/>
  <c r="D37" i="9" s="1"/>
  <c r="K44" i="3"/>
  <c r="L44" i="3" l="1"/>
  <c r="M44" i="3" l="1"/>
  <c r="P63" i="2"/>
  <c r="K12" i="6" s="1"/>
  <c r="H43" i="3" l="1"/>
  <c r="K19" i="6"/>
  <c r="K28" i="6" l="1"/>
  <c r="B5" i="5" s="1"/>
  <c r="B7" i="5" s="1"/>
  <c r="B9" i="5" s="1"/>
  <c r="K36" i="6"/>
  <c r="K38" i="6" s="1"/>
  <c r="H46" i="3"/>
  <c r="H48" i="3" s="1"/>
  <c r="H49" i="3" s="1"/>
  <c r="J43" i="3"/>
  <c r="K43" i="3" l="1"/>
  <c r="J46" i="3"/>
  <c r="J48" i="3" s="1"/>
  <c r="J49" i="3" s="1"/>
  <c r="H8" i="3"/>
  <c r="J15" i="13"/>
  <c r="M15" i="13" l="1"/>
  <c r="P15" i="13" s="1"/>
  <c r="L15" i="13"/>
  <c r="O15" i="13" s="1"/>
  <c r="H14" i="3"/>
  <c r="H24" i="3" s="1"/>
  <c r="H50" i="3" s="1"/>
  <c r="M37" i="6"/>
  <c r="L43" i="3"/>
  <c r="K46" i="3"/>
  <c r="K48" i="3" s="1"/>
  <c r="K49" i="3" s="1"/>
  <c r="M38" i="6" l="1"/>
  <c r="C6" i="5"/>
  <c r="C7" i="5" s="1"/>
  <c r="C9" i="5" s="1"/>
  <c r="L46" i="3"/>
  <c r="L48" i="3" s="1"/>
  <c r="L49" i="3" s="1"/>
  <c r="M43" i="3"/>
  <c r="M46" i="3" s="1"/>
  <c r="M48" i="3" s="1"/>
  <c r="M49" i="3" s="1"/>
  <c r="J8" i="3" l="1"/>
  <c r="J16" i="13"/>
  <c r="M16" i="13" l="1"/>
  <c r="P16" i="13" s="1"/>
  <c r="L16" i="13"/>
  <c r="O16" i="13" s="1"/>
  <c r="J14" i="3"/>
  <c r="J24" i="3" s="1"/>
  <c r="J50" i="3" s="1"/>
  <c r="N37" i="6"/>
  <c r="D6" i="5" l="1"/>
  <c r="D7" i="5" s="1"/>
  <c r="D9" i="5" s="1"/>
  <c r="N38" i="6"/>
  <c r="J17" i="13" l="1"/>
  <c r="K8" i="3"/>
  <c r="L17" i="13" l="1"/>
  <c r="O17" i="13" s="1"/>
  <c r="O19" i="13" s="1"/>
  <c r="M17" i="13"/>
  <c r="P17" i="13" s="1"/>
  <c r="P19" i="13" s="1"/>
  <c r="O37" i="6"/>
  <c r="K14" i="3"/>
  <c r="K24" i="3" s="1"/>
  <c r="K50" i="3" s="1"/>
  <c r="E6" i="5" l="1"/>
  <c r="E7" i="5" s="1"/>
  <c r="E9" i="5" s="1"/>
  <c r="O38" i="6"/>
  <c r="L8" i="3" s="1"/>
  <c r="L14" i="3" l="1"/>
  <c r="L24" i="3" s="1"/>
  <c r="L50" i="3" s="1"/>
  <c r="P37" i="6"/>
  <c r="P38" i="6" l="1"/>
  <c r="F6" i="5"/>
  <c r="F7" i="5" s="1"/>
  <c r="F9" i="5" s="1"/>
  <c r="D39" i="9" l="1"/>
  <c r="M8" i="3"/>
  <c r="M14" i="3" s="1"/>
  <c r="M24" i="3" s="1"/>
  <c r="M50" i="3" s="1"/>
  <c r="D41" i="9" l="1"/>
  <c r="D43" i="9" s="1"/>
  <c r="I33" i="9" s="1"/>
  <c r="D55" i="9"/>
  <c r="D57" i="9" s="1"/>
  <c r="D59" i="9" s="1"/>
  <c r="I48" i="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Shashank</author>
  </authors>
  <commentList>
    <comment ref="A8" authorId="0" shapeId="0" xr:uid="{2897D784-3B0E-4D19-B63B-CF40E2AF0831}">
      <text>
        <r>
          <rPr>
            <sz val="11"/>
            <color theme="1"/>
            <rFont val="Calibri"/>
            <family val="2"/>
            <scheme val="minor"/>
          </rPr>
          <t>10 K 23
Pg:91</t>
        </r>
      </text>
    </comment>
    <comment ref="B8" authorId="1" shapeId="0" xr:uid="{952E905C-98AB-446C-AFE4-9EBBCD9A4DD7}">
      <text>
        <r>
          <rPr>
            <sz val="9"/>
            <color indexed="81"/>
            <rFont val="Tahoma"/>
            <family val="2"/>
          </rPr>
          <t xml:space="preserve">Current Portion of Long term debt Pg 111, 10K 2024
</t>
        </r>
      </text>
    </comment>
    <comment ref="F12" authorId="1" shapeId="0" xr:uid="{692E109B-DE62-42E7-82E5-1089A99E2AD4}">
      <text>
        <r>
          <rPr>
            <sz val="9"/>
            <color indexed="81"/>
            <rFont val="Tahoma"/>
            <family val="2"/>
          </rPr>
          <t xml:space="preserve">No Information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Shashank</author>
  </authors>
  <commentList>
    <comment ref="B4" authorId="0" shapeId="0" xr:uid="{8B639701-7E14-40E7-B317-C12DDA1BCC43}">
      <text>
        <r>
          <rPr>
            <sz val="9"/>
            <color indexed="81"/>
            <rFont val="Tahoma"/>
            <family val="2"/>
          </rPr>
          <t xml:space="preserve">2020 , 10 K page 108
</t>
        </r>
      </text>
    </comment>
    <comment ref="D4" authorId="0" shapeId="0" xr:uid="{14B0A3D2-FFCC-4E9C-B01C-B6F3E72E4137}">
      <text>
        <r>
          <rPr>
            <b/>
            <sz val="9"/>
            <color indexed="81"/>
            <rFont val="Tahoma"/>
            <family val="2"/>
          </rPr>
          <t xml:space="preserve">Page 115 10K 2021
</t>
        </r>
      </text>
    </comment>
    <comment ref="E4" authorId="0" shapeId="0" xr:uid="{B23F93CE-53DF-41E7-B6BE-BE343B8DAC45}">
      <text>
        <r>
          <rPr>
            <b/>
            <sz val="9"/>
            <color indexed="81"/>
            <rFont val="Tahoma"/>
            <family val="2"/>
          </rPr>
          <t xml:space="preserve">103 Pagw 10K 2022, as Dec 2021
</t>
        </r>
      </text>
    </comment>
    <comment ref="D7" authorId="0" shapeId="0" xr:uid="{0220BD7E-AA6B-46F5-9BEE-D3BE2E86704D}">
      <text>
        <r>
          <rPr>
            <sz val="9"/>
            <color indexed="81"/>
            <rFont val="Tahoma"/>
            <family val="2"/>
          </rPr>
          <t xml:space="preserve">10K 31, Dec  2023 Page 101 information on Dep of 2021, 2022, 2023
</t>
        </r>
      </text>
    </comment>
    <comment ref="B8" authorId="0" shapeId="0" xr:uid="{463F1DA0-AB29-4B63-B0EC-6C9EC8C80D66}">
      <text>
        <r>
          <rPr>
            <b/>
            <sz val="9"/>
            <color indexed="81"/>
            <rFont val="Tahoma"/>
            <family val="2"/>
          </rPr>
          <t xml:space="preserve">Page 115, 10K 2020
</t>
        </r>
      </text>
    </comment>
    <comment ref="E8" authorId="0" shapeId="0" xr:uid="{05F4B48F-C06D-451D-B4A6-47D3DF515640}">
      <text>
        <r>
          <rPr>
            <sz val="9"/>
            <color indexed="81"/>
            <rFont val="Tahoma"/>
            <family val="2"/>
          </rPr>
          <t xml:space="preserve">PPE notes to Financial statements Page 101 Dec 2023 10K , 2022 and 2023 are Provided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Shashank</author>
  </authors>
  <commentList>
    <comment ref="J6" authorId="0" shapeId="0" xr:uid="{61DB8191-B0B0-4F1F-B1CC-0D590CBE0D18}">
      <text>
        <r>
          <rPr>
            <b/>
            <sz val="9"/>
            <color indexed="81"/>
            <rFont val="Tahoma"/>
            <family val="2"/>
          </rPr>
          <t>Shashank:</t>
        </r>
        <r>
          <rPr>
            <sz val="9"/>
            <color indexed="81"/>
            <rFont val="Tahoma"/>
            <family val="2"/>
          </rPr>
          <t xml:space="preserve">
risk free rate + Damodaran synthetic rate , S&amp;P website article dated 16 Aug 2024 has rated BB+ credit rating
</t>
        </r>
      </text>
    </comment>
    <comment ref="D36" authorId="0" shapeId="0" xr:uid="{6D76D72B-FFFE-4252-B0E8-0DD1F61064D5}">
      <text>
        <r>
          <rPr>
            <b/>
            <sz val="9"/>
            <color indexed="81"/>
            <rFont val="Tahoma"/>
            <family val="2"/>
          </rPr>
          <t xml:space="preserve">INVESTING.COM
</t>
        </r>
      </text>
    </comment>
    <comment ref="E36" authorId="0" shapeId="0" xr:uid="{C3A1F80B-8456-4991-910E-7CE32B029F4F}">
      <text>
        <r>
          <rPr>
            <b/>
            <sz val="9"/>
            <color indexed="81"/>
            <rFont val="Tahoma"/>
            <family val="2"/>
          </rPr>
          <t xml:space="preserve">10Q, Q3
,2024, PAGE 9
</t>
        </r>
      </text>
    </comment>
    <comment ref="G36" authorId="0" shapeId="0" xr:uid="{FD1E48B5-67B1-4CA8-8AF8-0484F23D6ABA}">
      <text>
        <r>
          <rPr>
            <b/>
            <sz val="9"/>
            <color indexed="81"/>
            <rFont val="Tahoma"/>
            <family val="2"/>
          </rPr>
          <t>Shashank:</t>
        </r>
        <r>
          <rPr>
            <sz val="9"/>
            <color indexed="81"/>
            <rFont val="Tahoma"/>
            <family val="2"/>
          </rPr>
          <t xml:space="preserve">
https://kpmg.com/sg/en/home/services/tax/tax-tools-and-resources/tax-rates-online/corporate-tax-rates-table.html , check for us its 27%</t>
        </r>
      </text>
    </comment>
    <comment ref="C37" authorId="0" shapeId="0" xr:uid="{07919069-3B19-49C3-8579-DDAF6931FF19}">
      <text>
        <r>
          <rPr>
            <sz val="9"/>
            <color indexed="81"/>
            <rFont val="Tahoma"/>
            <family val="2"/>
          </rPr>
          <t xml:space="preserve">10Q 2023, SEP 30 ,PAGE
</t>
        </r>
      </text>
    </comment>
    <comment ref="E37" authorId="0" shapeId="0" xr:uid="{44BBE4E9-9247-4D73-B6FD-5BFABCB38496}">
      <text>
        <r>
          <rPr>
            <b/>
            <sz val="9"/>
            <color indexed="81"/>
            <rFont val="Tahoma"/>
            <family val="2"/>
          </rPr>
          <t xml:space="preserve">10Q , Q3, 2024, PAGE 9
</t>
        </r>
      </text>
    </comment>
    <comment ref="C38" authorId="0" shapeId="0" xr:uid="{F9BBB990-B503-44B6-99C9-9526EA8BAC37}">
      <text>
        <r>
          <rPr>
            <sz val="9"/>
            <color indexed="81"/>
            <rFont val="Tahoma"/>
            <family val="2"/>
          </rPr>
          <t xml:space="preserve">10Q,2023, SEP30,PAGE4
</t>
        </r>
      </text>
    </comment>
    <comment ref="E38" authorId="0" shapeId="0" xr:uid="{5ECC5F8B-6884-4B0A-8E05-C43A34A6C43A}">
      <text>
        <r>
          <rPr>
            <b/>
            <sz val="9"/>
            <color indexed="81"/>
            <rFont val="Tahoma"/>
            <family val="2"/>
          </rPr>
          <t xml:space="preserve">10Q,Q3, PAGE 09 2022
</t>
        </r>
      </text>
    </comment>
    <comment ref="C43" authorId="0" shapeId="0" xr:uid="{26AB42CB-58BB-4F14-BB51-286FF7ECFCF8}">
      <text>
        <r>
          <rPr>
            <sz val="9"/>
            <color indexed="81"/>
            <rFont val="Tahoma"/>
            <family val="2"/>
          </rPr>
          <t>NOTES +NET OF  LONG CURRENT PORTION  
10Q, PAGE 4 SEP 30</t>
        </r>
      </text>
    </comment>
    <comment ref="D43" authorId="0" shapeId="0" xr:uid="{03FAFAA3-E958-4950-92EC-B5B6E91FE5FE}">
      <text>
        <r>
          <rPr>
            <b/>
            <sz val="9"/>
            <color indexed="81"/>
            <rFont val="Tahoma"/>
            <family val="2"/>
          </rPr>
          <t xml:space="preserve">from Google finance
</t>
        </r>
      </text>
    </comment>
    <comment ref="E43" authorId="0" shapeId="0" xr:uid="{BF541C83-D6AB-4971-9752-9CE280D863AA}">
      <text>
        <r>
          <rPr>
            <b/>
            <sz val="9"/>
            <color indexed="81"/>
            <rFont val="Tahoma"/>
            <family val="2"/>
          </rPr>
          <t>Shashank:</t>
        </r>
        <r>
          <rPr>
            <sz val="9"/>
            <color indexed="81"/>
            <rFont val="Tahoma"/>
            <family val="2"/>
          </rPr>
          <t xml:space="preserve">
Page 5 , Q 3, 2024</t>
        </r>
      </text>
    </comment>
    <comment ref="E44" authorId="0" shapeId="0" xr:uid="{1ECF536D-61DE-48D6-94F6-9F5765428D62}">
      <text>
        <r>
          <rPr>
            <b/>
            <sz val="9"/>
            <color indexed="81"/>
            <rFont val="Tahoma"/>
            <family val="2"/>
          </rPr>
          <t>Shashank:</t>
        </r>
        <r>
          <rPr>
            <sz val="9"/>
            <color indexed="81"/>
            <rFont val="Tahoma"/>
            <family val="2"/>
          </rPr>
          <t xml:space="preserve">
Page 04, Q3, sep 2023</t>
        </r>
      </text>
    </comment>
    <comment ref="C45" authorId="0" shapeId="0" xr:uid="{9B45070E-B083-4285-9B73-3674688AB2E8}">
      <text>
        <r>
          <rPr>
            <b/>
            <sz val="9"/>
            <color indexed="81"/>
            <rFont val="Tahoma"/>
            <family val="2"/>
          </rPr>
          <t>Shashank:</t>
        </r>
        <r>
          <rPr>
            <sz val="9"/>
            <color indexed="81"/>
            <rFont val="Tahoma"/>
            <family val="2"/>
          </rPr>
          <t xml:space="preserve">
Page 3 , 10Q3 2023</t>
        </r>
      </text>
    </comment>
    <comment ref="C48" authorId="0" shapeId="0" xr:uid="{8CBF3F71-8A29-4E30-9193-BFCACB5D5D12}">
      <text>
        <r>
          <rPr>
            <b/>
            <sz val="9"/>
            <color indexed="81"/>
            <rFont val="Tahoma"/>
            <family val="2"/>
          </rPr>
          <t>Shashank:</t>
        </r>
        <r>
          <rPr>
            <sz val="9"/>
            <color indexed="81"/>
            <rFont val="Tahoma"/>
            <family val="2"/>
          </rPr>
          <t xml:space="preserve">
Page 8, 10Q 2024 Q3
</t>
        </r>
      </text>
    </comment>
    <comment ref="D48" authorId="0" shapeId="0" xr:uid="{3BD4CC2F-5E43-4090-9CE0-3D313B3BEE20}">
      <text>
        <r>
          <rPr>
            <b/>
            <sz val="9"/>
            <color indexed="81"/>
            <rFont val="Tahoma"/>
            <family val="2"/>
          </rPr>
          <t>Shashank:</t>
        </r>
        <r>
          <rPr>
            <sz val="9"/>
            <color indexed="81"/>
            <rFont val="Tahoma"/>
            <family val="2"/>
          </rPr>
          <t xml:space="preserve">
NASDAQ Website
</t>
        </r>
      </text>
    </comment>
    <comment ref="E48" authorId="0" shapeId="0" xr:uid="{13D89833-7078-44DD-806E-2E53F3C0AAE7}">
      <text>
        <r>
          <rPr>
            <b/>
            <sz val="9"/>
            <color indexed="81"/>
            <rFont val="Tahoma"/>
            <family val="2"/>
          </rPr>
          <t>Shashank:</t>
        </r>
        <r>
          <rPr>
            <sz val="9"/>
            <color indexed="81"/>
            <rFont val="Tahoma"/>
            <family val="2"/>
          </rPr>
          <t xml:space="preserve">
Page7, 10Q3, 2024
</t>
        </r>
      </text>
    </comment>
    <comment ref="C50" authorId="0" shapeId="0" xr:uid="{68E4F934-F0A5-4A8F-A4DF-07EBD960E69A}">
      <text>
        <r>
          <rPr>
            <b/>
            <sz val="9"/>
            <color indexed="81"/>
            <rFont val="Tahoma"/>
            <family val="2"/>
          </rPr>
          <t>Shashank:</t>
        </r>
        <r>
          <rPr>
            <sz val="9"/>
            <color indexed="81"/>
            <rFont val="Tahoma"/>
            <family val="2"/>
          </rPr>
          <t xml:space="preserve">
Page 8, 10Q 3, 2022</t>
        </r>
      </text>
    </comment>
    <comment ref="E50" authorId="0" shapeId="0" xr:uid="{7CFDF8A8-7863-4B76-92D0-6D132BD81A83}">
      <text>
        <r>
          <rPr>
            <b/>
            <sz val="9"/>
            <color indexed="81"/>
            <rFont val="Tahoma"/>
            <family val="2"/>
          </rPr>
          <t>Shashank:</t>
        </r>
        <r>
          <rPr>
            <sz val="9"/>
            <color indexed="81"/>
            <rFont val="Tahoma"/>
            <family val="2"/>
          </rPr>
          <t xml:space="preserve">
Page 6, 10Q3, 2023</t>
        </r>
      </text>
    </comment>
    <comment ref="C52" authorId="0" shapeId="0" xr:uid="{19A59464-C2D5-4EF5-80CC-72C60CA35613}">
      <text>
        <r>
          <rPr>
            <b/>
            <sz val="9"/>
            <color indexed="81"/>
            <rFont val="Tahoma"/>
            <family val="2"/>
          </rPr>
          <t>Page 10, 10Q3, Sep 2024</t>
        </r>
      </text>
    </comment>
    <comment ref="D52" authorId="0" shapeId="0" xr:uid="{C553B2CB-A284-48E7-AE08-1330DF74394E}">
      <text>
        <r>
          <rPr>
            <b/>
            <sz val="9"/>
            <color indexed="81"/>
            <rFont val="Tahoma"/>
            <family val="2"/>
          </rPr>
          <t>https://www.nasdaq.com/market-activity/stocks/didiy</t>
        </r>
      </text>
    </comment>
    <comment ref="E52" authorId="0" shapeId="0" xr:uid="{7F80202C-77B9-481D-8BBF-C1B7082097A8}">
      <text>
        <r>
          <rPr>
            <b/>
            <sz val="9"/>
            <color indexed="81"/>
            <rFont val="Tahoma"/>
            <family val="2"/>
          </rPr>
          <t>Page 8, 10Q3, 2024</t>
        </r>
      </text>
    </comment>
    <comment ref="E53" authorId="0" shapeId="0" xr:uid="{DBE6F7DE-9320-4F3B-997D-0F9FC2BBB4AB}">
      <text>
        <r>
          <rPr>
            <b/>
            <sz val="9"/>
            <color indexed="81"/>
            <rFont val="Tahoma"/>
            <family val="2"/>
          </rPr>
          <t>Page 8, 10Q3, 2024</t>
        </r>
      </text>
    </comment>
    <comment ref="C54" authorId="0" shapeId="0" xr:uid="{9E9501F7-6A5C-4DAF-80E1-71D6F80B625A}">
      <text>
        <r>
          <rPr>
            <b/>
            <sz val="9"/>
            <color indexed="81"/>
            <rFont val="Tahoma"/>
            <family val="2"/>
          </rPr>
          <t>page 07,10Q3, 2023</t>
        </r>
      </text>
    </comment>
    <comment ref="E54" authorId="0" shapeId="0" xr:uid="{CC4F517C-9607-427C-A5B6-DF58349B65CA}">
      <text>
        <r>
          <rPr>
            <b/>
            <sz val="9"/>
            <color indexed="81"/>
            <rFont val="Tahoma"/>
            <family val="2"/>
          </rPr>
          <t>page 8, 10Q3, 2023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Shashank</author>
  </authors>
  <commentList>
    <comment ref="D32" authorId="0" shapeId="0" xr:uid="{4001338C-C706-4BCD-8F44-428BF40DB4D5}">
      <text>
        <r>
          <rPr>
            <b/>
            <sz val="9"/>
            <color indexed="81"/>
            <rFont val="Tahoma"/>
            <family val="2"/>
          </rPr>
          <t>Shashank:</t>
        </r>
        <r>
          <rPr>
            <sz val="9"/>
            <color indexed="81"/>
            <rFont val="Tahoma"/>
            <family val="2"/>
          </rPr>
          <t xml:space="preserve">
usa terminal growth rate</t>
        </r>
      </text>
    </comment>
    <comment ref="D47" authorId="0" shapeId="0" xr:uid="{B8850782-BF5A-4BAD-BA28-9AB4B0F5BEB1}">
      <text>
        <r>
          <rPr>
            <sz val="9"/>
            <color indexed="81"/>
            <rFont val="Tahoma"/>
            <family val="2"/>
          </rPr>
          <t xml:space="preserve">
https://pages.stern.nyu.edu/~adamodar/New_Home_Page/datafile/vebitda.html
transportation Ev / EBITDA All Firms Average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Shashank</author>
    <author>Dell</author>
    <author/>
  </authors>
  <commentList>
    <comment ref="C6" authorId="0" shapeId="0" xr:uid="{538F2B43-D822-495B-BEF2-CE7E5D3B3832}">
      <text>
        <r>
          <rPr>
            <b/>
            <sz val="9"/>
            <color indexed="81"/>
            <rFont val="Tahoma"/>
            <family val="2"/>
          </rPr>
          <t xml:space="preserve">JAN 24, https://www.nasdaq.com/market-activity/stocks/lyft
</t>
        </r>
      </text>
    </comment>
    <comment ref="C7" authorId="0" shapeId="0" xr:uid="{984D37CC-1DF9-4DC7-843E-F6CE735D0F3C}">
      <text>
        <r>
          <rPr>
            <b/>
            <sz val="9"/>
            <color indexed="81"/>
            <rFont val="Tahoma"/>
            <family val="2"/>
          </rPr>
          <t>Shashank:</t>
        </r>
        <r>
          <rPr>
            <sz val="9"/>
            <color indexed="81"/>
            <rFont val="Tahoma"/>
            <family val="2"/>
          </rPr>
          <t xml:space="preserve">
page7, 10Q3, 2024</t>
        </r>
      </text>
    </comment>
    <comment ref="E15" authorId="0" shapeId="0" xr:uid="{9FFFC5D9-4F36-407E-B994-561B92F7D29A}">
      <text>
        <r>
          <rPr>
            <b/>
            <sz val="9"/>
            <color indexed="81"/>
            <rFont val="Tahoma"/>
            <family val="2"/>
          </rPr>
          <t xml:space="preserve">Long term current portion debt 
no short term debt is provided
</t>
        </r>
      </text>
    </comment>
    <comment ref="F22" authorId="0" shapeId="0" xr:uid="{EE7E89F7-11BC-43DC-A5F5-94649D6B0309}">
      <text>
        <r>
          <rPr>
            <b/>
            <sz val="9"/>
            <color indexed="81"/>
            <rFont val="Tahoma"/>
            <family val="2"/>
          </rPr>
          <t>Short-Term Inv,10K 2024 page78</t>
        </r>
      </text>
    </comment>
    <comment ref="B32" authorId="1" shapeId="0" xr:uid="{C41F131A-5F67-4E33-BF71-12E0EB37718C}">
      <text>
        <r>
          <rPr>
            <b/>
            <sz val="11"/>
            <color indexed="81"/>
            <rFont val="Tahoma"/>
            <family val="2"/>
          </rPr>
          <t>Dell:</t>
        </r>
        <r>
          <rPr>
            <sz val="11"/>
            <color indexed="81"/>
            <rFont val="Tahoma"/>
            <family val="2"/>
          </rPr>
          <t xml:space="preserve">
stock option 10 k dec 31, 2023
page 116, </t>
        </r>
      </text>
    </comment>
    <comment ref="B33" authorId="1" shapeId="0" xr:uid="{8C7F5D6F-8E8C-433E-B08B-7963D014891A}">
      <text>
        <r>
          <rPr>
            <b/>
            <sz val="11"/>
            <color indexed="81"/>
            <rFont val="Tahoma"/>
            <family val="2"/>
          </rPr>
          <t>Dell:</t>
        </r>
        <r>
          <rPr>
            <sz val="11"/>
            <color indexed="81"/>
            <rFont val="Tahoma"/>
            <family val="2"/>
          </rPr>
          <t xml:space="preserve">
rsu psu 10 k report
dec 31, page 116</t>
        </r>
      </text>
    </comment>
    <comment ref="I51" authorId="0" shapeId="0" xr:uid="{C4ACDE3B-867B-4D52-B821-731F99CA4E25}">
      <text>
        <r>
          <rPr>
            <b/>
            <sz val="9"/>
            <color indexed="81"/>
            <rFont val="Tahoma"/>
            <family val="2"/>
          </rPr>
          <t xml:space="preserve">31-Dec2024, 10Kpage 78
</t>
        </r>
      </text>
    </comment>
    <comment ref="J51" authorId="0" shapeId="0" xr:uid="{47EB144C-B440-4110-86A6-0AF7B564C77A}">
      <text>
        <r>
          <rPr>
            <sz val="9"/>
            <color indexed="81"/>
            <rFont val="Tahoma"/>
            <family val="2"/>
          </rPr>
          <t xml:space="preserve">page 05, 10Q 2024
</t>
        </r>
      </text>
    </comment>
    <comment ref="K51" authorId="0" shapeId="0" xr:uid="{1EF65AF6-8E64-47F7-A745-82157DF21BA2}">
      <text>
        <r>
          <rPr>
            <b/>
            <sz val="9"/>
            <color indexed="81"/>
            <rFont val="Tahoma"/>
            <family val="2"/>
          </rPr>
          <t>Shashank:</t>
        </r>
        <r>
          <rPr>
            <sz val="9"/>
            <color indexed="81"/>
            <rFont val="Tahoma"/>
            <family val="2"/>
          </rPr>
          <t xml:space="preserve">
page 05, 10Q 2024</t>
        </r>
      </text>
    </comment>
    <comment ref="I53" authorId="0" shapeId="0" xr:uid="{B1F9BE93-8585-4539-AE0A-D4A650EEE36A}">
      <text>
        <r>
          <rPr>
            <b/>
            <sz val="9"/>
            <color indexed="81"/>
            <rFont val="Tahoma"/>
            <family val="2"/>
          </rPr>
          <t>Shashank:</t>
        </r>
        <r>
          <rPr>
            <sz val="9"/>
            <color indexed="81"/>
            <rFont val="Tahoma"/>
            <family val="2"/>
          </rPr>
          <t xml:space="preserve">
10K2024, page77
</t>
        </r>
      </text>
    </comment>
    <comment ref="I56" authorId="0" shapeId="0" xr:uid="{5C7CE161-2276-4301-9C0A-C3CA963F768F}">
      <text>
        <r>
          <rPr>
            <b/>
            <sz val="9"/>
            <color indexed="81"/>
            <rFont val="Tahoma"/>
            <family val="2"/>
          </rPr>
          <t xml:space="preserve">10K 31-Dec-2024,page 77
</t>
        </r>
      </text>
    </comment>
    <comment ref="J56" authorId="0" shapeId="0" xr:uid="{1B48DBA2-28DF-4607-BA72-44E17F53A197}">
      <text>
        <r>
          <rPr>
            <b/>
            <sz val="9"/>
            <color indexed="81"/>
            <rFont val="Tahoma"/>
            <family val="2"/>
          </rPr>
          <t>Shashank:</t>
        </r>
        <r>
          <rPr>
            <sz val="9"/>
            <color indexed="81"/>
            <rFont val="Tahoma"/>
            <family val="2"/>
          </rPr>
          <t xml:space="preserve">
page 10, 10Q 2024</t>
        </r>
      </text>
    </comment>
    <comment ref="K56" authorId="0" shapeId="0" xr:uid="{BAD42415-2992-4712-99D6-CC4FF9B8883F}">
      <text>
        <r>
          <rPr>
            <b/>
            <sz val="9"/>
            <color indexed="81"/>
            <rFont val="Tahoma"/>
            <family val="2"/>
          </rPr>
          <t>Shashank:</t>
        </r>
        <r>
          <rPr>
            <sz val="9"/>
            <color indexed="81"/>
            <rFont val="Tahoma"/>
            <family val="2"/>
          </rPr>
          <t xml:space="preserve">
page 10, 10Q 2024</t>
        </r>
      </text>
    </comment>
    <comment ref="I59" authorId="0" shapeId="0" xr:uid="{397F85AE-1934-421F-A665-817F977BDD6F}">
      <text>
        <r>
          <rPr>
            <sz val="9"/>
            <color indexed="81"/>
            <rFont val="Tahoma"/>
            <family val="2"/>
          </rPr>
          <t xml:space="preserve">
10K 31-Dec-2024,page 78</t>
        </r>
      </text>
    </comment>
    <comment ref="K59" authorId="0" shapeId="0" xr:uid="{31AE5845-E154-4A78-8113-897B796115EA}">
      <text>
        <r>
          <rPr>
            <b/>
            <sz val="9"/>
            <color indexed="81"/>
            <rFont val="Tahoma"/>
            <family val="2"/>
          </rPr>
          <t>Shashank:</t>
        </r>
        <r>
          <rPr>
            <sz val="9"/>
            <color indexed="81"/>
            <rFont val="Tahoma"/>
            <family val="2"/>
          </rPr>
          <t xml:space="preserve">
10Q3 2024 page 6,</t>
        </r>
      </text>
    </comment>
    <comment ref="I62" authorId="0" shapeId="0" xr:uid="{7B5EFAD4-ACD0-4BFE-954D-880EFF78101F}">
      <text>
        <r>
          <rPr>
            <b/>
            <sz val="9"/>
            <color indexed="81"/>
            <rFont val="Tahoma"/>
            <family val="2"/>
          </rPr>
          <t>page 77, 10K 2024</t>
        </r>
      </text>
    </comment>
    <comment ref="I65" authorId="0" shapeId="0" xr:uid="{0F0DB6A7-23F2-4B68-A76D-7DC5666E938D}">
      <text>
        <r>
          <rPr>
            <b/>
            <sz val="9"/>
            <color indexed="81"/>
            <rFont val="Tahoma"/>
            <family val="2"/>
          </rPr>
          <t>Shashank:</t>
        </r>
        <r>
          <rPr>
            <sz val="9"/>
            <color indexed="81"/>
            <rFont val="Tahoma"/>
            <family val="2"/>
          </rPr>
          <t xml:space="preserve">
from 10K  31 dec 2023</t>
        </r>
      </text>
    </comment>
    <comment ref="I68" authorId="2" shapeId="0" xr:uid="{2DA89F7D-11F3-4EBE-BE5D-AB0DFDC80472}">
      <text>
        <r>
          <rPr>
            <sz val="11"/>
            <color theme="1"/>
            <rFont val="Calibri"/>
            <family val="2"/>
            <scheme val="minor"/>
          </rPr>
          <t xml:space="preserve"> 10K May ended 2023
Page 71</t>
        </r>
      </text>
    </comment>
    <comment ref="K68" authorId="0" shapeId="0" xr:uid="{69EA6AE9-E8A8-4D63-A12B-F9BF2EA0056A}">
      <text>
        <r>
          <rPr>
            <b/>
            <sz val="9"/>
            <color indexed="81"/>
            <rFont val="Tahoma"/>
            <family val="2"/>
          </rPr>
          <t>Shashank:</t>
        </r>
        <r>
          <rPr>
            <sz val="9"/>
            <color indexed="81"/>
            <rFont val="Tahoma"/>
            <family val="2"/>
          </rPr>
          <t xml:space="preserve">
page05 , 10Q3, 2024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Dell</author>
    <author>Shashank</author>
  </authors>
  <commentList>
    <comment ref="D9" authorId="0" shapeId="0" xr:uid="{25BA4374-A0EB-4B74-938E-2854E245C72F}">
      <text>
        <r>
          <rPr>
            <sz val="11"/>
            <color theme="1"/>
            <rFont val="Calibri"/>
            <family val="2"/>
            <scheme val="minor"/>
          </rPr>
          <t>Closing Price as on 28-Jan -24 as on Market screener</t>
        </r>
      </text>
    </comment>
    <comment ref="D10" authorId="0" shapeId="0" xr:uid="{60DFCEC3-5007-4D08-96ED-F482D30A36BC}">
      <text>
        <r>
          <rPr>
            <sz val="11"/>
            <color theme="1"/>
            <rFont val="Calibri"/>
            <family val="2"/>
            <scheme val="minor"/>
          </rPr>
          <t xml:space="preserve">10Q Sep 2024
Pg 6
</t>
        </r>
      </text>
    </comment>
    <comment ref="G13" authorId="0" shapeId="0" xr:uid="{FD98C40B-58D9-43CD-BD0D-28222C78F83A}">
      <text>
        <r>
          <rPr>
            <sz val="11"/>
            <color theme="1"/>
            <rFont val="Calibri"/>
            <family val="2"/>
            <scheme val="minor"/>
          </rPr>
          <t xml:space="preserve">Page no - 7 10 Q
SEP ended 2024
</t>
        </r>
      </text>
    </comment>
    <comment ref="F18" authorId="0" shapeId="0" xr:uid="{E310E396-584F-4AE1-9E53-E3A2A151709F}">
      <text>
        <r>
          <rPr>
            <sz val="11"/>
            <color theme="1"/>
            <rFont val="Calibri"/>
            <family val="2"/>
            <scheme val="minor"/>
          </rPr>
          <t>Page no - 8 10 Q sep 2024
Long term debt + curent long term debt</t>
        </r>
      </text>
    </comment>
    <comment ref="G23" authorId="0" shapeId="0" xr:uid="{BCDFD175-59B5-4C05-9D94-B9E481372653}">
      <text>
        <r>
          <rPr>
            <sz val="11"/>
            <color theme="1"/>
            <rFont val="Calibri"/>
            <family val="2"/>
            <scheme val="minor"/>
          </rPr>
          <t xml:space="preserve">Page no-9 -  10 Q
Sep ended 2024
</t>
        </r>
      </text>
    </comment>
    <comment ref="G25" authorId="0" shapeId="0" xr:uid="{C65439C4-0D2A-40AE-88FB-83E097C271A3}">
      <text>
        <r>
          <rPr>
            <sz val="11"/>
            <color theme="1"/>
            <rFont val="Calibri"/>
            <family val="2"/>
            <scheme val="minor"/>
          </rPr>
          <t xml:space="preserve">
Marketable securities and investment in affiliates</t>
        </r>
      </text>
    </comment>
    <comment ref="C35" authorId="1" shapeId="0" xr:uid="{FB11DE5E-2DF7-4705-A667-7AC0FDA33745}">
      <text>
        <r>
          <rPr>
            <b/>
            <sz val="11"/>
            <color indexed="81"/>
            <rFont val="Tahoma"/>
            <family val="2"/>
          </rPr>
          <t>Dell:</t>
        </r>
        <r>
          <rPr>
            <sz val="11"/>
            <color indexed="81"/>
            <rFont val="Tahoma"/>
            <family val="2"/>
          </rPr>
          <t xml:space="preserve">
stock option 10 k dec 31, 2023
page 231</t>
        </r>
      </text>
    </comment>
    <comment ref="C36" authorId="1" shapeId="0" xr:uid="{F6B10C64-1C35-48CD-8DFA-EB1DF0C16929}">
      <text>
        <r>
          <rPr>
            <b/>
            <sz val="11"/>
            <color indexed="81"/>
            <rFont val="Tahoma"/>
            <family val="2"/>
          </rPr>
          <t>Dell:</t>
        </r>
        <r>
          <rPr>
            <sz val="11"/>
            <color indexed="81"/>
            <rFont val="Tahoma"/>
            <family val="2"/>
          </rPr>
          <t xml:space="preserve">
rsu psu 10 k report
dec 31, page 230</t>
        </r>
      </text>
    </comment>
    <comment ref="I46" authorId="2" shapeId="0" xr:uid="{616C3CE6-BDE3-4C3B-83BB-8A110862A8E9}">
      <text>
        <r>
          <rPr>
            <b/>
            <sz val="9"/>
            <color indexed="81"/>
            <rFont val="Tahoma"/>
            <family val="2"/>
          </rPr>
          <t xml:space="preserve">31-Dec2024, 10Kpage 186
</t>
        </r>
      </text>
    </comment>
    <comment ref="J46" authorId="2" shapeId="0" xr:uid="{536492F2-289F-44D2-9317-DC6257DBFF03}">
      <text>
        <r>
          <rPr>
            <sz val="9"/>
            <color indexed="81"/>
            <rFont val="Tahoma"/>
            <family val="2"/>
          </rPr>
          <t xml:space="preserve">page 07, 10Q SEP 2024
</t>
        </r>
      </text>
    </comment>
    <comment ref="K46" authorId="2" shapeId="0" xr:uid="{30439DE3-02AA-4DF4-8243-3C0A931C555A}">
      <text>
        <r>
          <rPr>
            <b/>
            <sz val="9"/>
            <color indexed="81"/>
            <rFont val="Tahoma"/>
            <family val="2"/>
          </rPr>
          <t>Shashank:</t>
        </r>
        <r>
          <rPr>
            <sz val="9"/>
            <color indexed="81"/>
            <rFont val="Tahoma"/>
            <family val="2"/>
          </rPr>
          <t xml:space="preserve">
page 07, 10Q SEP 2024</t>
        </r>
      </text>
    </comment>
    <comment ref="I48" authorId="2" shapeId="0" xr:uid="{BD327470-5D5E-4183-BBE3-B5E71D7DBEA3}">
      <text>
        <r>
          <rPr>
            <b/>
            <sz val="9"/>
            <color indexed="81"/>
            <rFont val="Tahoma"/>
            <family val="2"/>
          </rPr>
          <t>Shashank:</t>
        </r>
        <r>
          <rPr>
            <sz val="9"/>
            <color indexed="81"/>
            <rFont val="Tahoma"/>
            <family val="2"/>
          </rPr>
          <t xml:space="preserve">
10K2024, page187
</t>
        </r>
      </text>
    </comment>
    <comment ref="J48" authorId="2" shapeId="0" xr:uid="{8D4EAD63-7835-4DFF-B443-4B871085B9B1}">
      <text>
        <r>
          <rPr>
            <b/>
            <sz val="9"/>
            <color indexed="81"/>
            <rFont val="Tahoma"/>
            <family val="2"/>
          </rPr>
          <t>Shashank:</t>
        </r>
        <r>
          <rPr>
            <sz val="9"/>
            <color indexed="81"/>
            <rFont val="Tahoma"/>
            <family val="2"/>
          </rPr>
          <t xml:space="preserve">
page 07, 10Q SEP 2024</t>
        </r>
      </text>
    </comment>
    <comment ref="K48" authorId="2" shapeId="0" xr:uid="{EE620357-043E-4B16-965E-946CFDACFDD4}">
      <text>
        <r>
          <rPr>
            <b/>
            <sz val="9"/>
            <color indexed="81"/>
            <rFont val="Tahoma"/>
            <family val="2"/>
          </rPr>
          <t>page 07, 10Q SEP 2024</t>
        </r>
      </text>
    </comment>
    <comment ref="I51" authorId="2" shapeId="0" xr:uid="{97DBED81-8FE4-4B1B-A652-FC1B2F319CEF}">
      <text>
        <r>
          <rPr>
            <b/>
            <sz val="9"/>
            <color indexed="81"/>
            <rFont val="Tahoma"/>
            <family val="2"/>
          </rPr>
          <t>10K 31-Dec-2024,page 191</t>
        </r>
      </text>
    </comment>
    <comment ref="J51" authorId="2" shapeId="0" xr:uid="{9CEA7C59-A58D-484E-842B-7A5307D3A6D2}">
      <text>
        <r>
          <rPr>
            <b/>
            <sz val="9"/>
            <color indexed="81"/>
            <rFont val="Tahoma"/>
            <family val="2"/>
          </rPr>
          <t>page 8, 10 Q 3, 2024</t>
        </r>
      </text>
    </comment>
    <comment ref="K51" authorId="2" shapeId="0" xr:uid="{34C06E54-D9EF-493F-B3E1-20ED6A826808}">
      <text>
        <r>
          <rPr>
            <b/>
            <sz val="9"/>
            <color indexed="81"/>
            <rFont val="Tahoma"/>
            <family val="2"/>
          </rPr>
          <t>page 8, 10 Q 3, 2024</t>
        </r>
      </text>
    </comment>
    <comment ref="I54" authorId="2" shapeId="0" xr:uid="{9D11C18F-DC20-468D-A221-F4CD9B8A8720}">
      <text>
        <r>
          <rPr>
            <sz val="9"/>
            <color indexed="81"/>
            <rFont val="Tahoma"/>
            <family val="2"/>
          </rPr>
          <t xml:space="preserve">
10K 31-Dec-2024,page 187
</t>
        </r>
      </text>
    </comment>
    <comment ref="J54" authorId="2" shapeId="0" xr:uid="{DBD64D82-B195-4DA0-BF53-B749E4E2CAA3}">
      <text>
        <r>
          <rPr>
            <b/>
            <sz val="9"/>
            <color indexed="81"/>
            <rFont val="Tahoma"/>
            <family val="2"/>
          </rPr>
          <t>page 7, 10Q3, 2024</t>
        </r>
      </text>
    </comment>
    <comment ref="K54" authorId="2" shapeId="0" xr:uid="{1E40B7EB-F594-423D-A839-0AC440754D7B}">
      <text>
        <r>
          <rPr>
            <b/>
            <sz val="9"/>
            <color indexed="81"/>
            <rFont val="Tahoma"/>
            <family val="2"/>
          </rPr>
          <t>Shashank:</t>
        </r>
        <r>
          <rPr>
            <sz val="9"/>
            <color indexed="81"/>
            <rFont val="Tahoma"/>
            <family val="2"/>
          </rPr>
          <t xml:space="preserve">
10Q3 2024 page 7</t>
        </r>
      </text>
    </comment>
    <comment ref="I57" authorId="2" shapeId="0" xr:uid="{8B2B5B91-EADC-4030-97B1-8E54EB30D95E}">
      <text>
        <r>
          <rPr>
            <b/>
            <sz val="9"/>
            <color indexed="81"/>
            <rFont val="Tahoma"/>
            <family val="2"/>
          </rPr>
          <t>10K 31-Dec-2024,page 187</t>
        </r>
      </text>
    </comment>
    <comment ref="J57" authorId="2" shapeId="0" xr:uid="{E72BBA26-1447-448C-B30C-3434EEBCD497}">
      <text>
        <r>
          <rPr>
            <b/>
            <sz val="9"/>
            <color indexed="81"/>
            <rFont val="Tahoma"/>
            <family val="2"/>
          </rPr>
          <t>Shashank:</t>
        </r>
        <r>
          <rPr>
            <sz val="9"/>
            <color indexed="81"/>
            <rFont val="Tahoma"/>
            <family val="2"/>
          </rPr>
          <t xml:space="preserve">
page 7, 10Q3, 2024</t>
        </r>
      </text>
    </comment>
    <comment ref="K57" authorId="2" shapeId="0" xr:uid="{9362B7DA-9AA9-4297-8007-9D3181D29608}">
      <text>
        <r>
          <rPr>
            <b/>
            <sz val="9"/>
            <color indexed="81"/>
            <rFont val="Tahoma"/>
            <family val="2"/>
          </rPr>
          <t>page 7, 10Q3, 2024</t>
        </r>
      </text>
    </comment>
    <comment ref="I60" authorId="2" shapeId="0" xr:uid="{CCFD32EF-7D2B-4D5D-BA33-25B4DEFB2348}">
      <text>
        <r>
          <rPr>
            <b/>
            <sz val="9"/>
            <color indexed="81"/>
            <rFont val="Tahoma"/>
            <family val="2"/>
          </rPr>
          <t>Shashank:</t>
        </r>
        <r>
          <rPr>
            <sz val="9"/>
            <color indexed="81"/>
            <rFont val="Tahoma"/>
            <family val="2"/>
          </rPr>
          <t xml:space="preserve">
10K 31-Dec-2024,page 187</t>
        </r>
      </text>
    </comment>
    <comment ref="J60" authorId="2" shapeId="0" xr:uid="{C61614A3-6C8B-47AB-BE7B-65AF28B52ED1}">
      <text>
        <r>
          <rPr>
            <b/>
            <sz val="9"/>
            <color indexed="81"/>
            <rFont val="Tahoma"/>
            <family val="2"/>
          </rPr>
          <t>page 7, 10Q3, 2024</t>
        </r>
      </text>
    </comment>
    <comment ref="K60" authorId="2" shapeId="0" xr:uid="{5E295F28-84A6-47B6-8A53-C88D54036846}">
      <text>
        <r>
          <rPr>
            <b/>
            <sz val="9"/>
            <color indexed="81"/>
            <rFont val="Tahoma"/>
            <family val="2"/>
          </rPr>
          <t>page 7, 10Q3, 2024</t>
        </r>
      </text>
    </comment>
    <comment ref="I63" authorId="2" shapeId="0" xr:uid="{6132AAC3-1AFB-4FBE-96EC-350556F7DE23}">
      <text>
        <r>
          <rPr>
            <b/>
            <sz val="9"/>
            <color indexed="81"/>
            <rFont val="Tahoma"/>
            <family val="2"/>
          </rPr>
          <t>Shashank:</t>
        </r>
        <r>
          <rPr>
            <sz val="9"/>
            <color indexed="81"/>
            <rFont val="Tahoma"/>
            <family val="2"/>
          </rPr>
          <t xml:space="preserve">
page 236, 10K 2024</t>
        </r>
      </text>
    </comment>
    <comment ref="J63" authorId="2" shapeId="0" xr:uid="{BEF2CA78-F492-4E45-8435-3BBA03F05568}">
      <text>
        <r>
          <rPr>
            <b/>
            <sz val="9"/>
            <color indexed="81"/>
            <rFont val="Tahoma"/>
            <family val="2"/>
          </rPr>
          <t>page 7, 10Q3 2024</t>
        </r>
      </text>
    </comment>
    <comment ref="K63" authorId="2" shapeId="0" xr:uid="{16880191-DA76-4BAB-B8D1-6FEF2E3F8EAA}">
      <text>
        <r>
          <rPr>
            <b/>
            <sz val="9"/>
            <color indexed="81"/>
            <rFont val="Tahoma"/>
            <family val="2"/>
          </rPr>
          <t>page 7, 10Q3, 2024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Shashank</author>
    <author/>
  </authors>
  <commentList>
    <comment ref="G15" authorId="0" shapeId="0" xr:uid="{FC2B7988-2DB2-40E2-9308-6B85927544B5}">
      <text/>
    </comment>
    <comment ref="I15" authorId="0" shapeId="0" xr:uid="{1F15C472-5083-4B9E-9A38-B191C388937F}">
      <text>
        <r>
          <rPr>
            <b/>
            <sz val="9"/>
            <color indexed="81"/>
            <rFont val="Tahoma"/>
            <family val="2"/>
          </rPr>
          <t>Shashank:</t>
        </r>
        <r>
          <rPr>
            <sz val="9"/>
            <color indexed="81"/>
            <rFont val="Tahoma"/>
            <family val="2"/>
          </rPr>
          <t xml:space="preserve">
10Q3 , page 104, total lease costs notes to leases</t>
        </r>
      </text>
    </comment>
    <comment ref="C34" authorId="1" shapeId="0" xr:uid="{19E28A16-C60F-4D14-A380-EA38D3ADEFE4}">
      <text>
        <r>
          <rPr>
            <sz val="11"/>
            <color theme="1"/>
            <rFont val="Calibri"/>
            <family val="2"/>
            <scheme val="minor"/>
          </rPr>
          <t xml:space="preserve">Pg no;2 10K 2023
</t>
        </r>
      </text>
    </comment>
    <comment ref="C38" authorId="1" shapeId="0" xr:uid="{27486B2A-A798-40AE-AF3D-E3BA622CB62E}">
      <text>
        <r>
          <rPr>
            <sz val="11"/>
            <color theme="1"/>
            <rFont val="Calibri"/>
            <family val="2"/>
            <scheme val="minor"/>
          </rPr>
          <t>Closing price of 31/01/25 as per investing.com</t>
        </r>
      </text>
    </comment>
    <comment ref="B42" authorId="1" shapeId="0" xr:uid="{362B959E-A582-4FED-988B-B9E694BF707A}">
      <text>
        <r>
          <rPr>
            <sz val="11"/>
            <color theme="1"/>
            <rFont val="Calibri"/>
            <family val="2"/>
            <scheme val="minor"/>
          </rPr>
          <t xml:space="preserve">10K Dec. 2023
Pg 113
</t>
        </r>
      </text>
    </comment>
    <comment ref="B43" authorId="1" shapeId="0" xr:uid="{2768E18D-F7B5-4339-802B-0C7796CDEEDF}">
      <text>
        <r>
          <rPr>
            <sz val="11"/>
            <color theme="1"/>
            <rFont val="Calibri"/>
            <family val="2"/>
            <scheme val="minor"/>
          </rPr>
          <t xml:space="preserve">10K Dec. 2023
Pg 113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Dell</author>
    <author>Shashank</author>
  </authors>
  <commentList>
    <comment ref="D6" authorId="0" shapeId="0" xr:uid="{2C50E8C6-BB4B-4040-B426-08A54F93E81D}">
      <text>
        <r>
          <rPr>
            <sz val="11"/>
            <color theme="1"/>
            <rFont val="Calibri"/>
            <family val="2"/>
            <scheme val="minor"/>
          </rPr>
          <t>Closing Price as on 30-Jan -24 as on Market screener</t>
        </r>
      </text>
    </comment>
    <comment ref="D7" authorId="0" shapeId="0" xr:uid="{882AE3F5-E264-4DFB-84E9-4E0A5AA7F86E}">
      <text>
        <r>
          <rPr>
            <sz val="11"/>
            <color theme="1"/>
            <rFont val="Calibri"/>
            <family val="2"/>
            <scheme val="minor"/>
          </rPr>
          <t xml:space="preserve">10Q Sep 2024
Pg 8
</t>
        </r>
      </text>
    </comment>
    <comment ref="G10" authorId="0" shapeId="0" xr:uid="{5484C2E1-6F70-409A-97CF-EA7CFC1D02C4}">
      <text>
        <r>
          <rPr>
            <sz val="11"/>
            <color theme="1"/>
            <rFont val="Calibri"/>
            <family val="2"/>
            <scheme val="minor"/>
          </rPr>
          <t xml:space="preserve">Page no -  8 ,10 Q
SEP ended 2024
</t>
        </r>
      </text>
    </comment>
    <comment ref="F15" authorId="0" shapeId="0" xr:uid="{4A5542B0-B51B-4B0A-8C64-7D29786E8652}">
      <text>
        <r>
          <rPr>
            <sz val="11"/>
            <color theme="1"/>
            <rFont val="Calibri"/>
            <family val="2"/>
            <scheme val="minor"/>
          </rPr>
          <t>Page no - 10, 10 Q sep 2024
Long term debt + curent long term debt</t>
        </r>
      </text>
    </comment>
    <comment ref="G20" authorId="0" shapeId="0" xr:uid="{9597DD40-A865-4876-AF83-40103BE1FD6E}">
      <text>
        <r>
          <rPr>
            <sz val="11"/>
            <color theme="1"/>
            <rFont val="Calibri"/>
            <family val="2"/>
            <scheme val="minor"/>
          </rPr>
          <t xml:space="preserve">Page no-11 -  10 Q
Sep ended 2024
</t>
        </r>
      </text>
    </comment>
    <comment ref="G22" authorId="0" shapeId="0" xr:uid="{56C274D1-F2F2-4E9E-9BDA-FD8C803BA3AF}">
      <text>
        <r>
          <rPr>
            <sz val="11"/>
            <color theme="1"/>
            <rFont val="Calibri"/>
            <family val="2"/>
            <scheme val="minor"/>
          </rPr>
          <t>Short-Term Inv+Inv. In noncontrolled affiliates
10Q 3, page10 2024</t>
        </r>
      </text>
    </comment>
    <comment ref="U23" authorId="1" shapeId="0" xr:uid="{F83F49CA-CD2B-4C1D-8F46-C3C4809FC60B}">
      <text>
        <r>
          <rPr>
            <b/>
            <sz val="11"/>
            <color indexed="81"/>
            <rFont val="Tahoma"/>
            <family val="2"/>
          </rPr>
          <t>Dell:</t>
        </r>
        <r>
          <rPr>
            <sz val="11"/>
            <color indexed="81"/>
            <rFont val="Tahoma"/>
            <family val="2"/>
          </rPr>
          <t xml:space="preserve">
stock option 10 k dec 31, 2023
page 229</t>
        </r>
      </text>
    </comment>
    <comment ref="U24" authorId="1" shapeId="0" xr:uid="{60373686-4F6E-4E0C-AD0C-185B18EC60EA}">
      <text>
        <r>
          <rPr>
            <b/>
            <sz val="11"/>
            <color indexed="81"/>
            <rFont val="Tahoma"/>
            <family val="2"/>
          </rPr>
          <t>Dell:</t>
        </r>
        <r>
          <rPr>
            <sz val="11"/>
            <color indexed="81"/>
            <rFont val="Tahoma"/>
            <family val="2"/>
          </rPr>
          <t xml:space="preserve">
rsu  10 k report
dec 31, page 230</t>
        </r>
      </text>
    </comment>
    <comment ref="F30" authorId="0" shapeId="0" xr:uid="{9FD97C8C-E0E8-4005-B219-8149614B347B}">
      <text>
        <r>
          <rPr>
            <sz val="11"/>
            <color theme="1"/>
            <rFont val="Calibri"/>
            <family val="2"/>
            <scheme val="minor"/>
          </rPr>
          <t xml:space="preserve">10K Dec 2023
PG 120
</t>
        </r>
      </text>
    </comment>
    <comment ref="J30" authorId="0" shapeId="0" xr:uid="{2FF9299F-54BF-468D-BDA9-3A9C65FFF391}">
      <text>
        <r>
          <rPr>
            <sz val="11"/>
            <color theme="1"/>
            <rFont val="Calibri"/>
            <family val="2"/>
            <scheme val="minor"/>
          </rPr>
          <t>10Q SEP 2024
PG 11</t>
        </r>
      </text>
    </comment>
    <comment ref="N30" authorId="0" shapeId="0" xr:uid="{292723C0-9909-4BAC-8830-DCE899A136DA}">
      <text>
        <r>
          <rPr>
            <sz val="11"/>
            <color theme="1"/>
            <rFont val="Calibri"/>
            <family val="2"/>
            <scheme val="minor"/>
          </rPr>
          <t>10Q SEP 2024
PG 11</t>
        </r>
      </text>
    </comment>
    <comment ref="F31" authorId="2" shapeId="0" xr:uid="{D92F09C0-08C3-4DC2-B798-3888A20FF3EC}">
      <text>
        <r>
          <rPr>
            <b/>
            <sz val="9"/>
            <color indexed="81"/>
            <rFont val="Tahoma"/>
            <family val="2"/>
          </rPr>
          <t>Shashank:</t>
        </r>
        <r>
          <rPr>
            <sz val="9"/>
            <color indexed="81"/>
            <rFont val="Tahoma"/>
            <family val="2"/>
          </rPr>
          <t xml:space="preserve">
10K 2023, page 120</t>
        </r>
      </text>
    </comment>
    <comment ref="H32" authorId="0" shapeId="0" xr:uid="{DF40D04C-8D24-4335-A57E-75A79D902D28}">
      <text>
        <r>
          <rPr>
            <sz val="11"/>
            <color theme="1"/>
            <rFont val="Calibri"/>
            <family val="2"/>
            <scheme val="minor"/>
          </rPr>
          <t>10K Dec 2023
PG 120</t>
        </r>
      </text>
    </comment>
    <comment ref="L32" authorId="2" shapeId="0" xr:uid="{6AD98937-4FB0-4203-9FD2-5D76A3ED671F}">
      <text>
        <r>
          <rPr>
            <b/>
            <sz val="9"/>
            <color indexed="81"/>
            <rFont val="Tahoma"/>
            <family val="2"/>
          </rPr>
          <t>page 11, 10 Q3, 2024</t>
        </r>
      </text>
    </comment>
    <comment ref="J41" authorId="0" shapeId="0" xr:uid="{0DACF566-FC91-4352-821A-23201CB626BA}">
      <text>
        <r>
          <rPr>
            <sz val="11"/>
            <color theme="1"/>
            <rFont val="Calibri"/>
            <family val="2"/>
            <scheme val="minor"/>
          </rPr>
          <t>Page no - 177 10K 15-4-  2024
Reported Sales</t>
        </r>
      </text>
    </comment>
    <comment ref="K41" authorId="0" shapeId="0" xr:uid="{495C82B1-CF62-4BC9-8215-DDB9E80C5BDC}">
      <text>
        <r>
          <rPr>
            <sz val="11"/>
            <color theme="1"/>
            <rFont val="Calibri"/>
            <family val="2"/>
            <scheme val="minor"/>
          </rPr>
          <t>Page no 8 10Q  SEP  Ended 2024</t>
        </r>
      </text>
    </comment>
    <comment ref="L41" authorId="0" shapeId="0" xr:uid="{E3E6E507-33EA-4C52-8586-90D0D7DBCFE2}">
      <text>
        <r>
          <rPr>
            <sz val="11"/>
            <color theme="1"/>
            <rFont val="Calibri"/>
            <family val="2"/>
            <scheme val="minor"/>
          </rPr>
          <t>Page no 4 10Q June Ended 2023</t>
        </r>
      </text>
    </comment>
    <comment ref="J43" authorId="0" shapeId="0" xr:uid="{316FF0CF-51F0-4700-853E-0B6852741F6D}">
      <text>
        <r>
          <rPr>
            <sz val="11"/>
            <color theme="1"/>
            <rFont val="Calibri"/>
            <family val="2"/>
            <scheme val="minor"/>
          </rPr>
          <t>Page no - 177 10K 15-4-  2024
Operating profit</t>
        </r>
      </text>
    </comment>
    <comment ref="K43" authorId="0" shapeId="0" xr:uid="{1F528FD9-75CB-48F2-9022-0454A6D2F861}">
      <text>
        <r>
          <rPr>
            <sz val="11"/>
            <color theme="1"/>
            <rFont val="Calibri"/>
            <family val="2"/>
            <scheme val="minor"/>
          </rPr>
          <t>Page no 8 10Q SEP Ended 2024</t>
        </r>
      </text>
    </comment>
    <comment ref="L43" authorId="0" shapeId="0" xr:uid="{BBAA7ADA-2939-484E-A3F6-29331D32F0A5}">
      <text>
        <r>
          <rPr>
            <sz val="11"/>
            <color theme="1"/>
            <rFont val="Calibri"/>
            <family val="2"/>
            <scheme val="minor"/>
          </rPr>
          <t>Page no 8 10Q SEP Ended 2024</t>
        </r>
      </text>
    </comment>
    <comment ref="J46" authorId="0" shapeId="0" xr:uid="{FCFA1DCC-C02C-46EE-9C57-9705FC22ECD1}">
      <text>
        <r>
          <rPr>
            <sz val="11"/>
            <color theme="1"/>
            <rFont val="Calibri"/>
            <family val="2"/>
            <scheme val="minor"/>
          </rPr>
          <t xml:space="preserve">Page 182, 10K December ended 2023
</t>
        </r>
      </text>
    </comment>
    <comment ref="K46" authorId="0" shapeId="0" xr:uid="{6520FA99-8ECA-458B-8AEA-8704525EB6D0}">
      <text>
        <r>
          <rPr>
            <sz val="11"/>
            <color theme="1"/>
            <rFont val="Calibri"/>
            <family val="2"/>
            <scheme val="minor"/>
          </rPr>
          <t>Page 12 , 10Q Sep ended 2024</t>
        </r>
      </text>
    </comment>
    <comment ref="L46" authorId="0" shapeId="0" xr:uid="{86C133EF-88CC-4C0D-9D8B-4B5ED87D2BCD}">
      <text>
        <r>
          <rPr>
            <sz val="11"/>
            <color theme="1"/>
            <rFont val="Calibri"/>
            <family val="2"/>
            <scheme val="minor"/>
          </rPr>
          <t>Page 12 , 10Q Sep ended 2024</t>
        </r>
      </text>
    </comment>
    <comment ref="J49" authorId="0" shapeId="0" xr:uid="{2DBF6F6A-DE60-4D24-AA69-1B8BD6DD7C5F}">
      <text>
        <r>
          <rPr>
            <sz val="11"/>
            <color theme="1"/>
            <rFont val="Calibri"/>
            <family val="2"/>
            <scheme val="minor"/>
          </rPr>
          <t>Page no - 177 10K December ended 2023</t>
        </r>
      </text>
    </comment>
    <comment ref="K49" authorId="0" shapeId="0" xr:uid="{2833E95D-F0ED-400C-A0E9-0C4F1704879F}">
      <text>
        <r>
          <rPr>
            <sz val="11"/>
            <color theme="1"/>
            <rFont val="Calibri"/>
            <family val="2"/>
            <scheme val="minor"/>
          </rPr>
          <t>Page no 8 10Q SEP Ended 2024</t>
        </r>
      </text>
    </comment>
    <comment ref="L49" authorId="0" shapeId="0" xr:uid="{9FA85F2B-9749-4198-A52C-3CC5156391CE}">
      <text>
        <r>
          <rPr>
            <sz val="11"/>
            <color theme="1"/>
            <rFont val="Calibri"/>
            <family val="2"/>
            <scheme val="minor"/>
          </rPr>
          <t>Page no 4 10Q June Ended 2024</t>
        </r>
      </text>
    </comment>
    <comment ref="J55" authorId="2" shapeId="0" xr:uid="{602595E5-3D68-45CA-85EA-69B1C4C37A77}">
      <text>
        <r>
          <rPr>
            <b/>
            <sz val="9"/>
            <color indexed="81"/>
            <rFont val="Tahoma"/>
            <family val="2"/>
          </rPr>
          <t>Shashank:</t>
        </r>
        <r>
          <rPr>
            <sz val="9"/>
            <color indexed="81"/>
            <rFont val="Tahoma"/>
            <family val="2"/>
          </rPr>
          <t xml:space="preserve">
10K Dec 31 2024 page 177</t>
        </r>
      </text>
    </comment>
    <comment ref="K55" authorId="0" shapeId="0" xr:uid="{F88D2E99-384B-4616-8A15-FD3577ABC447}">
      <text>
        <r>
          <rPr>
            <sz val="11"/>
            <color theme="1"/>
            <rFont val="Calibri"/>
            <family val="2"/>
            <scheme val="minor"/>
          </rPr>
          <t>Page no 8 10Q SEP Ended 2024</t>
        </r>
      </text>
    </comment>
    <comment ref="L55" authorId="2" shapeId="0" xr:uid="{C6988DDE-8244-4848-81CC-7C8EAA8285D2}">
      <text>
        <r>
          <rPr>
            <b/>
            <sz val="9"/>
            <color indexed="81"/>
            <rFont val="Tahoma"/>
            <family val="2"/>
          </rPr>
          <t>Shashank:</t>
        </r>
        <r>
          <rPr>
            <sz val="9"/>
            <color indexed="81"/>
            <rFont val="Tahoma"/>
            <family val="2"/>
          </rPr>
          <t xml:space="preserve">
Page no 8 10Q SEP Ended 2024</t>
        </r>
      </text>
    </comment>
    <comment ref="J58" authorId="0" shapeId="0" xr:uid="{0E8DFDBA-2123-4F81-8DFB-EFA428D8FDD7}">
      <text>
        <r>
          <rPr>
            <sz val="11"/>
            <color theme="1"/>
            <rFont val="Calibri"/>
            <family val="2"/>
            <scheme val="minor"/>
          </rPr>
          <t xml:space="preserve">Page no - 62 10K December ended 2023
</t>
        </r>
      </text>
    </comment>
    <comment ref="K58" authorId="0" shapeId="0" xr:uid="{AA94F14B-04EB-4150-9970-ACB6982761E4}">
      <text>
        <r>
          <rPr>
            <sz val="11"/>
            <color theme="1"/>
            <rFont val="Calibri"/>
            <family val="2"/>
            <scheme val="minor"/>
          </rPr>
          <t>Page no 8 10Q  SEP Ended 2024</t>
        </r>
      </text>
    </comment>
    <comment ref="L58" authorId="0" shapeId="0" xr:uid="{67D27F7B-8FEF-4283-BA0D-EB6715C9FCE8}">
      <text>
        <r>
          <rPr>
            <sz val="11"/>
            <color theme="1"/>
            <rFont val="Calibri"/>
            <family val="2"/>
            <scheme val="minor"/>
          </rPr>
          <t>Page no 4 10Q June Ended 2024</t>
        </r>
      </text>
    </comment>
  </commentList>
</comments>
</file>

<file path=xl/sharedStrings.xml><?xml version="1.0" encoding="utf-8"?>
<sst xmlns="http://schemas.openxmlformats.org/spreadsheetml/2006/main" count="5203" uniqueCount="1409">
  <si>
    <t xml:space="preserve">Valuation date </t>
  </si>
  <si>
    <t>Segment Information</t>
  </si>
  <si>
    <t>(in USD Millions)</t>
  </si>
  <si>
    <t>12Months 2020</t>
  </si>
  <si>
    <t>12Months,2021</t>
  </si>
  <si>
    <t>12Months 2022</t>
  </si>
  <si>
    <t>12 Months 2023</t>
  </si>
  <si>
    <t>Organic Growth %</t>
  </si>
  <si>
    <t>Q1</t>
  </si>
  <si>
    <t>Q2</t>
  </si>
  <si>
    <t>Q3</t>
  </si>
  <si>
    <t>Q4</t>
  </si>
  <si>
    <t>.</t>
  </si>
  <si>
    <t>Mobility  revenue</t>
  </si>
  <si>
    <t>Delivery Revenue</t>
  </si>
  <si>
    <t>Freight Revenue</t>
  </si>
  <si>
    <t>ALL Other Revenue</t>
  </si>
  <si>
    <t>Note : as in 2021 Annual statement the the New Mobility and ATG Revenue are Collaborated with the All other Revenue , have added Advance technology and All other Revenue\</t>
  </si>
  <si>
    <t>Note 02: As there is no sufficient information is provided regarding the GAAP and NON GAAP we will be using Actual Growth rate as Organic growth rate</t>
  </si>
  <si>
    <t>12Months2025</t>
  </si>
  <si>
    <t>12 Months 2026</t>
  </si>
  <si>
    <t>12 Months 2027</t>
  </si>
  <si>
    <t>12 Months 2028</t>
  </si>
  <si>
    <t>Note 03 : There Is no information provided related to All other Revenues so is not forecasted</t>
  </si>
  <si>
    <t>% diff of 2023 &amp;2024 quarter1</t>
  </si>
  <si>
    <t>Total</t>
  </si>
  <si>
    <t>Income statement</t>
  </si>
  <si>
    <t>12 Months 2019</t>
  </si>
  <si>
    <t>12 Months 2021</t>
  </si>
  <si>
    <t>Revenue</t>
  </si>
  <si>
    <t>Cost of revenue ,exclusive of Dep and amortization</t>
  </si>
  <si>
    <t>Operations and support</t>
  </si>
  <si>
    <t>Sales and Marketing</t>
  </si>
  <si>
    <t>Research and Development</t>
  </si>
  <si>
    <t>General &amp;admin</t>
  </si>
  <si>
    <t>Dep and Amortization</t>
  </si>
  <si>
    <t>Total costs and exp</t>
  </si>
  <si>
    <t>Income (loss ) from operations</t>
  </si>
  <si>
    <t xml:space="preserve">INTEREST EXP </t>
  </si>
  <si>
    <t>Other Income (exp )net</t>
  </si>
  <si>
    <t>Income (loss) before Income Taxes and Income from equity method Investments</t>
  </si>
  <si>
    <t>Provision for Income taxes</t>
  </si>
  <si>
    <t>Net Income from non Controlling interest</t>
  </si>
  <si>
    <t>Less : Net Income attributable to Non Controlling Interests, net of tax</t>
  </si>
  <si>
    <t>Net Loss Attributable to Uber Technologies</t>
  </si>
  <si>
    <t>Net Income (loss ) attributable to Common share holders</t>
  </si>
  <si>
    <t>Basic</t>
  </si>
  <si>
    <t>Diluted</t>
  </si>
  <si>
    <t>Weighted Average  shares used to Compute net income (loss) attributable to Common stock holders</t>
  </si>
  <si>
    <t>Pg :77, 10K Dec  2023</t>
  </si>
  <si>
    <t>(in Million $)</t>
  </si>
  <si>
    <t>Q1, 2024</t>
  </si>
  <si>
    <t>Q1 2023</t>
  </si>
  <si>
    <t>Q2,2023</t>
  </si>
  <si>
    <t>Q2,2024</t>
  </si>
  <si>
    <t>Q3,2023</t>
  </si>
  <si>
    <t>Q3,2024</t>
  </si>
  <si>
    <t xml:space="preserve"> Source :Pg. 9, 10Q 2024</t>
  </si>
  <si>
    <t>Source; Page 09, 10Q2, 2024</t>
  </si>
  <si>
    <t>Source  : Page 9, Q1, 2024</t>
  </si>
  <si>
    <t>Pg; 76, 10K 31- Dec 2022</t>
  </si>
  <si>
    <t>Page 77, 10K 31-12-2021</t>
  </si>
  <si>
    <t>BALANCE SHEETS</t>
  </si>
  <si>
    <t>As of Dec 31, 2019</t>
  </si>
  <si>
    <t>Dec  31, 2020</t>
  </si>
  <si>
    <t>Dec 31, 2021</t>
  </si>
  <si>
    <t>Dec 31, 2022</t>
  </si>
  <si>
    <t>Dec 31, 2023</t>
  </si>
  <si>
    <t>ASSETS</t>
  </si>
  <si>
    <t>Cash and Cash Equivalents</t>
  </si>
  <si>
    <t>Short Term Investors</t>
  </si>
  <si>
    <t>Restricted cash and cash Equivalents</t>
  </si>
  <si>
    <t>Accounts Receivable , net allowable of $34 for both yrs</t>
  </si>
  <si>
    <t xml:space="preserve">Prepaid Expenses and other current assets </t>
  </si>
  <si>
    <t>Assets  held for sale</t>
  </si>
  <si>
    <t xml:space="preserve">Total current Assets </t>
  </si>
  <si>
    <t>Investment</t>
  </si>
  <si>
    <t>Collateral  held by  Insurer</t>
  </si>
  <si>
    <t>Equity Method Investments</t>
  </si>
  <si>
    <t>Operating lease right-of-use assets</t>
  </si>
  <si>
    <t>Intangible  assets, net</t>
  </si>
  <si>
    <t>Goodwill</t>
  </si>
  <si>
    <t>Other asset</t>
  </si>
  <si>
    <t>Total assets</t>
  </si>
  <si>
    <t>Liabilities, mezzanine equity and equity (deficit)</t>
  </si>
  <si>
    <t>Accounts payable</t>
  </si>
  <si>
    <t>Short-term insurance reserves</t>
  </si>
  <si>
    <t>Operating lease liabilities, current</t>
  </si>
  <si>
    <t>Accrued and other current liabilities</t>
  </si>
  <si>
    <t>Liabilities held for sale</t>
  </si>
  <si>
    <t>Total current liabilities</t>
  </si>
  <si>
    <t>Long-term insurance reserves</t>
  </si>
  <si>
    <t>Long-term debt, net of current portion</t>
  </si>
  <si>
    <t>Operating lease liabilities, non-current</t>
  </si>
  <si>
    <t>Other long-term liabilities</t>
  </si>
  <si>
    <t>Total liabilities</t>
  </si>
  <si>
    <t>Redeemable non-controlling interests</t>
  </si>
  <si>
    <t>Redeemable convertible preferred stock, $0.00001 par value, 946,246 and zero shares authorized, 903,607 and zero shares issued and outstanding, respectively; aggregate liquidation preference of $14 and $0, respectively</t>
  </si>
  <si>
    <t>Common stock, $0.00001 par value, 2,696,114 and 5,000,000 shares authorized, 457,189 and 1,716,681 shares issued and outstanding, respectively</t>
  </si>
  <si>
    <t>Equity (deficit)</t>
  </si>
  <si>
    <t>Additional paid-in capital</t>
  </si>
  <si>
    <t>Accumulated other comprehensive loss</t>
  </si>
  <si>
    <t>Accumulated deficit</t>
  </si>
  <si>
    <t>Total Uber Technologies, Inc. stockholders' equity (deficit)</t>
  </si>
  <si>
    <t>Non-redeemable non-controlling interests</t>
  </si>
  <si>
    <t>Total equity (deficit)</t>
  </si>
  <si>
    <t>Source : Page 80, 31-Dec 2019 10K</t>
  </si>
  <si>
    <t>PPE (NET)</t>
  </si>
  <si>
    <t>Pg : 88, 31-Dec 2020, 10K</t>
  </si>
  <si>
    <t>Q4 2023</t>
  </si>
  <si>
    <t>YOY %</t>
  </si>
  <si>
    <t>Margin</t>
  </si>
  <si>
    <t>Margin %</t>
  </si>
  <si>
    <t>Check</t>
  </si>
  <si>
    <t xml:space="preserve">As On 31Dec </t>
  </si>
  <si>
    <t>Cash Flow From operating Activity</t>
  </si>
  <si>
    <t>Net Loss Includinhg Non Controlling Interest</t>
  </si>
  <si>
    <t>Adjustments to Reconcile net loss tonet cash used in operating Activity :</t>
  </si>
  <si>
    <t>Bad Debt Expense</t>
  </si>
  <si>
    <t>Stock Based Compensation</t>
  </si>
  <si>
    <t>Gain on extinguishment of convertible notes and settlement of derivatives</t>
  </si>
  <si>
    <t>Gain from sale of investments</t>
  </si>
  <si>
    <t>Gain on business divestitures, net</t>
  </si>
  <si>
    <t>Deferred income taxes</t>
  </si>
  <si>
    <t>Impairment of debt and equity securities</t>
  </si>
  <si>
    <t>Impairments of goodwill, long-lived assets and other assets</t>
  </si>
  <si>
    <t>Loss from equity method investments</t>
  </si>
  <si>
    <t>Unrealized (gain) loss on debt and equity securities, net</t>
  </si>
  <si>
    <t>Unrealized foreign currency transactions</t>
  </si>
  <si>
    <t>Other</t>
  </si>
  <si>
    <t>Change in assets and liabilities, net of impact of business acquisitions and disposals:</t>
  </si>
  <si>
    <t>Accounts receivable</t>
  </si>
  <si>
    <t>Prepaid expenses and other assets</t>
  </si>
  <si>
    <t>Collateral held by insurer</t>
  </si>
  <si>
    <t>Operating lease right-of-use assets</t>
  </si>
  <si>
    <t>Accounts payable</t>
  </si>
  <si>
    <t>Accrued insurance reserves</t>
  </si>
  <si>
    <t>Accrued expenses and other liabilities</t>
  </si>
  <si>
    <t>Operating lease liabilities</t>
  </si>
  <si>
    <t>Net cash used in operating activities</t>
  </si>
  <si>
    <t>Cash flows from investing activities</t>
  </si>
  <si>
    <t>Purchases of property and equipment</t>
  </si>
  <si>
    <t>Purchases of non-marketable equity securities</t>
  </si>
  <si>
    <t>Proceeds from maturities and sales of marketable securities</t>
  </si>
  <si>
    <t>Proceeds from sale of non-marketable equity securities</t>
  </si>
  <si>
    <t>Proceeds from sale of equity method investments</t>
  </si>
  <si>
    <t>Proceeds from business disposal, net of cash divested</t>
  </si>
  <si>
    <t>Acquisition of businesses, net of cash acquired</t>
  </si>
  <si>
    <t>Return of capital from equity method investee</t>
  </si>
  <si>
    <t>Purchase of notes receivables</t>
  </si>
  <si>
    <t>Other investing activities</t>
  </si>
  <si>
    <t>Net cash used in investing activities</t>
  </si>
  <si>
    <t>Cash flows from financing activities</t>
  </si>
  <si>
    <t>Proceeds from issuance of common stock upon initial public offering, net of offering costs</t>
  </si>
  <si>
    <t>Taxes paid related to net share settlement of equity awards</t>
  </si>
  <si>
    <t>Proceeds from issuance of common stock related to private placement</t>
  </si>
  <si>
    <t>Proceeds from issuance and sale of subsidiary preferred stock units</t>
  </si>
  <si>
    <t>Proceeds from the issuance of common stock under the Employee Stock Purchase Plan</t>
  </si>
  <si>
    <t>Issuance of term loan and notes, net of issuance costs</t>
  </si>
  <si>
    <t>Principal repayment on term loan and notes</t>
  </si>
  <si>
    <t>Principal repayment on Careem Notes</t>
  </si>
  <si>
    <t>Principal payments on finance leases</t>
  </si>
  <si>
    <t>Other financing activities</t>
  </si>
  <si>
    <t>Net cash provided by financing activities</t>
  </si>
  <si>
    <t>Effect of exchange rate changes on cash and cash equivalents, and restricted cash and cash equivalents</t>
  </si>
  <si>
    <t>Net increase (decrease) in cash and cash equivalents, and restricted cash and cash equivalents</t>
  </si>
  <si>
    <t>Cash and cash equivalents, and restricted cash and cash equivalents</t>
  </si>
  <si>
    <t>Beginning of period</t>
  </si>
  <si>
    <t>Reclassification from (to) assets held for sale during the period</t>
  </si>
  <si>
    <t>End of period, excluding cash classified within assets held for sale</t>
  </si>
  <si>
    <t>Supplemental disclosures of cash flow information</t>
  </si>
  <si>
    <t>Cash paid for:</t>
  </si>
  <si>
    <t>Interest, net of amount capitalized</t>
  </si>
  <si>
    <t>Income taxes, net of refunds</t>
  </si>
  <si>
    <t>Non-cash investing and financing activities:</t>
  </si>
  <si>
    <t>Conversion of redeemable convertible preferred stock to common stock upon initial public offering</t>
  </si>
  <si>
    <t>Conversion of convertible notes to common stock upon initial public offering</t>
  </si>
  <si>
    <t>Conversion of convertible notes to common stock related to Careem</t>
  </si>
  <si>
    <t>Finance lease obligations</t>
  </si>
  <si>
    <t>Common stock issued in connection with acquisitions</t>
  </si>
  <si>
    <t>Ownership interest received in exchange for divestitures</t>
  </si>
  <si>
    <t>Issuance of Careem Notes including the holdback amount</t>
  </si>
  <si>
    <t>Purchases of marketable securities</t>
  </si>
  <si>
    <t>Mobile revenue</t>
  </si>
  <si>
    <t>Freight</t>
  </si>
  <si>
    <t>Delivery revenue</t>
  </si>
  <si>
    <t>Rev shares</t>
  </si>
  <si>
    <t>Cost as % of Sales</t>
  </si>
  <si>
    <t>Cost of Sales (other than Dep EXP)</t>
  </si>
  <si>
    <t>12 Months 2025</t>
  </si>
  <si>
    <t>Tax rate normalized (% of PBT)</t>
  </si>
  <si>
    <t>Share of non Controlling interests (% of net income)</t>
  </si>
  <si>
    <t>% SG &amp;A</t>
  </si>
  <si>
    <t>UBER TECHNOLOGIES</t>
  </si>
  <si>
    <t>( in USD Millions )</t>
  </si>
  <si>
    <t>Plant Property and Equipment</t>
  </si>
  <si>
    <t>12 Months 2020</t>
  </si>
  <si>
    <t>12 Months 2022</t>
  </si>
  <si>
    <t>12 Months 2024</t>
  </si>
  <si>
    <t>Operations and Support</t>
  </si>
  <si>
    <t>Opening Balance-WDV</t>
  </si>
  <si>
    <t>Add: Net Addition during the Period</t>
  </si>
  <si>
    <t>Total Depreciable Assets During the Year</t>
  </si>
  <si>
    <t>Less: Depreciation during the year</t>
  </si>
  <si>
    <t>Closing Balance-WDV</t>
  </si>
  <si>
    <t>PPE Turnover Ratio</t>
  </si>
  <si>
    <t>Depreciation Rate</t>
  </si>
  <si>
    <t>Amortizable Intangible Assets, net</t>
  </si>
  <si>
    <t>Total Amortizable Assets During the Year</t>
  </si>
  <si>
    <t>Less: Amortisation during the year</t>
  </si>
  <si>
    <t>Amortisation Rate</t>
  </si>
  <si>
    <t>Total Depreciation</t>
  </si>
  <si>
    <t>Q3 2024 (9 m)</t>
  </si>
  <si>
    <t>Opening Debt</t>
  </si>
  <si>
    <t>Cash Before Debt (During the period)</t>
  </si>
  <si>
    <t>Add: Opening Cash Balance</t>
  </si>
  <si>
    <t>Cash Available for Debt repayments</t>
  </si>
  <si>
    <t>Less: Mandatory Debt Repayments</t>
  </si>
  <si>
    <t>Cash balance after mandatory debt repayment</t>
  </si>
  <si>
    <t>Add: debt raised</t>
  </si>
  <si>
    <t>Closing Cash Balance (Total Debt)</t>
  </si>
  <si>
    <t>Current portion of long term debt</t>
  </si>
  <si>
    <t>Long term debt</t>
  </si>
  <si>
    <t>Debt Schedule</t>
  </si>
  <si>
    <t>Purchase of Capped calls</t>
  </si>
  <si>
    <t>12Months 2026</t>
  </si>
  <si>
    <t>Cash Flow Statement</t>
  </si>
  <si>
    <t>Cash From Operating Activities</t>
  </si>
  <si>
    <t>Net Income</t>
  </si>
  <si>
    <t>Depreciation and amortization</t>
  </si>
  <si>
    <t>Share-based compensation expense</t>
  </si>
  <si>
    <t>Change in assets and liabilities:</t>
  </si>
  <si>
    <t>Trade accounts receivable</t>
  </si>
  <si>
    <t>Inventories</t>
  </si>
  <si>
    <t>Prepaid expenses and other current assets</t>
  </si>
  <si>
    <t>Accounts payable and accrued expenses</t>
  </si>
  <si>
    <t>Net Cash Provided by Operating Activities</t>
  </si>
  <si>
    <t>Cash From Investing Activities</t>
  </si>
  <si>
    <t>Capital Expenditure</t>
  </si>
  <si>
    <t>Net Cash Used for Investing Activities</t>
  </si>
  <si>
    <t>Cash From Financing Activities</t>
  </si>
  <si>
    <t>Cash dividends paid</t>
  </si>
  <si>
    <t>Cash before Raising (Repayment) of Debt</t>
  </si>
  <si>
    <t>Debt Raised</t>
  </si>
  <si>
    <t>Debt Repaid</t>
  </si>
  <si>
    <t>Net Cash Provided by/(Used for) Financing Activities</t>
  </si>
  <si>
    <t>Net Increase/(Decrease) in Cash and Cash Equivalents</t>
  </si>
  <si>
    <t xml:space="preserve">Cash and Cash Equivalents, Beginning of Year </t>
  </si>
  <si>
    <t>Cash and Cash Equivalents, End of Period</t>
  </si>
  <si>
    <t>% Of taxes</t>
  </si>
  <si>
    <t>Percentage of other income for future</t>
  </si>
  <si>
    <t>% of EBIT</t>
  </si>
  <si>
    <t>Total liabilities, redeeemable non controlling Interest and equity</t>
  </si>
  <si>
    <t>9 months</t>
  </si>
  <si>
    <t>Sep 30,  9 Months 2024</t>
  </si>
  <si>
    <t>10Q 3rd  Quarter 2024, Page 8</t>
  </si>
  <si>
    <t>ROI</t>
  </si>
  <si>
    <t>Loan Amount</t>
  </si>
  <si>
    <t>Weights</t>
  </si>
  <si>
    <t>Weighted Average Cost of Debt</t>
  </si>
  <si>
    <t>Interest Exp</t>
  </si>
  <si>
    <t>Working Capital</t>
  </si>
  <si>
    <t>Trade Accounts Receivable</t>
  </si>
  <si>
    <t xml:space="preserve">Accounts payable </t>
  </si>
  <si>
    <t>From CFS closing Balance</t>
  </si>
  <si>
    <t>same</t>
  </si>
  <si>
    <t xml:space="preserve">Calculated </t>
  </si>
  <si>
    <t>Fixed asset Closing WDV</t>
  </si>
  <si>
    <t>Calculated</t>
  </si>
  <si>
    <t>Debt Schedule Current portion</t>
  </si>
  <si>
    <t xml:space="preserve">Debt schedule long term </t>
  </si>
  <si>
    <t>Previous years + Current year Share based compensation</t>
  </si>
  <si>
    <t>previous years + current years net income</t>
  </si>
  <si>
    <t>CA-CL</t>
  </si>
  <si>
    <t>Forecasted</t>
  </si>
  <si>
    <t>Reference  Note</t>
  </si>
  <si>
    <t>Payable Days</t>
  </si>
  <si>
    <t>Payable Days * COGS  Except DEP and Amort /365</t>
  </si>
  <si>
    <t>Receivable Days *Revenue /365</t>
  </si>
  <si>
    <t>From income statement we have taken</t>
  </si>
  <si>
    <t>Fixed asset</t>
  </si>
  <si>
    <t>Fixed asset schedule</t>
  </si>
  <si>
    <t>Debt schedule</t>
  </si>
  <si>
    <t>9 MONTHS opening cash balance</t>
  </si>
  <si>
    <t>Reference Notes</t>
  </si>
  <si>
    <t>Consolidated Statement of Cash Flows HISTORICAL</t>
  </si>
  <si>
    <t>FORECASTED</t>
  </si>
  <si>
    <t>Receivable Days</t>
  </si>
  <si>
    <t>Source : Page 96, 10K 2021</t>
  </si>
  <si>
    <t>Source : Page 94, 10K 2022</t>
  </si>
  <si>
    <t>Source : Page 94, 10K 2023</t>
  </si>
  <si>
    <t xml:space="preserve">Page : 73, 31 Dec 2021, 10K  </t>
  </si>
  <si>
    <t xml:space="preserve">Page : 73, 31 Dec 2022, 10K  </t>
  </si>
  <si>
    <t>Page :74, 31 Dec 2023, 10K</t>
  </si>
  <si>
    <t>10K  2023, Page 105</t>
  </si>
  <si>
    <t>Page 112, 10K  Dec 31 2019</t>
  </si>
  <si>
    <t>10K Page 119, Dec 31, 2020</t>
  </si>
  <si>
    <t>10 K ,  Page 106, Dec 31, 2022</t>
  </si>
  <si>
    <t>Page 104, 10K Dec 31-2023</t>
  </si>
  <si>
    <t>Page 19, 10Q Sept 2024</t>
  </si>
  <si>
    <t>Date</t>
  </si>
  <si>
    <t>Close/Last</t>
  </si>
  <si>
    <t>01/14/2025</t>
  </si>
  <si>
    <t>01/13/2025</t>
  </si>
  <si>
    <t>12/31/2024</t>
  </si>
  <si>
    <t>12/30/2024</t>
  </si>
  <si>
    <t>12/27/2024</t>
  </si>
  <si>
    <t>12/26/2024</t>
  </si>
  <si>
    <t>12/24/2024</t>
  </si>
  <si>
    <t>12/23/2024</t>
  </si>
  <si>
    <t>12/20/2024</t>
  </si>
  <si>
    <t>12/19/2024</t>
  </si>
  <si>
    <t>12/18/2024</t>
  </si>
  <si>
    <t>12/17/2024</t>
  </si>
  <si>
    <t>12/16/2024</t>
  </si>
  <si>
    <t>12/13/2024</t>
  </si>
  <si>
    <t>11/29/2024</t>
  </si>
  <si>
    <t>11/27/2024</t>
  </si>
  <si>
    <t>11/26/2024</t>
  </si>
  <si>
    <t>11/25/2024</t>
  </si>
  <si>
    <t>11/22/2024</t>
  </si>
  <si>
    <t>11/21/2024</t>
  </si>
  <si>
    <t>11/20/2024</t>
  </si>
  <si>
    <t>11/19/2024</t>
  </si>
  <si>
    <t>11/18/2024</t>
  </si>
  <si>
    <t>11/15/2024</t>
  </si>
  <si>
    <t>11/14/2024</t>
  </si>
  <si>
    <t>11/13/2024</t>
  </si>
  <si>
    <t>10/31/2024</t>
  </si>
  <si>
    <t>10/30/2024</t>
  </si>
  <si>
    <t>10/29/2024</t>
  </si>
  <si>
    <t>10/28/2024</t>
  </si>
  <si>
    <t>10/25/2024</t>
  </si>
  <si>
    <t>10/24/2024</t>
  </si>
  <si>
    <t>10/23/2024</t>
  </si>
  <si>
    <t>10/22/2024</t>
  </si>
  <si>
    <t>10/21/2024</t>
  </si>
  <si>
    <t>10/18/2024</t>
  </si>
  <si>
    <t>10/17/2024</t>
  </si>
  <si>
    <t>10/16/2024</t>
  </si>
  <si>
    <t>10/15/2024</t>
  </si>
  <si>
    <t>10/14/2024</t>
  </si>
  <si>
    <t>09/30/2024</t>
  </si>
  <si>
    <t>09/27/2024</t>
  </si>
  <si>
    <t>09/26/2024</t>
  </si>
  <si>
    <t>09/25/2024</t>
  </si>
  <si>
    <t>09/24/2024</t>
  </si>
  <si>
    <t>09/23/2024</t>
  </si>
  <si>
    <t>09/20/2024</t>
  </si>
  <si>
    <t>09/19/2024</t>
  </si>
  <si>
    <t>09/18/2024</t>
  </si>
  <si>
    <t>09/17/2024</t>
  </si>
  <si>
    <t>09/16/2024</t>
  </si>
  <si>
    <t>09/13/2024</t>
  </si>
  <si>
    <t>08/30/2024</t>
  </si>
  <si>
    <t>08/29/2024</t>
  </si>
  <si>
    <t>08/28/2024</t>
  </si>
  <si>
    <t>08/27/2024</t>
  </si>
  <si>
    <t>08/26/2024</t>
  </si>
  <si>
    <t>08/23/2024</t>
  </si>
  <si>
    <t>08/22/2024</t>
  </si>
  <si>
    <t>08/21/2024</t>
  </si>
  <si>
    <t>08/20/2024</t>
  </si>
  <si>
    <t>08/19/2024</t>
  </si>
  <si>
    <t>08/16/2024</t>
  </si>
  <si>
    <t>08/15/2024</t>
  </si>
  <si>
    <t>08/14/2024</t>
  </si>
  <si>
    <t>08/13/2024</t>
  </si>
  <si>
    <t>07/31/2024</t>
  </si>
  <si>
    <t>07/30/2024</t>
  </si>
  <si>
    <t>07/29/2024</t>
  </si>
  <si>
    <t>07/26/2024</t>
  </si>
  <si>
    <t>07/25/2024</t>
  </si>
  <si>
    <t>07/24/2024</t>
  </si>
  <si>
    <t>07/23/2024</t>
  </si>
  <si>
    <t>07/22/2024</t>
  </si>
  <si>
    <t>07/19/2024</t>
  </si>
  <si>
    <t>07/18/2024</t>
  </si>
  <si>
    <t>07/17/2024</t>
  </si>
  <si>
    <t>07/16/2024</t>
  </si>
  <si>
    <t>07/15/2024</t>
  </si>
  <si>
    <t>06/28/2024</t>
  </si>
  <si>
    <t>06/27/2024</t>
  </si>
  <si>
    <t>06/26/2024</t>
  </si>
  <si>
    <t>06/25/2024</t>
  </si>
  <si>
    <t>06/24/2024</t>
  </si>
  <si>
    <t>06/21/2024</t>
  </si>
  <si>
    <t>06/20/2024</t>
  </si>
  <si>
    <t>06/18/2024</t>
  </si>
  <si>
    <t>06/17/2024</t>
  </si>
  <si>
    <t>06/14/2024</t>
  </si>
  <si>
    <t>06/13/2024</t>
  </si>
  <si>
    <t>05/31/2024</t>
  </si>
  <si>
    <t>05/30/2024</t>
  </si>
  <si>
    <t>05/29/2024</t>
  </si>
  <si>
    <t>05/28/2024</t>
  </si>
  <si>
    <t>05/24/2024</t>
  </si>
  <si>
    <t>05/23/2024</t>
  </si>
  <si>
    <t>05/22/2024</t>
  </si>
  <si>
    <t>05/21/2024</t>
  </si>
  <si>
    <t>05/20/2024</t>
  </si>
  <si>
    <t>05/17/2024</t>
  </si>
  <si>
    <t>05/16/2024</t>
  </si>
  <si>
    <t>05/15/2024</t>
  </si>
  <si>
    <t>05/14/2024</t>
  </si>
  <si>
    <t>05/13/2024</t>
  </si>
  <si>
    <t>04/30/2024</t>
  </si>
  <si>
    <t>04/29/2024</t>
  </si>
  <si>
    <t>04/26/2024</t>
  </si>
  <si>
    <t>04/25/2024</t>
  </si>
  <si>
    <t>04/24/2024</t>
  </si>
  <si>
    <t>04/23/2024</t>
  </si>
  <si>
    <t>04/22/2024</t>
  </si>
  <si>
    <t>04/19/2024</t>
  </si>
  <si>
    <t>04/18/2024</t>
  </si>
  <si>
    <t>04/17/2024</t>
  </si>
  <si>
    <t>04/16/2024</t>
  </si>
  <si>
    <t>04/15/2024</t>
  </si>
  <si>
    <t>03/28/2024</t>
  </si>
  <si>
    <t>03/27/2024</t>
  </si>
  <si>
    <t>03/26/2024</t>
  </si>
  <si>
    <t>03/25/2024</t>
  </si>
  <si>
    <t>03/22/2024</t>
  </si>
  <si>
    <t>03/21/2024</t>
  </si>
  <si>
    <t>03/20/2024</t>
  </si>
  <si>
    <t>03/19/2024</t>
  </si>
  <si>
    <t>03/18/2024</t>
  </si>
  <si>
    <t>03/15/2024</t>
  </si>
  <si>
    <t>03/14/2024</t>
  </si>
  <si>
    <t>03/13/2024</t>
  </si>
  <si>
    <t>02/29/2024</t>
  </si>
  <si>
    <t>02/28/2024</t>
  </si>
  <si>
    <t>02/27/2024</t>
  </si>
  <si>
    <t>02/26/2024</t>
  </si>
  <si>
    <t>02/23/2024</t>
  </si>
  <si>
    <t>02/22/2024</t>
  </si>
  <si>
    <t>02/21/2024</t>
  </si>
  <si>
    <t>02/20/2024</t>
  </si>
  <si>
    <t>02/16/2024</t>
  </si>
  <si>
    <t>02/15/2024</t>
  </si>
  <si>
    <t>02/14/2024</t>
  </si>
  <si>
    <t>02/13/2024</t>
  </si>
  <si>
    <t>01/31/2024</t>
  </si>
  <si>
    <t>01/30/2024</t>
  </si>
  <si>
    <t>01/29/2024</t>
  </si>
  <si>
    <t>01/26/2024</t>
  </si>
  <si>
    <t>01/25/2024</t>
  </si>
  <si>
    <t>01/24/2024</t>
  </si>
  <si>
    <t>01/23/2024</t>
  </si>
  <si>
    <t>01/22/2024</t>
  </si>
  <si>
    <t>01/19/2024</t>
  </si>
  <si>
    <t>01/18/2024</t>
  </si>
  <si>
    <t>01/17/2024</t>
  </si>
  <si>
    <t>01/16/2024</t>
  </si>
  <si>
    <t>12/29/2023</t>
  </si>
  <si>
    <t>12/28/2023</t>
  </si>
  <si>
    <t>12/27/2023</t>
  </si>
  <si>
    <t>12/26/2023</t>
  </si>
  <si>
    <t>12/22/2023</t>
  </si>
  <si>
    <t>12/21/2023</t>
  </si>
  <si>
    <t>12/20/2023</t>
  </si>
  <si>
    <t>12/19/2023</t>
  </si>
  <si>
    <t>12/18/2023</t>
  </si>
  <si>
    <t>12/15/2023</t>
  </si>
  <si>
    <t>12/14/2023</t>
  </si>
  <si>
    <t>12/13/2023</t>
  </si>
  <si>
    <t>11/30/2023</t>
  </si>
  <si>
    <t>11/29/2023</t>
  </si>
  <si>
    <t>11/28/2023</t>
  </si>
  <si>
    <t>11/27/2023</t>
  </si>
  <si>
    <t>11/24/2023</t>
  </si>
  <si>
    <t>11/22/2023</t>
  </si>
  <si>
    <t>11/21/2023</t>
  </si>
  <si>
    <t>11/20/2023</t>
  </si>
  <si>
    <t>11/17/2023</t>
  </si>
  <si>
    <t>11/16/2023</t>
  </si>
  <si>
    <t>11/15/2023</t>
  </si>
  <si>
    <t>11/14/2023</t>
  </si>
  <si>
    <t>11/13/2023</t>
  </si>
  <si>
    <t>10/31/2023</t>
  </si>
  <si>
    <t>10/30/2023</t>
  </si>
  <si>
    <t>10/27/2023</t>
  </si>
  <si>
    <t>10/26/2023</t>
  </si>
  <si>
    <t>10/25/2023</t>
  </si>
  <si>
    <t>10/24/2023</t>
  </si>
  <si>
    <t>10/23/2023</t>
  </si>
  <si>
    <t>10/20/2023</t>
  </si>
  <si>
    <t>10/19/2023</t>
  </si>
  <si>
    <t>10/18/2023</t>
  </si>
  <si>
    <t>10/17/2023</t>
  </si>
  <si>
    <t>10/16/2023</t>
  </si>
  <si>
    <t>10/13/2023</t>
  </si>
  <si>
    <t>09/29/2023</t>
  </si>
  <si>
    <t>09/28/2023</t>
  </si>
  <si>
    <t>09/27/2023</t>
  </si>
  <si>
    <t>09/26/2023</t>
  </si>
  <si>
    <t>09/25/2023</t>
  </si>
  <si>
    <t>09/22/2023</t>
  </si>
  <si>
    <t>09/21/2023</t>
  </si>
  <si>
    <t>09/20/2023</t>
  </si>
  <si>
    <t>09/19/2023</t>
  </si>
  <si>
    <t>09/18/2023</t>
  </si>
  <si>
    <t>09/15/2023</t>
  </si>
  <si>
    <t>09/14/2023</t>
  </si>
  <si>
    <t>09/13/2023</t>
  </si>
  <si>
    <t>08/31/2023</t>
  </si>
  <si>
    <t>08/30/2023</t>
  </si>
  <si>
    <t>08/29/2023</t>
  </si>
  <si>
    <t>08/28/2023</t>
  </si>
  <si>
    <t>08/25/2023</t>
  </si>
  <si>
    <t>08/24/2023</t>
  </si>
  <si>
    <t>08/23/2023</t>
  </si>
  <si>
    <t>08/22/2023</t>
  </si>
  <si>
    <t>08/21/2023</t>
  </si>
  <si>
    <t>08/18/2023</t>
  </si>
  <si>
    <t>08/17/2023</t>
  </si>
  <si>
    <t>08/16/2023</t>
  </si>
  <si>
    <t>08/15/2023</t>
  </si>
  <si>
    <t>08/14/2023</t>
  </si>
  <si>
    <t>07/31/2023</t>
  </si>
  <si>
    <t>07/28/2023</t>
  </si>
  <si>
    <t>07/27/2023</t>
  </si>
  <si>
    <t>07/26/2023</t>
  </si>
  <si>
    <t>07/25/2023</t>
  </si>
  <si>
    <t>07/24/2023</t>
  </si>
  <si>
    <t>07/21/2023</t>
  </si>
  <si>
    <t>07/20/2023</t>
  </si>
  <si>
    <t>07/19/2023</t>
  </si>
  <si>
    <t>07/18/2023</t>
  </si>
  <si>
    <t>07/17/2023</t>
  </si>
  <si>
    <t>07/14/2023</t>
  </si>
  <si>
    <t>07/13/2023</t>
  </si>
  <si>
    <t>06/30/2023</t>
  </si>
  <si>
    <t>06/29/2023</t>
  </si>
  <si>
    <t>06/28/2023</t>
  </si>
  <si>
    <t>06/27/2023</t>
  </si>
  <si>
    <t>06/26/2023</t>
  </si>
  <si>
    <t>06/23/2023</t>
  </si>
  <si>
    <t>06/22/2023</t>
  </si>
  <si>
    <t>06/21/2023</t>
  </si>
  <si>
    <t>06/20/2023</t>
  </si>
  <si>
    <t>06/16/2023</t>
  </si>
  <si>
    <t>06/15/2023</t>
  </si>
  <si>
    <t>06/14/2023</t>
  </si>
  <si>
    <t>06/13/2023</t>
  </si>
  <si>
    <t>05/31/2023</t>
  </si>
  <si>
    <t>05/30/2023</t>
  </si>
  <si>
    <t>05/26/2023</t>
  </si>
  <si>
    <t>05/25/2023</t>
  </si>
  <si>
    <t>05/24/2023</t>
  </si>
  <si>
    <t>05/23/2023</t>
  </si>
  <si>
    <t>05/22/2023</t>
  </si>
  <si>
    <t>05/19/2023</t>
  </si>
  <si>
    <t>05/18/2023</t>
  </si>
  <si>
    <t>05/17/2023</t>
  </si>
  <si>
    <t>05/16/2023</t>
  </si>
  <si>
    <t>05/15/2023</t>
  </si>
  <si>
    <t>04/28/2023</t>
  </si>
  <si>
    <t>04/27/2023</t>
  </si>
  <si>
    <t>04/26/2023</t>
  </si>
  <si>
    <t>04/25/2023</t>
  </si>
  <si>
    <t>04/24/2023</t>
  </si>
  <si>
    <t>04/21/2023</t>
  </si>
  <si>
    <t>04/20/2023</t>
  </si>
  <si>
    <t>04/19/2023</t>
  </si>
  <si>
    <t>04/18/2023</t>
  </si>
  <si>
    <t>04/17/2023</t>
  </si>
  <si>
    <t>04/14/2023</t>
  </si>
  <si>
    <t>04/13/2023</t>
  </si>
  <si>
    <t>03/31/2023</t>
  </si>
  <si>
    <t>03/30/2023</t>
  </si>
  <si>
    <t>03/29/2023</t>
  </si>
  <si>
    <t>03/28/2023</t>
  </si>
  <si>
    <t>03/27/2023</t>
  </si>
  <si>
    <t>03/24/2023</t>
  </si>
  <si>
    <t>03/23/2023</t>
  </si>
  <si>
    <t>03/22/2023</t>
  </si>
  <si>
    <t>03/21/2023</t>
  </si>
  <si>
    <t>03/20/2023</t>
  </si>
  <si>
    <t>03/17/2023</t>
  </si>
  <si>
    <t>03/16/2023</t>
  </si>
  <si>
    <t>03/15/2023</t>
  </si>
  <si>
    <t>03/14/2023</t>
  </si>
  <si>
    <t>03/13/2023</t>
  </si>
  <si>
    <t>02/28/2023</t>
  </si>
  <si>
    <t>02/27/2023</t>
  </si>
  <si>
    <t>02/24/2023</t>
  </si>
  <si>
    <t>02/23/2023</t>
  </si>
  <si>
    <t>02/22/2023</t>
  </si>
  <si>
    <t>02/21/2023</t>
  </si>
  <si>
    <t>02/17/2023</t>
  </si>
  <si>
    <t>02/16/2023</t>
  </si>
  <si>
    <t>02/15/2023</t>
  </si>
  <si>
    <t>02/14/2023</t>
  </si>
  <si>
    <t>02/13/2023</t>
  </si>
  <si>
    <t>01/31/2023</t>
  </si>
  <si>
    <t>01/30/2023</t>
  </si>
  <si>
    <t>01/27/2023</t>
  </si>
  <si>
    <t>01/26/2023</t>
  </si>
  <si>
    <t>01/25/2023</t>
  </si>
  <si>
    <t>01/24/2023</t>
  </si>
  <si>
    <t>01/23/2023</t>
  </si>
  <si>
    <t>01/20/2023</t>
  </si>
  <si>
    <t>01/19/2023</t>
  </si>
  <si>
    <t>01/18/2023</t>
  </si>
  <si>
    <t>01/17/2023</t>
  </si>
  <si>
    <t>01/13/2023</t>
  </si>
  <si>
    <t>12/30/2022</t>
  </si>
  <si>
    <t>12/29/2022</t>
  </si>
  <si>
    <t>12/28/2022</t>
  </si>
  <si>
    <t>12/27/2022</t>
  </si>
  <si>
    <t>12/23/2022</t>
  </si>
  <si>
    <t>12/22/2022</t>
  </si>
  <si>
    <t>12/21/2022</t>
  </si>
  <si>
    <t>12/20/2022</t>
  </si>
  <si>
    <t>12/19/2022</t>
  </si>
  <si>
    <t>12/16/2022</t>
  </si>
  <si>
    <t>12/15/2022</t>
  </si>
  <si>
    <t>12/14/2022</t>
  </si>
  <si>
    <t>12/13/2022</t>
  </si>
  <si>
    <t>11/30/2022</t>
  </si>
  <si>
    <t>11/29/2022</t>
  </si>
  <si>
    <t>11/28/2022</t>
  </si>
  <si>
    <t>11/25/2022</t>
  </si>
  <si>
    <t>11/23/2022</t>
  </si>
  <si>
    <t>11/22/2022</t>
  </si>
  <si>
    <t>11/21/2022</t>
  </si>
  <si>
    <t>11/18/2022</t>
  </si>
  <si>
    <t>11/17/2022</t>
  </si>
  <si>
    <t>11/16/2022</t>
  </si>
  <si>
    <t>11/15/2022</t>
  </si>
  <si>
    <t>11/14/2022</t>
  </si>
  <si>
    <t>10/31/2022</t>
  </si>
  <si>
    <t>10/28/2022</t>
  </si>
  <si>
    <t>10/27/2022</t>
  </si>
  <si>
    <t>10/26/2022</t>
  </si>
  <si>
    <t>10/25/2022</t>
  </si>
  <si>
    <t>10/24/2022</t>
  </si>
  <si>
    <t>10/21/2022</t>
  </si>
  <si>
    <t>10/20/2022</t>
  </si>
  <si>
    <t>10/19/2022</t>
  </si>
  <si>
    <t>10/18/2022</t>
  </si>
  <si>
    <t>10/17/2022</t>
  </si>
  <si>
    <t>10/14/2022</t>
  </si>
  <si>
    <t>10/13/2022</t>
  </si>
  <si>
    <t>09/30/2022</t>
  </si>
  <si>
    <t>09/29/2022</t>
  </si>
  <si>
    <t>09/28/2022</t>
  </si>
  <si>
    <t>09/27/2022</t>
  </si>
  <si>
    <t>09/26/2022</t>
  </si>
  <si>
    <t>09/23/2022</t>
  </si>
  <si>
    <t>09/22/2022</t>
  </si>
  <si>
    <t>09/21/2022</t>
  </si>
  <si>
    <t>09/20/2022</t>
  </si>
  <si>
    <t>09/19/2022</t>
  </si>
  <si>
    <t>09/16/2022</t>
  </si>
  <si>
    <t>09/15/2022</t>
  </si>
  <si>
    <t>09/14/2022</t>
  </si>
  <si>
    <t>09/13/2022</t>
  </si>
  <si>
    <t>08/31/2022</t>
  </si>
  <si>
    <t>08/30/2022</t>
  </si>
  <si>
    <t>08/29/2022</t>
  </si>
  <si>
    <t>08/26/2022</t>
  </si>
  <si>
    <t>08/25/2022</t>
  </si>
  <si>
    <t>08/24/2022</t>
  </si>
  <si>
    <t>08/23/2022</t>
  </si>
  <si>
    <t>08/22/2022</t>
  </si>
  <si>
    <t>08/19/2022</t>
  </si>
  <si>
    <t>08/18/2022</t>
  </si>
  <si>
    <t>08/17/2022</t>
  </si>
  <si>
    <t>08/16/2022</t>
  </si>
  <si>
    <t>08/15/2022</t>
  </si>
  <si>
    <t>07/29/2022</t>
  </si>
  <si>
    <t>07/28/2022</t>
  </si>
  <si>
    <t>07/27/2022</t>
  </si>
  <si>
    <t>07/26/2022</t>
  </si>
  <si>
    <t>07/25/2022</t>
  </si>
  <si>
    <t>07/22/2022</t>
  </si>
  <si>
    <t>07/21/2022</t>
  </si>
  <si>
    <t>07/20/2022</t>
  </si>
  <si>
    <t>07/19/2022</t>
  </si>
  <si>
    <t>07/18/2022</t>
  </si>
  <si>
    <t>07/15/2022</t>
  </si>
  <si>
    <t>07/14/2022</t>
  </si>
  <si>
    <t>07/13/2022</t>
  </si>
  <si>
    <t>06/30/2022</t>
  </si>
  <si>
    <t>06/29/2022</t>
  </si>
  <si>
    <t>06/28/2022</t>
  </si>
  <si>
    <t>06/27/2022</t>
  </si>
  <si>
    <t>06/24/2022</t>
  </si>
  <si>
    <t>06/23/2022</t>
  </si>
  <si>
    <t>06/22/2022</t>
  </si>
  <si>
    <t>06/21/2022</t>
  </si>
  <si>
    <t>06/17/2022</t>
  </si>
  <si>
    <t>06/16/2022</t>
  </si>
  <si>
    <t>06/15/2022</t>
  </si>
  <si>
    <t>06/14/2022</t>
  </si>
  <si>
    <t>06/13/2022</t>
  </si>
  <si>
    <t>05/31/2022</t>
  </si>
  <si>
    <t>05/27/2022</t>
  </si>
  <si>
    <t>05/26/2022</t>
  </si>
  <si>
    <t>05/25/2022</t>
  </si>
  <si>
    <t>05/24/2022</t>
  </si>
  <si>
    <t>05/23/2022</t>
  </si>
  <si>
    <t>05/20/2022</t>
  </si>
  <si>
    <t>05/19/2022</t>
  </si>
  <si>
    <t>05/18/2022</t>
  </si>
  <si>
    <t>05/17/2022</t>
  </si>
  <si>
    <t>05/16/2022</t>
  </si>
  <si>
    <t>05/13/2022</t>
  </si>
  <si>
    <t>04/29/2022</t>
  </si>
  <si>
    <t>04/28/2022</t>
  </si>
  <si>
    <t>04/27/2022</t>
  </si>
  <si>
    <t>04/26/2022</t>
  </si>
  <si>
    <t>04/25/2022</t>
  </si>
  <si>
    <t>04/22/2022</t>
  </si>
  <si>
    <t>04/21/2022</t>
  </si>
  <si>
    <t>04/20/2022</t>
  </si>
  <si>
    <t>04/19/2022</t>
  </si>
  <si>
    <t>04/18/2022</t>
  </si>
  <si>
    <t>04/14/2022</t>
  </si>
  <si>
    <t>04/13/2022</t>
  </si>
  <si>
    <t>03/31/2022</t>
  </si>
  <si>
    <t>03/30/2022</t>
  </si>
  <si>
    <t>03/29/2022</t>
  </si>
  <si>
    <t>03/28/2022</t>
  </si>
  <si>
    <t>03/25/2022</t>
  </si>
  <si>
    <t>03/24/2022</t>
  </si>
  <si>
    <t>03/23/2022</t>
  </si>
  <si>
    <t>03/22/2022</t>
  </si>
  <si>
    <t>03/21/2022</t>
  </si>
  <si>
    <t>03/18/2022</t>
  </si>
  <si>
    <t>03/17/2022</t>
  </si>
  <si>
    <t>03/16/2022</t>
  </si>
  <si>
    <t>03/15/2022</t>
  </si>
  <si>
    <t>03/14/2022</t>
  </si>
  <si>
    <t>02/28/2022</t>
  </si>
  <si>
    <t>02/25/2022</t>
  </si>
  <si>
    <t>02/24/2022</t>
  </si>
  <si>
    <t>02/23/2022</t>
  </si>
  <si>
    <t>02/22/2022</t>
  </si>
  <si>
    <t>02/18/2022</t>
  </si>
  <si>
    <t>02/17/2022</t>
  </si>
  <si>
    <t>02/16/2022</t>
  </si>
  <si>
    <t>02/15/2022</t>
  </si>
  <si>
    <t>02/14/2022</t>
  </si>
  <si>
    <t>01/31/2022</t>
  </si>
  <si>
    <t>01/28/2022</t>
  </si>
  <si>
    <t>01/27/2022</t>
  </si>
  <si>
    <t>01/26/2022</t>
  </si>
  <si>
    <t>01/25/2022</t>
  </si>
  <si>
    <t>01/24/2022</t>
  </si>
  <si>
    <t>01/21/2022</t>
  </si>
  <si>
    <t>01/20/2022</t>
  </si>
  <si>
    <t>01/19/2022</t>
  </si>
  <si>
    <t>01/18/2022</t>
  </si>
  <si>
    <t>01/14/2022</t>
  </si>
  <si>
    <t>01/13/2022</t>
  </si>
  <si>
    <t>12/31/2021</t>
  </si>
  <si>
    <t>12/30/2021</t>
  </si>
  <si>
    <t>12/29/2021</t>
  </si>
  <si>
    <t>12/28/2021</t>
  </si>
  <si>
    <t>12/27/2021</t>
  </si>
  <si>
    <t>12/23/2021</t>
  </si>
  <si>
    <t>12/22/2021</t>
  </si>
  <si>
    <t>12/21/2021</t>
  </si>
  <si>
    <t>12/20/2021</t>
  </si>
  <si>
    <t>12/17/2021</t>
  </si>
  <si>
    <t>12/16/2021</t>
  </si>
  <si>
    <t>12/15/2021</t>
  </si>
  <si>
    <t>12/14/2021</t>
  </si>
  <si>
    <t>12/13/2021</t>
  </si>
  <si>
    <t>11/30/2021</t>
  </si>
  <si>
    <t>11/29/2021</t>
  </si>
  <si>
    <t>11/26/2021</t>
  </si>
  <si>
    <t>11/24/2021</t>
  </si>
  <si>
    <t>11/23/2021</t>
  </si>
  <si>
    <t>11/22/2021</t>
  </si>
  <si>
    <t>11/19/2021</t>
  </si>
  <si>
    <t>11/18/2021</t>
  </si>
  <si>
    <t>11/17/2021</t>
  </si>
  <si>
    <t>11/16/2021</t>
  </si>
  <si>
    <t>11/15/2021</t>
  </si>
  <si>
    <t>10/29/2021</t>
  </si>
  <si>
    <t>10/28/2021</t>
  </si>
  <si>
    <t>10/27/2021</t>
  </si>
  <si>
    <t>10/26/2021</t>
  </si>
  <si>
    <t>10/25/2021</t>
  </si>
  <si>
    <t>10/22/2021</t>
  </si>
  <si>
    <t>10/21/2021</t>
  </si>
  <si>
    <t>10/20/2021</t>
  </si>
  <si>
    <t>10/19/2021</t>
  </si>
  <si>
    <t>10/18/2021</t>
  </si>
  <si>
    <t>10/15/2021</t>
  </si>
  <si>
    <t>10/14/2021</t>
  </si>
  <si>
    <t>10/13/2021</t>
  </si>
  <si>
    <t>09/30/2021</t>
  </si>
  <si>
    <t>09/29/2021</t>
  </si>
  <si>
    <t>09/28/2021</t>
  </si>
  <si>
    <t>09/27/2021</t>
  </si>
  <si>
    <t>09/24/2021</t>
  </si>
  <si>
    <t>09/23/2021</t>
  </si>
  <si>
    <t>09/22/2021</t>
  </si>
  <si>
    <t>09/21/2021</t>
  </si>
  <si>
    <t>09/20/2021</t>
  </si>
  <si>
    <t>09/17/2021</t>
  </si>
  <si>
    <t>09/16/2021</t>
  </si>
  <si>
    <t>09/15/2021</t>
  </si>
  <si>
    <t>09/14/2021</t>
  </si>
  <si>
    <t>09/13/2021</t>
  </si>
  <si>
    <t>08/31/2021</t>
  </si>
  <si>
    <t>08/30/2021</t>
  </si>
  <si>
    <t>08/27/2021</t>
  </si>
  <si>
    <t>08/26/2021</t>
  </si>
  <si>
    <t>08/25/2021</t>
  </si>
  <si>
    <t>08/24/2021</t>
  </si>
  <si>
    <t>08/23/2021</t>
  </si>
  <si>
    <t>08/20/2021</t>
  </si>
  <si>
    <t>08/19/2021</t>
  </si>
  <si>
    <t>08/18/2021</t>
  </si>
  <si>
    <t>08/17/2021</t>
  </si>
  <si>
    <t>08/16/2021</t>
  </si>
  <si>
    <t>08/13/2021</t>
  </si>
  <si>
    <t>07/30/2021</t>
  </si>
  <si>
    <t>07/29/2021</t>
  </si>
  <si>
    <t>07/28/2021</t>
  </si>
  <si>
    <t>07/27/2021</t>
  </si>
  <si>
    <t>07/26/2021</t>
  </si>
  <si>
    <t>07/23/2021</t>
  </si>
  <si>
    <t>07/22/2021</t>
  </si>
  <si>
    <t>07/21/2021</t>
  </si>
  <si>
    <t>07/20/2021</t>
  </si>
  <si>
    <t>07/19/2021</t>
  </si>
  <si>
    <t>07/16/2021</t>
  </si>
  <si>
    <t>07/15/2021</t>
  </si>
  <si>
    <t>07/14/2021</t>
  </si>
  <si>
    <t>07/13/2021</t>
  </si>
  <si>
    <t>06/30/2021</t>
  </si>
  <si>
    <t>06/29/2021</t>
  </si>
  <si>
    <t>06/28/2021</t>
  </si>
  <si>
    <t>06/25/2021</t>
  </si>
  <si>
    <t>06/24/2021</t>
  </si>
  <si>
    <t>06/23/2021</t>
  </si>
  <si>
    <t>06/22/2021</t>
  </si>
  <si>
    <t>06/21/2021</t>
  </si>
  <si>
    <t>06/18/2021</t>
  </si>
  <si>
    <t>06/17/2021</t>
  </si>
  <si>
    <t>06/16/2021</t>
  </si>
  <si>
    <t>06/15/2021</t>
  </si>
  <si>
    <t>06/14/2021</t>
  </si>
  <si>
    <t>05/28/2021</t>
  </si>
  <si>
    <t>05/27/2021</t>
  </si>
  <si>
    <t>05/26/2021</t>
  </si>
  <si>
    <t>05/25/2021</t>
  </si>
  <si>
    <t>05/24/2021</t>
  </si>
  <si>
    <t>05/21/2021</t>
  </si>
  <si>
    <t>05/20/2021</t>
  </si>
  <si>
    <t>05/19/2021</t>
  </si>
  <si>
    <t>05/18/2021</t>
  </si>
  <si>
    <t>05/17/2021</t>
  </si>
  <si>
    <t>05/14/2021</t>
  </si>
  <si>
    <t>05/13/2021</t>
  </si>
  <si>
    <t>04/30/2021</t>
  </si>
  <si>
    <t>04/29/2021</t>
  </si>
  <si>
    <t>04/28/2021</t>
  </si>
  <si>
    <t>04/27/2021</t>
  </si>
  <si>
    <t>04/26/2021</t>
  </si>
  <si>
    <t>04/23/2021</t>
  </si>
  <si>
    <t>04/22/2021</t>
  </si>
  <si>
    <t>04/21/2021</t>
  </si>
  <si>
    <t>04/20/2021</t>
  </si>
  <si>
    <t>04/19/2021</t>
  </si>
  <si>
    <t>04/16/2021</t>
  </si>
  <si>
    <t>04/15/2021</t>
  </si>
  <si>
    <t>04/14/2021</t>
  </si>
  <si>
    <t>04/13/2021</t>
  </si>
  <si>
    <t>03/31/2021</t>
  </si>
  <si>
    <t>03/30/2021</t>
  </si>
  <si>
    <t>03/29/2021</t>
  </si>
  <si>
    <t>03/26/2021</t>
  </si>
  <si>
    <t>03/25/2021</t>
  </si>
  <si>
    <t>03/24/2021</t>
  </si>
  <si>
    <t>03/23/2021</t>
  </si>
  <si>
    <t>03/22/2021</t>
  </si>
  <si>
    <t>03/19/2021</t>
  </si>
  <si>
    <t>03/18/2021</t>
  </si>
  <si>
    <t>03/17/2021</t>
  </si>
  <si>
    <t>03/16/2021</t>
  </si>
  <si>
    <t>03/15/2021</t>
  </si>
  <si>
    <t>02/26/2021</t>
  </si>
  <si>
    <t>02/25/2021</t>
  </si>
  <si>
    <t>02/24/2021</t>
  </si>
  <si>
    <t>02/23/2021</t>
  </si>
  <si>
    <t>02/22/2021</t>
  </si>
  <si>
    <t>02/19/2021</t>
  </si>
  <si>
    <t>02/18/2021</t>
  </si>
  <si>
    <t>02/17/2021</t>
  </si>
  <si>
    <t>02/16/2021</t>
  </si>
  <si>
    <t>01/29/2021</t>
  </si>
  <si>
    <t>01/28/2021</t>
  </si>
  <si>
    <t>01/27/2021</t>
  </si>
  <si>
    <t>01/26/2021</t>
  </si>
  <si>
    <t>01/25/2021</t>
  </si>
  <si>
    <t>01/22/2021</t>
  </si>
  <si>
    <t>01/21/2021</t>
  </si>
  <si>
    <t>01/20/2021</t>
  </si>
  <si>
    <t>01/19/2021</t>
  </si>
  <si>
    <t>01/15/2021</t>
  </si>
  <si>
    <t>01/14/2021</t>
  </si>
  <si>
    <t>01/13/2021</t>
  </si>
  <si>
    <t>12/31/2020</t>
  </si>
  <si>
    <t>12/30/2020</t>
  </si>
  <si>
    <t>12/29/2020</t>
  </si>
  <si>
    <t>12/28/2020</t>
  </si>
  <si>
    <t>12/24/2020</t>
  </si>
  <si>
    <t>12/23/2020</t>
  </si>
  <si>
    <t>12/22/2020</t>
  </si>
  <si>
    <t>12/21/2020</t>
  </si>
  <si>
    <t>12/18/2020</t>
  </si>
  <si>
    <t>12/17/2020</t>
  </si>
  <si>
    <t>12/16/2020</t>
  </si>
  <si>
    <t>12/15/2020</t>
  </si>
  <si>
    <t>12/14/2020</t>
  </si>
  <si>
    <t>11/30/2020</t>
  </si>
  <si>
    <t>11/27/2020</t>
  </si>
  <si>
    <t>11/25/2020</t>
  </si>
  <si>
    <t>11/24/2020</t>
  </si>
  <si>
    <t>11/23/2020</t>
  </si>
  <si>
    <t>11/20/2020</t>
  </si>
  <si>
    <t>11/19/2020</t>
  </si>
  <si>
    <t>11/18/2020</t>
  </si>
  <si>
    <t>11/17/2020</t>
  </si>
  <si>
    <t>11/16/2020</t>
  </si>
  <si>
    <t>11/13/2020</t>
  </si>
  <si>
    <t>10/30/2020</t>
  </si>
  <si>
    <t>10/29/2020</t>
  </si>
  <si>
    <t>10/28/2020</t>
  </si>
  <si>
    <t>10/27/2020</t>
  </si>
  <si>
    <t>10/26/2020</t>
  </si>
  <si>
    <t>10/23/2020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</si>
  <si>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</si>
  <si>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</si>
  <si>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</si>
  <si>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</si>
  <si>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</si>
  <si>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</si>
  <si>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</si>
  <si>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</si>
  <si>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09/30/2020</t>
  </si>
  <si>
    <t>09/29/2020</t>
  </si>
  <si>
    <t>09/28/2020</t>
  </si>
  <si>
    <t>09/25/2020</t>
  </si>
  <si>
    <t>09/24/2020</t>
  </si>
  <si>
    <t>09/23/2020</t>
  </si>
  <si>
    <t>09/22/2020</t>
  </si>
  <si>
    <t>09/21/2020</t>
  </si>
  <si>
    <t>09/18/2020</t>
  </si>
  <si>
    <t>09/17/2020</t>
  </si>
  <si>
    <t>09/16/2020</t>
  </si>
  <si>
    <t>09/15/2020</t>
  </si>
  <si>
    <t>09/14/2020</t>
  </si>
  <si>
    <t>08/31/2020</t>
  </si>
  <si>
    <t>08/28/2020</t>
  </si>
  <si>
    <t>08/27/2020</t>
  </si>
  <si>
    <t>08/26/2020</t>
  </si>
  <si>
    <t>08/25/2020</t>
  </si>
  <si>
    <t>08/24/2020</t>
  </si>
  <si>
    <t>08/21/2020</t>
  </si>
  <si>
    <t>08/20/2020</t>
  </si>
  <si>
    <t>08/19/2020</t>
  </si>
  <si>
    <t>08/18/2020</t>
  </si>
  <si>
    <t>08/17/2020</t>
  </si>
  <si>
    <t>08/14/2020</t>
  </si>
  <si>
    <t>08/13/2020</t>
  </si>
  <si>
    <t>07/31/2020</t>
  </si>
  <si>
    <t>07/30/2020</t>
  </si>
  <si>
    <t>07/29/2020</t>
  </si>
  <si>
    <t>07/28/2020</t>
  </si>
  <si>
    <t>07/27/2020</t>
  </si>
  <si>
    <t>07/24/2020</t>
  </si>
  <si>
    <t>07/23/2020</t>
  </si>
  <si>
    <t>07/22/2020</t>
  </si>
  <si>
    <t>07/21/2020</t>
  </si>
  <si>
    <t>07/20/2020</t>
  </si>
  <si>
    <t>07/17/2020</t>
  </si>
  <si>
    <t>07/16/2020</t>
  </si>
  <si>
    <t>07/15/2020</t>
  </si>
  <si>
    <t>07/14/2020</t>
  </si>
  <si>
    <t>07/13/2020</t>
  </si>
  <si>
    <t>06/30/2020</t>
  </si>
  <si>
    <t>06/29/2020</t>
  </si>
  <si>
    <t>06/26/2020</t>
  </si>
  <si>
    <t>06/25/2020</t>
  </si>
  <si>
    <t>06/24/2020</t>
  </si>
  <si>
    <t>06/23/2020</t>
  </si>
  <si>
    <t>06/22/2020</t>
  </si>
  <si>
    <t>06/19/2020</t>
  </si>
  <si>
    <t>06/18/2020</t>
  </si>
  <si>
    <t>06/17/2020</t>
  </si>
  <si>
    <t>06/16/2020</t>
  </si>
  <si>
    <t>06/15/2020</t>
  </si>
  <si>
    <t>05/29/2020</t>
  </si>
  <si>
    <t>05/28/2020</t>
  </si>
  <si>
    <t>05/27/2020</t>
  </si>
  <si>
    <t>05/26/2020</t>
  </si>
  <si>
    <t>05/22/2020</t>
  </si>
  <si>
    <t>05/21/2020</t>
  </si>
  <si>
    <t>05/20/2020</t>
  </si>
  <si>
    <t>05/19/2020</t>
  </si>
  <si>
    <t>05/18/2020</t>
  </si>
  <si>
    <t>05/15/2020</t>
  </si>
  <si>
    <t>05/14/2020</t>
  </si>
  <si>
    <t>05/13/2020</t>
  </si>
  <si>
    <t>04/30/2020</t>
  </si>
  <si>
    <t>04/29/2020</t>
  </si>
  <si>
    <t>04/28/2020</t>
  </si>
  <si>
    <t>04/27/2020</t>
  </si>
  <si>
    <t>04/24/2020</t>
  </si>
  <si>
    <t>04/23/2020</t>
  </si>
  <si>
    <t>04/22/2020</t>
  </si>
  <si>
    <t>04/21/2020</t>
  </si>
  <si>
    <t>04/20/2020</t>
  </si>
  <si>
    <t>04/17/2020</t>
  </si>
  <si>
    <t>04/16/2020</t>
  </si>
  <si>
    <t>04/15/2020</t>
  </si>
  <si>
    <t>04/14/2020</t>
  </si>
  <si>
    <t>04/13/2020</t>
  </si>
  <si>
    <t>03/31/2020</t>
  </si>
  <si>
    <t>03/30/2020</t>
  </si>
  <si>
    <t>03/27/2020</t>
  </si>
  <si>
    <t>03/26/2020</t>
  </si>
  <si>
    <t>03/25/2020</t>
  </si>
  <si>
    <t>03/24/2020</t>
  </si>
  <si>
    <t>03/23/2020</t>
  </si>
  <si>
    <t>03/20/2020</t>
  </si>
  <si>
    <t>03/19/2020</t>
  </si>
  <si>
    <t>03/18/2020</t>
  </si>
  <si>
    <t>03/17/2020</t>
  </si>
  <si>
    <t>03/16/2020</t>
  </si>
  <si>
    <t>03/13/2020</t>
  </si>
  <si>
    <t>02/28/2020</t>
  </si>
  <si>
    <t>02/27/2020</t>
  </si>
  <si>
    <t>02/26/2020</t>
  </si>
  <si>
    <t>02/25/2020</t>
  </si>
  <si>
    <t>02/24/2020</t>
  </si>
  <si>
    <t>02/21/2020</t>
  </si>
  <si>
    <t>02/20/2020</t>
  </si>
  <si>
    <t>02/19/2020</t>
  </si>
  <si>
    <t>02/18/2020</t>
  </si>
  <si>
    <t>02/14/2020</t>
  </si>
  <si>
    <t>02/13/2020</t>
  </si>
  <si>
    <t>01/31/2020</t>
  </si>
  <si>
    <t>01/30/2020</t>
  </si>
  <si>
    <t>01/29/2020</t>
  </si>
  <si>
    <t>01/28/2020</t>
  </si>
  <si>
    <t>01/27/2020</t>
  </si>
  <si>
    <t>01/24/2020</t>
  </si>
  <si>
    <t>01/23/2020</t>
  </si>
  <si>
    <t>01/22/2020</t>
  </si>
  <si>
    <t>01/21/2020</t>
  </si>
  <si>
    <t>01/17/2020</t>
  </si>
  <si>
    <t>01/16/2020</t>
  </si>
  <si>
    <t>01/15/2020</t>
  </si>
  <si>
    <t>% change</t>
  </si>
  <si>
    <t>UBER</t>
  </si>
  <si>
    <t>MEAN</t>
  </si>
  <si>
    <t>N</t>
  </si>
  <si>
    <t>X MEAN</t>
  </si>
  <si>
    <t>Competitors</t>
  </si>
  <si>
    <t>Beta</t>
  </si>
  <si>
    <t>Market Cap</t>
  </si>
  <si>
    <t>R sq</t>
  </si>
  <si>
    <t>LYFT INC</t>
  </si>
  <si>
    <t xml:space="preserve">UBER </t>
  </si>
  <si>
    <t>S &amp;P 500 (SPX)</t>
  </si>
  <si>
    <t>(X MEAN)^2</t>
  </si>
  <si>
    <t>Variance</t>
  </si>
  <si>
    <t>Covariance</t>
  </si>
  <si>
    <t>BETA</t>
  </si>
  <si>
    <t>BETA Using Covariance</t>
  </si>
  <si>
    <t>BETA USING SLOPE</t>
  </si>
  <si>
    <t>Beta SLOPE</t>
  </si>
  <si>
    <t>141.125Billion</t>
  </si>
  <si>
    <t>5.559 Billion</t>
  </si>
  <si>
    <t xml:space="preserve">SOURCE : https://www.nasdaq.com/market-activity/stocks/lyft </t>
  </si>
  <si>
    <t>Uber Technologies, Inc. Common Stock (UBER) Stock Price, Quote, News &amp; History | Nasdaq</t>
  </si>
  <si>
    <t>Column1</t>
  </si>
  <si>
    <t>UBER WACC CALCULATION</t>
  </si>
  <si>
    <t>BOTTOM UP</t>
  </si>
  <si>
    <t>COST OF EQUITY</t>
  </si>
  <si>
    <t>Particulars</t>
  </si>
  <si>
    <t>NOTES</t>
  </si>
  <si>
    <t>VALUE</t>
  </si>
  <si>
    <t>Risk Free rate (%)</t>
  </si>
  <si>
    <t>Column2</t>
  </si>
  <si>
    <t>Column3</t>
  </si>
  <si>
    <t xml:space="preserve">Equity Risk premium </t>
  </si>
  <si>
    <t>Value</t>
  </si>
  <si>
    <t>Cost of Equity capital (%)</t>
  </si>
  <si>
    <t>CALCULATION of Beta</t>
  </si>
  <si>
    <t>Levered Beta</t>
  </si>
  <si>
    <t>D/D+E</t>
  </si>
  <si>
    <t>E/ (D+E)</t>
  </si>
  <si>
    <t>tax rate (%)</t>
  </si>
  <si>
    <t>Unlevered Beta</t>
  </si>
  <si>
    <t>Relevered beta</t>
  </si>
  <si>
    <t>Cost Of Debt</t>
  </si>
  <si>
    <t>notes</t>
  </si>
  <si>
    <t>Debt borrowing rate (%)</t>
  </si>
  <si>
    <t>Expected income tax rate (%)</t>
  </si>
  <si>
    <t>After-tax cost of debt (%)</t>
  </si>
  <si>
    <t>Weighted average cost of capital</t>
  </si>
  <si>
    <t>Debt (%)</t>
  </si>
  <si>
    <t>Equity (%)</t>
  </si>
  <si>
    <t>WACC</t>
  </si>
  <si>
    <t>Debt</t>
  </si>
  <si>
    <t>Equity</t>
  </si>
  <si>
    <t>Share Price</t>
  </si>
  <si>
    <t>Shares O/S</t>
  </si>
  <si>
    <t>M.Cap</t>
  </si>
  <si>
    <t>Tax Rate</t>
  </si>
  <si>
    <t>Calculation of Capital structure of Peer Group of Companies</t>
  </si>
  <si>
    <t xml:space="preserve">Weight  </t>
  </si>
  <si>
    <t xml:space="preserve">cost </t>
  </si>
  <si>
    <t>Cost of debt (%)</t>
  </si>
  <si>
    <t>Cost of Equity (%)</t>
  </si>
  <si>
    <t>Regression Beta</t>
  </si>
  <si>
    <t xml:space="preserve"> </t>
  </si>
  <si>
    <t>UBER DCF Valuation</t>
  </si>
  <si>
    <t>(in USD million except per Share Data)</t>
  </si>
  <si>
    <t>Valuation Date</t>
  </si>
  <si>
    <t>Latest Filing</t>
  </si>
  <si>
    <t>Choose Discounting</t>
  </si>
  <si>
    <t>Mid Year Discounting</t>
  </si>
  <si>
    <t>Year end discounting</t>
  </si>
  <si>
    <t>Date of cash Flow</t>
  </si>
  <si>
    <t>12 Months 31-12-25</t>
  </si>
  <si>
    <t>12 Months 31-12-26</t>
  </si>
  <si>
    <t>12 Months 31-12-27</t>
  </si>
  <si>
    <t>12 Months 31-12-28</t>
  </si>
  <si>
    <t>EBIT</t>
  </si>
  <si>
    <t>NOPAT</t>
  </si>
  <si>
    <t>Add: Depreciation and amortisation</t>
  </si>
  <si>
    <t>Add/Less: (Increase)/ Decrease in net working capital</t>
  </si>
  <si>
    <t>Less: Capital expenditure</t>
  </si>
  <si>
    <t>Debt free cash flow (Free Cash Flows to Firm)</t>
  </si>
  <si>
    <t>Discount rate (%)</t>
  </si>
  <si>
    <t>Full Period or Partial Period</t>
  </si>
  <si>
    <t>Discounting Period-Year End</t>
  </si>
  <si>
    <t>Discounting Period-Mid Year</t>
  </si>
  <si>
    <t>Present value factor- Year end discounting</t>
  </si>
  <si>
    <t>Present value factor- Mid year discounting</t>
  </si>
  <si>
    <t xml:space="preserve">Present value debt free cash flow </t>
  </si>
  <si>
    <t>Present value for explicit period</t>
  </si>
  <si>
    <t>DCF value per share</t>
  </si>
  <si>
    <t>No. of shares o/s</t>
  </si>
  <si>
    <t>DCF value of Common Equity</t>
  </si>
  <si>
    <t>Less: Non Controling Interest</t>
  </si>
  <si>
    <t>Add: Cash</t>
  </si>
  <si>
    <t>Less: Gross Debt &amp; Debt Equivalents</t>
  </si>
  <si>
    <t>Total Value of Firm</t>
  </si>
  <si>
    <t>Add: Non Operating Assets</t>
  </si>
  <si>
    <t>DCF Value of Firm / Operating Business Enterprise Value</t>
  </si>
  <si>
    <t>Present Value of TV</t>
  </si>
  <si>
    <t>Terminal Value</t>
  </si>
  <si>
    <t>Long Term Growth Rate</t>
  </si>
  <si>
    <t>Terminal value</t>
  </si>
  <si>
    <t>Gordon growth</t>
  </si>
  <si>
    <t>LTM EV/EBITDA</t>
  </si>
  <si>
    <t>Terminal Year EBITDA</t>
  </si>
  <si>
    <t>No. of shares o/s-Diluted</t>
  </si>
  <si>
    <t>Exit Multiple Method</t>
  </si>
  <si>
    <t>LTGR</t>
  </si>
  <si>
    <t>Exit Multiple</t>
  </si>
  <si>
    <t>(IN USD MILLIONS Except per share Data)</t>
  </si>
  <si>
    <t>Enterprise Value</t>
  </si>
  <si>
    <t>Class A</t>
  </si>
  <si>
    <t>Class B</t>
  </si>
  <si>
    <t>Class C</t>
  </si>
  <si>
    <t>Per Share Price</t>
  </si>
  <si>
    <t>Shares Outstanding Basic</t>
  </si>
  <si>
    <t>Shares Outstanding Diluted</t>
  </si>
  <si>
    <t>Minority Interest</t>
  </si>
  <si>
    <t>+ Pref. Share Capital</t>
  </si>
  <si>
    <t>Total Pref. Capital (Other Than Convertible) in Balance Sheet</t>
  </si>
  <si>
    <t>Add: Convertible Pref Not Converted to Common Equity</t>
  </si>
  <si>
    <t>+ Debt</t>
  </si>
  <si>
    <t>: Total Debt (Other Than Convertible) Reported in B/S</t>
  </si>
  <si>
    <t>Add: Convertible Debt not Converted to Common Equity</t>
  </si>
  <si>
    <t>+ Debt Equivalents</t>
  </si>
  <si>
    <t>Unfunded Pension Obligations</t>
  </si>
  <si>
    <t>Capitalised Value of Operating Lease</t>
  </si>
  <si>
    <t>- Cash &amp; Cash Equivalents</t>
  </si>
  <si>
    <t>Total Enterprise Value</t>
  </si>
  <si>
    <t>Non Operating Assets</t>
  </si>
  <si>
    <t>Operating EV</t>
  </si>
  <si>
    <t>Weighted Average Share Price of All Classes of Share</t>
  </si>
  <si>
    <t>Basic Details</t>
  </si>
  <si>
    <t>USD</t>
  </si>
  <si>
    <t>Calculation of Dilution</t>
  </si>
  <si>
    <t xml:space="preserve">ESoPS/Warrants/RSUs/PSU </t>
  </si>
  <si>
    <t>Units Outstanding</t>
  </si>
  <si>
    <t>Key Financials</t>
  </si>
  <si>
    <t>Annual</t>
  </si>
  <si>
    <t>Pr. YTD</t>
  </si>
  <si>
    <t>LTM</t>
  </si>
  <si>
    <t>FY1</t>
  </si>
  <si>
    <t>FY2</t>
  </si>
  <si>
    <t>FY3</t>
  </si>
  <si>
    <t>CAGR</t>
  </si>
  <si>
    <t>12M</t>
  </si>
  <si>
    <t>Reported Sales</t>
  </si>
  <si>
    <t>Reported EBIT/Operating Income</t>
  </si>
  <si>
    <t>Add/Less: Exceptional/No-Operating Items reported above EBIT</t>
  </si>
  <si>
    <t>Adjusted EBIT</t>
  </si>
  <si>
    <t>Add: D&amp;A</t>
  </si>
  <si>
    <t>Adjusted EBITDA</t>
  </si>
  <si>
    <t>Reported Net Income</t>
  </si>
  <si>
    <t>Add/Less: Exceptional Items reported above EBIT</t>
  </si>
  <si>
    <t>Add/Less: Exceptional Items reported below EBIT</t>
  </si>
  <si>
    <t>Less: Tax on Adjustments</t>
  </si>
  <si>
    <t>Add/Less: Non Tax Deductable Adjustments</t>
  </si>
  <si>
    <t>Adjusted Net Income</t>
  </si>
  <si>
    <t>Less: Share of Minority Interest</t>
  </si>
  <si>
    <t>Adjusted Net Income to Common Shareholders of the Company</t>
  </si>
  <si>
    <t>Diluted Weighted Average No of Shares</t>
  </si>
  <si>
    <t>Diluted EPS</t>
  </si>
  <si>
    <t>Convertible Debt / Pref shares</t>
  </si>
  <si>
    <t>Beta using Slope</t>
  </si>
  <si>
    <t>9M Crt YTD</t>
  </si>
  <si>
    <t>GRAB</t>
  </si>
  <si>
    <t>X mean</t>
  </si>
  <si>
    <t xml:space="preserve">Grab </t>
  </si>
  <si>
    <t>18.30 Billion</t>
  </si>
  <si>
    <t>Beta using slope</t>
  </si>
  <si>
    <t xml:space="preserve">GRAB </t>
  </si>
  <si>
    <t>Exercise</t>
  </si>
  <si>
    <t>Notional</t>
  </si>
  <si>
    <t>Net</t>
  </si>
  <si>
    <t>Price</t>
  </si>
  <si>
    <t>ITM?</t>
  </si>
  <si>
    <t>Shares Issued</t>
  </si>
  <si>
    <t>Cash</t>
  </si>
  <si>
    <t>Buyback</t>
  </si>
  <si>
    <t>Dilution</t>
  </si>
  <si>
    <t>IN MILLIONS</t>
  </si>
  <si>
    <r>
      <t>Net sales </t>
    </r>
    <r>
      <rPr>
        <sz val="5"/>
        <color theme="1"/>
        <rFont val="Calibri"/>
        <family val="2"/>
        <scheme val="minor"/>
      </rPr>
      <t>1</t>
    </r>
  </si>
  <si>
    <t>Change</t>
  </si>
  <si>
    <t>-</t>
  </si>
  <si>
    <r>
      <t>EBITDA </t>
    </r>
    <r>
      <rPr>
        <sz val="5"/>
        <color theme="1"/>
        <rFont val="Calibri"/>
        <family val="2"/>
        <scheme val="minor"/>
      </rPr>
      <t>1</t>
    </r>
  </si>
  <si>
    <r>
      <t>EBIT </t>
    </r>
    <r>
      <rPr>
        <sz val="5"/>
        <color theme="1"/>
        <rFont val="Calibri"/>
        <family val="2"/>
        <scheme val="minor"/>
      </rPr>
      <t>1</t>
    </r>
  </si>
  <si>
    <r>
      <t>Interest Paid </t>
    </r>
    <r>
      <rPr>
        <sz val="5"/>
        <color theme="1"/>
        <rFont val="Calibri"/>
        <family val="2"/>
        <scheme val="minor"/>
      </rPr>
      <t>1</t>
    </r>
  </si>
  <si>
    <r>
      <t>Earnings before Tax (EBT) </t>
    </r>
    <r>
      <rPr>
        <sz val="5"/>
        <color theme="1"/>
        <rFont val="Calibri"/>
        <family val="2"/>
        <scheme val="minor"/>
      </rPr>
      <t>1</t>
    </r>
  </si>
  <si>
    <r>
      <t>Net income </t>
    </r>
    <r>
      <rPr>
        <sz val="5"/>
        <color theme="1"/>
        <rFont val="Calibri"/>
        <family val="2"/>
        <scheme val="minor"/>
      </rPr>
      <t>1</t>
    </r>
  </si>
  <si>
    <t>Announcement Date</t>
  </si>
  <si>
    <t>2/13/24</t>
  </si>
  <si>
    <t>Fiscal Period: December</t>
  </si>
  <si>
    <t xml:space="preserve">0.1202	</t>
  </si>
  <si>
    <t>LYFT</t>
  </si>
  <si>
    <t>Analyst Name</t>
  </si>
  <si>
    <t>Updation Date</t>
  </si>
  <si>
    <t>Ticker</t>
  </si>
  <si>
    <t>Latest Annual</t>
  </si>
  <si>
    <t>Latest Quarter</t>
  </si>
  <si>
    <t>Reported Currency</t>
  </si>
  <si>
    <t>11/19/21</t>
  </si>
  <si>
    <t>2/23/23</t>
  </si>
  <si>
    <t>2/22/24</t>
  </si>
  <si>
    <t>Net sales 1</t>
  </si>
  <si>
    <t>EBITDA 1</t>
  </si>
  <si>
    <t>EBIT 1</t>
  </si>
  <si>
    <t>Interest Paid 1</t>
  </si>
  <si>
    <t>Earnings before Tax (EBT) 1</t>
  </si>
  <si>
    <t>Net income 1</t>
  </si>
  <si>
    <t>Fiscal year period : December</t>
  </si>
  <si>
    <t>Source :</t>
  </si>
  <si>
    <t>Grab Holdings Limited: Financial Data Forecasts Estimates and Expectations | GRAB | KYG4124C1096 | MarketScreener</t>
  </si>
  <si>
    <t>Comparable Company Analysis</t>
  </si>
  <si>
    <t>(All numbers are in millions except per share data)</t>
  </si>
  <si>
    <t>Industry</t>
  </si>
  <si>
    <t>Geography</t>
  </si>
  <si>
    <t>US</t>
  </si>
  <si>
    <t>Currency</t>
  </si>
  <si>
    <t>Exchange Rate</t>
  </si>
  <si>
    <t>Peer Group Companies</t>
  </si>
  <si>
    <t>S11</t>
  </si>
  <si>
    <t xml:space="preserve">Mobility </t>
  </si>
  <si>
    <t>LTM Multiples</t>
  </si>
  <si>
    <t>FY1 Multiple</t>
  </si>
  <si>
    <t>FY2 Multiple</t>
  </si>
  <si>
    <t>CMP</t>
  </si>
  <si>
    <t>EV</t>
  </si>
  <si>
    <t>EV/Sales</t>
  </si>
  <si>
    <t>EV/EBITDA</t>
  </si>
  <si>
    <t>EV/EBIT</t>
  </si>
  <si>
    <t>P/E</t>
  </si>
  <si>
    <t>Growth</t>
  </si>
  <si>
    <t>Mean</t>
  </si>
  <si>
    <t>Median</t>
  </si>
  <si>
    <t>25th Percentile</t>
  </si>
  <si>
    <t>75th Percentile</t>
  </si>
  <si>
    <t>M51,M46</t>
  </si>
  <si>
    <t>M57, M52</t>
  </si>
  <si>
    <t>M55, M50</t>
  </si>
  <si>
    <t>M66, M61</t>
  </si>
  <si>
    <t>N51, O51</t>
  </si>
  <si>
    <t>N57, N52</t>
  </si>
  <si>
    <t>N55, O50</t>
  </si>
  <si>
    <t>M66, N61</t>
  </si>
  <si>
    <t>Industry Multiple Range</t>
  </si>
  <si>
    <t>Total Debt</t>
  </si>
  <si>
    <t>Debt Equivalent</t>
  </si>
  <si>
    <t>Cash &amp; Cash Eq</t>
  </si>
  <si>
    <t>Investments</t>
  </si>
  <si>
    <t>Diluted Shares O/S</t>
  </si>
  <si>
    <t>Metrics</t>
  </si>
  <si>
    <t>Lower</t>
  </si>
  <si>
    <t>Higher</t>
  </si>
  <si>
    <t>LTM EV/Sales</t>
  </si>
  <si>
    <t>FY1 EV/Sales</t>
  </si>
  <si>
    <t>FY2 EV/Sales</t>
  </si>
  <si>
    <t>Basic Shares o/s</t>
  </si>
  <si>
    <t>Diluted Shares o/s</t>
  </si>
  <si>
    <t>ESoPS/Warrants etc. Treasury Stock Method</t>
  </si>
  <si>
    <t>O/S</t>
  </si>
  <si>
    <t>Sales</t>
  </si>
  <si>
    <t>EBITDA</t>
  </si>
  <si>
    <t>Source- Marketscreener.com</t>
  </si>
  <si>
    <t>01/29/2025</t>
  </si>
  <si>
    <t>01/28/2025</t>
  </si>
  <si>
    <t>01/27/2025</t>
  </si>
  <si>
    <t>01/24/2025</t>
  </si>
  <si>
    <t>01/23/2025</t>
  </si>
  <si>
    <t>01/22/2025</t>
  </si>
  <si>
    <t>01/21/2025</t>
  </si>
  <si>
    <t>01/17/2025</t>
  </si>
  <si>
    <t>01/16/2025</t>
  </si>
  <si>
    <t>01/15/2025</t>
  </si>
  <si>
    <t>DIDI GLOBAL INC</t>
  </si>
  <si>
    <t xml:space="preserve"> Beta using slope</t>
  </si>
  <si>
    <t>22.80 Billion</t>
  </si>
  <si>
    <t>DIDI</t>
  </si>
  <si>
    <t>DIDI Global Inc</t>
  </si>
  <si>
    <t xml:space="preserve">Industry Average </t>
  </si>
  <si>
    <t>Average of previous yr tax</t>
  </si>
  <si>
    <t>Bottom up Beta</t>
  </si>
  <si>
    <t>Current YTD</t>
  </si>
  <si>
    <t>Previous YTD</t>
  </si>
  <si>
    <t>Pre tax</t>
  </si>
  <si>
    <t>Post tax</t>
  </si>
  <si>
    <t>Tax impact</t>
  </si>
  <si>
    <t>Exceptional items reported below EBIT</t>
  </si>
  <si>
    <t>Percenatge of Tax for future</t>
  </si>
  <si>
    <t>Income Loss from Equity method investments( NET INCOME)</t>
  </si>
  <si>
    <t>Amortization of intangible assets</t>
  </si>
  <si>
    <t>Estimates</t>
  </si>
  <si>
    <t>Crt. YTD</t>
  </si>
  <si>
    <t>9M</t>
  </si>
  <si>
    <t xml:space="preserve">NOTE  : there are No exceptional Items reported above EBIT so not taken </t>
  </si>
  <si>
    <t>4/16/22</t>
  </si>
  <si>
    <t>3/23/24</t>
  </si>
  <si>
    <t>RMB</t>
  </si>
  <si>
    <t>Note : AS Rported Currency is in Chinese Remenbi have Converted from Dollars to Rmby at an exchange rate of 1 $ = 7.24 Rmby</t>
  </si>
  <si>
    <t>1CNY</t>
  </si>
  <si>
    <t>DiDi Global Inc.: Financial Data Forecasts Estimates and Expectations | DIDIY | US23292E1082 | MarketScreener</t>
  </si>
  <si>
    <t xml:space="preserve">F24, F27, D6 </t>
  </si>
  <si>
    <t>F23, G26, G23</t>
  </si>
  <si>
    <t>F9, G12, G9</t>
  </si>
  <si>
    <t>Conversion Price</t>
  </si>
  <si>
    <t>Share Dilution</t>
  </si>
  <si>
    <t>Nature</t>
  </si>
  <si>
    <t>Face Value</t>
  </si>
  <si>
    <t>BV</t>
  </si>
  <si>
    <t>Debt/Pref</t>
  </si>
  <si>
    <t>L51, L46, M41</t>
  </si>
  <si>
    <t>L57, L52, M47</t>
  </si>
  <si>
    <t>L55,L50, M45</t>
  </si>
  <si>
    <t>L66, L61, M56</t>
  </si>
  <si>
    <t>NOTE : AS the Segment is Mobility or service based Ev/ Sales is a correct segment metrix</t>
  </si>
  <si>
    <r>
      <t>Net sales </t>
    </r>
    <r>
      <rPr>
        <sz val="5"/>
        <color theme="1"/>
        <rFont val="Arial"/>
        <family val="2"/>
      </rPr>
      <t>1</t>
    </r>
  </si>
  <si>
    <r>
      <t>EBITDA </t>
    </r>
    <r>
      <rPr>
        <sz val="5"/>
        <color theme="1"/>
        <rFont val="Arial"/>
        <family val="2"/>
      </rPr>
      <t>1</t>
    </r>
  </si>
  <si>
    <r>
      <t>EBIT </t>
    </r>
    <r>
      <rPr>
        <sz val="5"/>
        <color theme="1"/>
        <rFont val="Arial"/>
        <family val="2"/>
      </rPr>
      <t>1</t>
    </r>
  </si>
  <si>
    <r>
      <t>Interest Paid </t>
    </r>
    <r>
      <rPr>
        <sz val="5"/>
        <color theme="1"/>
        <rFont val="Arial"/>
        <family val="2"/>
      </rPr>
      <t>1</t>
    </r>
  </si>
  <si>
    <r>
      <t>Earnings before Tax (EBT) </t>
    </r>
    <r>
      <rPr>
        <sz val="5"/>
        <color theme="1"/>
        <rFont val="Arial"/>
        <family val="2"/>
      </rPr>
      <t>1</t>
    </r>
  </si>
  <si>
    <r>
      <t>Net income </t>
    </r>
    <r>
      <rPr>
        <sz val="5"/>
        <color theme="1"/>
        <rFont val="Arial"/>
        <family val="2"/>
      </rPr>
      <t>1</t>
    </r>
  </si>
  <si>
    <r>
      <t>1</t>
    </r>
    <r>
      <rPr>
        <sz val="7"/>
        <color rgb="FF262626"/>
        <rFont val="Arial"/>
        <family val="2"/>
      </rPr>
      <t>USD in Million</t>
    </r>
  </si>
  <si>
    <t>(Taken on 1 Feb 2025)</t>
  </si>
  <si>
    <t>Calculation of Diluted Shares-UBER</t>
  </si>
  <si>
    <t>Implied EV- UBER</t>
  </si>
  <si>
    <t>UBER Valuation Range as per Trading Comps</t>
  </si>
  <si>
    <t xml:space="preserve">Note : </t>
  </si>
  <si>
    <t xml:space="preserve"> ALL these minority int, total debt  and cash and cash equivalents, Investments are   taken from our UBER  model </t>
  </si>
  <si>
    <t>NOTE : ONLY EV/ Sales Metrics is applicable for Service based INCs Like uber for comparables</t>
  </si>
  <si>
    <t>Source : page 2 , 10Q 1, 2023</t>
  </si>
  <si>
    <t>Source : page 2 , 10Q2 2023</t>
  </si>
  <si>
    <t>Source : page 2 , 10Q3 2023</t>
  </si>
  <si>
    <t>Source : page 2 , 10Q4 2023</t>
  </si>
  <si>
    <t>Source :  page 2 , 10Q1 2023</t>
  </si>
  <si>
    <t>Source :  page 2 , 10Q2 2023</t>
  </si>
  <si>
    <t>Source :  page 2 , 10Q3 2023</t>
  </si>
  <si>
    <t>( in USD Millions Except per share Data )</t>
  </si>
  <si>
    <t>12 Months 31-12-24</t>
  </si>
  <si>
    <t>Implied Per Share Value-UBER</t>
  </si>
  <si>
    <t>UBER CMP</t>
  </si>
  <si>
    <t>SG &amp; A</t>
  </si>
  <si>
    <t>DOOR DASH</t>
  </si>
  <si>
    <t>81.60 Billion</t>
  </si>
  <si>
    <t>\</t>
  </si>
  <si>
    <t>Implied Equity-UBER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</si>
</sst>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7">
    <numFmt numFmtId="44" formatCode="_ &quot;₹&quot;\ * #,##0.00_ ;_ &quot;₹&quot;\ * \-#,##0.00_ ;_ &quot;₹&quot;\ * &quot;-&quot;??_ ;_ @_ "/>
    <numFmt numFmtId="43" formatCode="_ * #,##0.00_ ;_ * \-#,##0.00_ ;_ * &quot;-&quot;??_ ;_ @_ "/>
    <numFmt numFmtId="164" formatCode="_(* #,##0.00_);_(* \(#,##0.00\);_(* &quot;-&quot;??_);_(@_)"/>
    <numFmt numFmtId="165" formatCode="0.0%"/>
    <numFmt numFmtId="166" formatCode="_ * #,##0_ ;_ * \-#,##0_ ;_ * &quot;-&quot;??_ ;_ @_ "/>
    <numFmt numFmtId="167" formatCode="_-[$$-409]* #,##0.00_ ;_-[$$-409]* \-#,##0.00\ ;_-[$$-409]* &quot;-&quot;??_ ;_-@_ "/>
    <numFmt numFmtId="168" formatCode="0.000%"/>
    <numFmt numFmtId="169" formatCode="_ * #,##0.0_ ;_ * \-#,##0.0_ ;_ * &quot;-&quot;??_ ;_ @_ "/>
    <numFmt numFmtId="170" formatCode="0&quot; days&quot;"/>
    <numFmt numFmtId="171" formatCode="0\ &quot;bn&quot;"/>
    <numFmt numFmtId="172" formatCode="0.0"/>
    <numFmt numFmtId="173" formatCode="0.00000000"/>
    <numFmt numFmtId="174" formatCode="#,##0;\(#,##0\);&quot;-&quot;"/>
    <numFmt numFmtId="175" formatCode="[$-14009]dd\ mmmm\ yyyy"/>
    <numFmt numFmtId="176" formatCode="0.0000000%"/>
    <numFmt numFmtId="177" formatCode="_(* #,##0_);_(* \(#,##0\);_(* &quot;-&quot;??_);_(@_)"/>
    <numFmt numFmtId="178" formatCode="_(* #,##0.0_);_(* \(#,##0.0\);_(* &quot;-&quot;??_);_(@_)"/>
    <numFmt numFmtId="179" formatCode="0.0&quot;x&quot;"/>
    <numFmt numFmtId="180" formatCode="dd\ mmm\'yy"/>
    <numFmt numFmtId="181" formatCode="0.0000000000"/>
    <numFmt numFmtId="182" formatCode="[$-F800]dddd\,\ mmmm\ dd\,\ yyyy"/>
    <numFmt numFmtId="183" formatCode="_(* #,##0.000_);_(* \(#,##0.000\);_(* &quot;-&quot;??_);_(@_)"/>
    <numFmt numFmtId="184" formatCode="_(* #,##0.0000_);_(* \(#,##0.0000\);_(* &quot;-&quot;??_);_(@_)"/>
    <numFmt numFmtId="185" formatCode="_ * #,##0.0000_ ;_ * \-#,##0.0000_ ;_ * &quot;-&quot;??_ ;_ @_ "/>
    <numFmt numFmtId="186" formatCode="0.000"/>
    <numFmt numFmtId="187" formatCode="0.00&quot;x&quot;"/>
    <numFmt numFmtId="188" formatCode="0.00000000000000%"/>
  </numFmts>
  <fonts count="8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ED000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theme="0"/>
      <name val="Calibri"/>
      <family val="2"/>
    </font>
    <font>
      <b/>
      <sz val="11"/>
      <color theme="1"/>
      <name val="Calibri"/>
      <family val="2"/>
    </font>
    <font>
      <i/>
      <sz val="10"/>
      <color theme="1"/>
      <name val="Calibri"/>
      <family val="2"/>
    </font>
    <font>
      <sz val="11"/>
      <color theme="0" tint="-4.9989318521683403E-2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i/>
      <u/>
      <sz val="14"/>
      <color theme="0"/>
      <name val="Calibri"/>
      <family val="2"/>
      <scheme val="minor"/>
    </font>
    <font>
      <b/>
      <u/>
      <sz val="14"/>
      <color rgb="FFFF0000"/>
      <name val="Calibri"/>
      <family val="2"/>
      <scheme val="minor"/>
    </font>
    <font>
      <b/>
      <sz val="11"/>
      <color rgb="FFFFFF00"/>
      <name val="Calibri"/>
      <family val="2"/>
    </font>
    <font>
      <b/>
      <sz val="12"/>
      <color theme="0"/>
      <name val="Calibri"/>
      <family val="2"/>
    </font>
    <font>
      <sz val="14"/>
      <color rgb="FFFFFF00"/>
      <name val="Calibri"/>
      <family val="2"/>
      <scheme val="minor"/>
    </font>
    <font>
      <i/>
      <sz val="10"/>
      <color theme="0" tint="-4.9989318521683403E-2"/>
      <name val="Calibri"/>
      <family val="2"/>
    </font>
    <font>
      <b/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</font>
    <font>
      <u/>
      <sz val="11"/>
      <color theme="10"/>
      <name val="Calibri"/>
      <family val="2"/>
      <scheme val="minor"/>
    </font>
    <font>
      <b/>
      <u/>
      <sz val="11"/>
      <color theme="1" tint="4.9989318521683403E-2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name val="Calibri"/>
      <family val="2"/>
    </font>
    <font>
      <sz val="12"/>
      <color theme="0"/>
      <name val="Calibri"/>
      <family val="2"/>
    </font>
    <font>
      <i/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0"/>
      <name val="Gill Sans"/>
    </font>
    <font>
      <sz val="10"/>
      <color theme="1"/>
      <name val="Gill Sans"/>
    </font>
    <font>
      <i/>
      <sz val="10"/>
      <color rgb="FF000000"/>
      <name val="Gill Sans"/>
    </font>
    <font>
      <b/>
      <sz val="10"/>
      <color rgb="FF000000"/>
      <name val="Gill Sans"/>
    </font>
    <font>
      <sz val="10"/>
      <color rgb="FF000000"/>
      <name val="Gill Sans"/>
    </font>
    <font>
      <b/>
      <sz val="11"/>
      <color indexed="81"/>
      <name val="Tahoma"/>
      <family val="2"/>
    </font>
    <font>
      <sz val="11"/>
      <color indexed="81"/>
      <name val="Tahoma"/>
      <family val="2"/>
    </font>
    <font>
      <sz val="10"/>
      <color rgb="FFE7E6E6"/>
      <name val="Gill Sans"/>
    </font>
    <font>
      <i/>
      <sz val="10"/>
      <color theme="1"/>
      <name val="Gill Sans"/>
    </font>
    <font>
      <b/>
      <sz val="10"/>
      <color theme="1"/>
      <name val="Gill Sans"/>
    </font>
    <font>
      <sz val="10"/>
      <color rgb="FF1C1C2E"/>
      <name val="Segoe UI"/>
      <family val="2"/>
    </font>
    <font>
      <sz val="14"/>
      <color theme="0"/>
      <name val="Calibri"/>
      <family val="2"/>
      <scheme val="minor"/>
    </font>
    <font>
      <i/>
      <sz val="11"/>
      <color rgb="FF5C5C5C"/>
      <name val="Calibri"/>
      <family val="2"/>
      <scheme val="minor"/>
    </font>
    <font>
      <b/>
      <sz val="11"/>
      <color rgb="FF262626"/>
      <name val="Calibri"/>
      <family val="2"/>
      <scheme val="minor"/>
    </font>
    <font>
      <sz val="5"/>
      <color theme="1"/>
      <name val="Calibri"/>
      <family val="2"/>
      <scheme val="minor"/>
    </font>
    <font>
      <i/>
      <sz val="7"/>
      <color rgb="FF5C5C5C"/>
      <name val="Calibri"/>
      <family val="2"/>
      <scheme val="minor"/>
    </font>
    <font>
      <sz val="7"/>
      <color rgb="FF262626"/>
      <name val="Arial"/>
      <family val="2"/>
    </font>
    <font>
      <sz val="18"/>
      <color rgb="FFE7E6E6"/>
      <name val="Gill Sans"/>
    </font>
    <font>
      <sz val="11"/>
      <color rgb="FF262626"/>
      <name val="Arial"/>
      <family val="2"/>
    </font>
    <font>
      <i/>
      <sz val="11"/>
      <color rgb="FF5C5C5C"/>
      <name val="Arial"/>
      <family val="2"/>
    </font>
    <font>
      <b/>
      <sz val="16"/>
      <color theme="1"/>
      <name val="Calibri"/>
      <family val="2"/>
    </font>
    <font>
      <sz val="11"/>
      <color rgb="FF44546A"/>
      <name val="Calibri"/>
      <family val="2"/>
    </font>
    <font>
      <sz val="11"/>
      <color theme="0"/>
      <name val="Calibri"/>
      <family val="2"/>
    </font>
    <font>
      <b/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sz val="11"/>
      <color theme="0"/>
      <name val="Calibri"/>
      <family val="2"/>
    </font>
    <font>
      <sz val="11"/>
      <name val="Calibri"/>
      <family val="2"/>
    </font>
    <font>
      <sz val="11"/>
      <color rgb="FF44546A"/>
      <name val="Calibri"/>
      <family val="2"/>
    </font>
    <font>
      <i/>
      <sz val="10"/>
      <color theme="1"/>
      <name val="Calibri"/>
      <family val="2"/>
    </font>
    <font>
      <b/>
      <sz val="10"/>
      <color theme="0"/>
      <name val="Gill Sans"/>
    </font>
    <font>
      <i/>
      <sz val="11"/>
      <color rgb="FF5C5C5C"/>
      <name val="Calibri"/>
      <family val="2"/>
      <scheme val="minor"/>
    </font>
    <font>
      <sz val="5"/>
      <color rgb="FF262626"/>
      <name val="Arial"/>
      <family val="2"/>
    </font>
    <font>
      <b/>
      <sz val="12"/>
      <color rgb="FF262626"/>
      <name val="Calibri"/>
      <family val="2"/>
      <scheme val="minor"/>
    </font>
    <font>
      <i/>
      <sz val="11"/>
      <color rgb="FF5C5C5C"/>
      <name val="Arial"/>
      <family val="2"/>
    </font>
    <font>
      <b/>
      <sz val="11"/>
      <color rgb="FF262626"/>
      <name val="Arial"/>
      <family val="2"/>
    </font>
    <font>
      <sz val="11"/>
      <color theme="1"/>
      <name val="Arial"/>
      <family val="2"/>
    </font>
    <font>
      <sz val="5"/>
      <color theme="1"/>
      <name val="Arial"/>
      <family val="2"/>
    </font>
    <font>
      <i/>
      <sz val="7"/>
      <color rgb="FF5C5C5C"/>
      <name val="Arial"/>
      <family val="2"/>
    </font>
  </fonts>
  <fills count="5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D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rgb="FFFEF2CB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2060"/>
        <bgColor rgb="FF002060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1F3864"/>
        <bgColor rgb="FF1F3864"/>
      </patternFill>
    </fill>
    <fill>
      <patternFill patternType="solid">
        <fgColor rgb="FFD9E2F3"/>
        <bgColor rgb="FFD9E2F3"/>
      </patternFill>
    </fill>
    <fill>
      <patternFill patternType="solid">
        <fgColor rgb="FFFEF2CB"/>
        <bgColor rgb="FFFEF2CB"/>
      </patternFill>
    </fill>
    <fill>
      <patternFill patternType="solid">
        <fgColor theme="0"/>
        <bgColor theme="0"/>
      </patternFill>
    </fill>
    <fill>
      <patternFill patternType="solid">
        <fgColor rgb="FFF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F2F5"/>
        <bgColor indexed="64"/>
      </patternFill>
    </fill>
    <fill>
      <patternFill patternType="solid">
        <fgColor rgb="FF92D050"/>
        <bgColor rgb="FF1F3864"/>
      </patternFill>
    </fill>
    <fill>
      <patternFill patternType="solid">
        <fgColor theme="1"/>
        <bgColor rgb="FF1F3864"/>
      </patternFill>
    </fill>
    <fill>
      <patternFill patternType="solid">
        <fgColor rgb="FFDEFEFE"/>
        <bgColor indexed="64"/>
      </patternFill>
    </fill>
    <fill>
      <patternFill patternType="solid">
        <fgColor rgb="FFD8D8D8"/>
        <bgColor rgb="FFD8D8D8"/>
      </patternFill>
    </fill>
    <fill>
      <patternFill patternType="solid">
        <fgColor rgb="FFFBE4D5"/>
        <bgColor rgb="FFFBE4D5"/>
      </patternFill>
    </fill>
    <fill>
      <patternFill patternType="solid">
        <fgColor rgb="FFE7E6E6"/>
        <bgColor rgb="FFE7E6E6"/>
      </patternFill>
    </fill>
    <fill>
      <patternFill patternType="solid">
        <fgColor rgb="FF8EAADB"/>
        <bgColor rgb="FF8EAADB"/>
      </patternFill>
    </fill>
    <fill>
      <patternFill patternType="solid">
        <fgColor rgb="FFC5E0B3"/>
        <bgColor rgb="FFC5E0B3"/>
      </patternFill>
    </fill>
    <fill>
      <patternFill patternType="solid">
        <fgColor rgb="FFF2F2F2"/>
        <bgColor rgb="FFF2F2F2"/>
      </patternFill>
    </fill>
    <fill>
      <patternFill patternType="solid">
        <fgColor rgb="FFBFBFBF"/>
        <bgColor rgb="FFBFBFBF"/>
      </patternFill>
    </fill>
    <fill>
      <patternFill patternType="solid">
        <fgColor rgb="FFFFE598"/>
        <bgColor rgb="FFFFE598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3F1FA"/>
        <bgColor indexed="64"/>
      </patternFill>
    </fill>
    <fill>
      <patternFill patternType="solid">
        <fgColor rgb="FF00B050"/>
        <bgColor indexed="64"/>
      </patternFill>
    </fill>
  </fills>
  <borders count="5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rgb="FF000000"/>
      </top>
      <bottom/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1B1B1B"/>
      </bottom>
      <diagonal/>
    </border>
    <border>
      <left style="medium">
        <color rgb="FFEFEFEF"/>
      </left>
      <right style="medium">
        <color rgb="FFEFEFEF"/>
      </right>
      <top style="medium">
        <color rgb="FFEFEFEF"/>
      </top>
      <bottom style="medium">
        <color rgb="FFEFEFEF"/>
      </bottom>
      <diagonal/>
    </border>
    <border>
      <left style="medium">
        <color rgb="FFEFEFEF"/>
      </left>
      <right style="medium">
        <color rgb="FFEFEFEF"/>
      </right>
      <top style="medium">
        <color rgb="FFEFEFEF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44546A"/>
      </bottom>
      <diagonal/>
    </border>
    <border>
      <left/>
      <right/>
      <top style="medium">
        <color rgb="FF000000"/>
      </top>
      <bottom style="medium">
        <color rgb="FF44546A"/>
      </bottom>
      <diagonal/>
    </border>
    <border>
      <left style="medium">
        <color rgb="FF000000"/>
      </left>
      <right/>
      <top style="medium">
        <color rgb="FF44546A"/>
      </top>
      <bottom/>
      <diagonal/>
    </border>
    <border>
      <left/>
      <right/>
      <top style="medium">
        <color rgb="FF44546A"/>
      </top>
      <bottom/>
      <diagonal/>
    </border>
    <border>
      <left/>
      <right/>
      <top style="medium">
        <color rgb="FF44546A"/>
      </top>
      <bottom style="medium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9" fillId="0" borderId="0" applyNumberFormat="0" applyFill="0" applyBorder="0" applyAlignment="0" applyProtection="0"/>
  </cellStyleXfs>
  <cellXfs count="599">
    <xf numFmtId="0" fontId="0" fillId="0" borderId="0" xfId="0"/>
    <xf numFmtId="14" fontId="0" fillId="0" borderId="0" xfId="0" applyNumberFormat="1"/>
    <xf numFmtId="0" fontId="3" fillId="2" borderId="0" xfId="0" applyFont="1" applyFill="1"/>
    <xf numFmtId="0" fontId="2" fillId="0" borderId="0" xfId="0" applyFont="1"/>
    <xf numFmtId="9" fontId="0" fillId="0" borderId="0" xfId="2" applyFont="1"/>
    <xf numFmtId="10" fontId="0" fillId="0" borderId="0" xfId="0" applyNumberFormat="1"/>
    <xf numFmtId="43" fontId="0" fillId="0" borderId="0" xfId="1" applyFont="1"/>
    <xf numFmtId="9" fontId="0" fillId="0" borderId="0" xfId="0" applyNumberFormat="1"/>
    <xf numFmtId="165" fontId="0" fillId="0" borderId="0" xfId="0" applyNumberFormat="1"/>
    <xf numFmtId="0" fontId="0" fillId="3" borderId="0" xfId="0" applyFill="1"/>
    <xf numFmtId="2" fontId="0" fillId="0" borderId="0" xfId="0" applyNumberFormat="1"/>
    <xf numFmtId="0" fontId="3" fillId="4" borderId="0" xfId="0" applyFont="1" applyFill="1"/>
    <xf numFmtId="1" fontId="0" fillId="0" borderId="0" xfId="0" applyNumberFormat="1"/>
    <xf numFmtId="166" fontId="0" fillId="0" borderId="0" xfId="1" applyNumberFormat="1" applyFont="1"/>
    <xf numFmtId="43" fontId="0" fillId="0" borderId="0" xfId="0" applyNumberFormat="1"/>
    <xf numFmtId="167" fontId="0" fillId="0" borderId="0" xfId="0" applyNumberFormat="1"/>
    <xf numFmtId="167" fontId="0" fillId="0" borderId="0" xfId="3" applyNumberFormat="1" applyFont="1"/>
    <xf numFmtId="167" fontId="2" fillId="0" borderId="1" xfId="0" applyNumberFormat="1" applyFont="1" applyBorder="1"/>
    <xf numFmtId="167" fontId="0" fillId="0" borderId="0" xfId="1" applyNumberFormat="1" applyFont="1"/>
    <xf numFmtId="43" fontId="2" fillId="0" borderId="1" xfId="1" applyFont="1" applyBorder="1"/>
    <xf numFmtId="167" fontId="2" fillId="0" borderId="1" xfId="3" applyNumberFormat="1" applyFont="1" applyBorder="1"/>
    <xf numFmtId="0" fontId="5" fillId="0" borderId="0" xfId="0" applyFont="1"/>
    <xf numFmtId="0" fontId="3" fillId="5" borderId="0" xfId="0" applyFont="1" applyFill="1"/>
    <xf numFmtId="0" fontId="7" fillId="2" borderId="0" xfId="0" applyFont="1" applyFill="1"/>
    <xf numFmtId="0" fontId="4" fillId="0" borderId="0" xfId="0" applyFont="1" applyAlignment="1">
      <alignment wrapText="1"/>
    </xf>
    <xf numFmtId="0" fontId="3" fillId="6" borderId="0" xfId="0" applyFont="1" applyFill="1"/>
    <xf numFmtId="0" fontId="3" fillId="7" borderId="0" xfId="0" applyFont="1" applyFill="1"/>
    <xf numFmtId="17" fontId="3" fillId="7" borderId="0" xfId="0" applyNumberFormat="1" applyFont="1" applyFill="1"/>
    <xf numFmtId="0" fontId="8" fillId="0" borderId="0" xfId="0" applyFont="1"/>
    <xf numFmtId="10" fontId="0" fillId="0" borderId="0" xfId="2" applyNumberFormat="1" applyFont="1"/>
    <xf numFmtId="168" fontId="0" fillId="0" borderId="0" xfId="2" applyNumberFormat="1" applyFont="1"/>
    <xf numFmtId="0" fontId="9" fillId="0" borderId="0" xfId="0" applyFont="1"/>
    <xf numFmtId="0" fontId="11" fillId="7" borderId="0" xfId="0" applyFont="1" applyFill="1"/>
    <xf numFmtId="0" fontId="0" fillId="8" borderId="0" xfId="0" applyFill="1"/>
    <xf numFmtId="9" fontId="0" fillId="8" borderId="0" xfId="2" applyFont="1" applyFill="1"/>
    <xf numFmtId="10" fontId="0" fillId="8" borderId="0" xfId="0" applyNumberFormat="1" applyFill="1"/>
    <xf numFmtId="0" fontId="12" fillId="8" borderId="0" xfId="0" applyFont="1" applyFill="1"/>
    <xf numFmtId="9" fontId="13" fillId="0" borderId="0" xfId="2" applyFont="1"/>
    <xf numFmtId="9" fontId="0" fillId="3" borderId="0" xfId="2" applyFont="1" applyFill="1"/>
    <xf numFmtId="10" fontId="0" fillId="3" borderId="0" xfId="0" applyNumberFormat="1" applyFill="1"/>
    <xf numFmtId="9" fontId="0" fillId="3" borderId="0" xfId="0" applyNumberFormat="1" applyFill="1"/>
    <xf numFmtId="1" fontId="0" fillId="3" borderId="0" xfId="0" applyNumberFormat="1" applyFill="1"/>
    <xf numFmtId="0" fontId="2" fillId="0" borderId="0" xfId="0" applyFont="1" applyAlignment="1">
      <alignment horizontal="center" vertical="center"/>
    </xf>
    <xf numFmtId="10" fontId="0" fillId="9" borderId="0" xfId="0" applyNumberFormat="1" applyFill="1"/>
    <xf numFmtId="0" fontId="17" fillId="0" borderId="0" xfId="0" applyFont="1"/>
    <xf numFmtId="0" fontId="16" fillId="2" borderId="0" xfId="0" applyFont="1" applyFill="1"/>
    <xf numFmtId="0" fontId="18" fillId="0" borderId="0" xfId="0" applyFont="1"/>
    <xf numFmtId="0" fontId="19" fillId="11" borderId="0" xfId="0" applyFont="1" applyFill="1" applyAlignment="1">
      <alignment vertical="top"/>
    </xf>
    <xf numFmtId="165" fontId="0" fillId="0" borderId="0" xfId="2" applyNumberFormat="1" applyFont="1"/>
    <xf numFmtId="2" fontId="0" fillId="0" borderId="0" xfId="2" applyNumberFormat="1" applyFont="1"/>
    <xf numFmtId="165" fontId="0" fillId="10" borderId="0" xfId="2" applyNumberFormat="1" applyFont="1" applyFill="1"/>
    <xf numFmtId="2" fontId="0" fillId="10" borderId="0" xfId="2" applyNumberFormat="1" applyFont="1" applyFill="1"/>
    <xf numFmtId="166" fontId="2" fillId="0" borderId="0" xfId="1" applyNumberFormat="1" applyFont="1"/>
    <xf numFmtId="166" fontId="0" fillId="0" borderId="0" xfId="0" applyNumberFormat="1"/>
    <xf numFmtId="0" fontId="20" fillId="0" borderId="0" xfId="0" applyFont="1"/>
    <xf numFmtId="0" fontId="21" fillId="0" borderId="0" xfId="0" applyFont="1"/>
    <xf numFmtId="0" fontId="22" fillId="11" borderId="0" xfId="0" applyFont="1" applyFill="1" applyAlignment="1">
      <alignment vertical="top"/>
    </xf>
    <xf numFmtId="0" fontId="2" fillId="0" borderId="2" xfId="0" applyFont="1" applyBorder="1"/>
    <xf numFmtId="166" fontId="2" fillId="0" borderId="2" xfId="1" applyNumberFormat="1" applyFont="1" applyBorder="1"/>
    <xf numFmtId="43" fontId="2" fillId="0" borderId="2" xfId="1" applyFont="1" applyBorder="1"/>
    <xf numFmtId="0" fontId="0" fillId="12" borderId="0" xfId="0" applyFill="1"/>
    <xf numFmtId="43" fontId="0" fillId="12" borderId="0" xfId="0" applyNumberFormat="1" applyFill="1"/>
    <xf numFmtId="43" fontId="0" fillId="12" borderId="0" xfId="1" applyFont="1" applyFill="1"/>
    <xf numFmtId="9" fontId="0" fillId="12" borderId="0" xfId="2" applyFont="1" applyFill="1"/>
    <xf numFmtId="43" fontId="2" fillId="12" borderId="1" xfId="1" applyFont="1" applyFill="1" applyBorder="1"/>
    <xf numFmtId="0" fontId="2" fillId="12" borderId="2" xfId="0" applyFont="1" applyFill="1" applyBorder="1"/>
    <xf numFmtId="43" fontId="2" fillId="12" borderId="2" xfId="1" applyFont="1" applyFill="1" applyBorder="1"/>
    <xf numFmtId="2" fontId="0" fillId="12" borderId="0" xfId="0" applyNumberFormat="1" applyFill="1"/>
    <xf numFmtId="167" fontId="0" fillId="12" borderId="0" xfId="3" applyNumberFormat="1" applyFont="1" applyFill="1"/>
    <xf numFmtId="167" fontId="0" fillId="12" borderId="0" xfId="0" applyNumberFormat="1" applyFill="1"/>
    <xf numFmtId="167" fontId="2" fillId="12" borderId="1" xfId="3" applyNumberFormat="1" applyFont="1" applyFill="1" applyBorder="1"/>
    <xf numFmtId="10" fontId="0" fillId="12" borderId="0" xfId="2" applyNumberFormat="1" applyFont="1" applyFill="1"/>
    <xf numFmtId="0" fontId="0" fillId="12" borderId="0" xfId="2" applyNumberFormat="1" applyFont="1" applyFill="1"/>
    <xf numFmtId="168" fontId="0" fillId="12" borderId="0" xfId="2" applyNumberFormat="1" applyFont="1" applyFill="1"/>
    <xf numFmtId="0" fontId="6" fillId="12" borderId="0" xfId="0" applyFont="1" applyFill="1"/>
    <xf numFmtId="9" fontId="0" fillId="12" borderId="0" xfId="0" applyNumberFormat="1" applyFill="1"/>
    <xf numFmtId="10" fontId="0" fillId="12" borderId="0" xfId="0" applyNumberFormat="1" applyFill="1"/>
    <xf numFmtId="0" fontId="3" fillId="13" borderId="0" xfId="0" applyFont="1" applyFill="1"/>
    <xf numFmtId="166" fontId="2" fillId="0" borderId="2" xfId="0" applyNumberFormat="1" applyFont="1" applyBorder="1"/>
    <xf numFmtId="9" fontId="0" fillId="9" borderId="3" xfId="2" applyFont="1" applyFill="1" applyBorder="1"/>
    <xf numFmtId="0" fontId="2" fillId="12" borderId="0" xfId="0" applyFont="1" applyFill="1"/>
    <xf numFmtId="166" fontId="2" fillId="0" borderId="0" xfId="1" applyNumberFormat="1" applyFont="1" applyBorder="1"/>
    <xf numFmtId="9" fontId="2" fillId="0" borderId="0" xfId="2" applyFont="1" applyBorder="1"/>
    <xf numFmtId="10" fontId="0" fillId="9" borderId="0" xfId="1" applyNumberFormat="1" applyFont="1" applyFill="1"/>
    <xf numFmtId="1" fontId="0" fillId="12" borderId="0" xfId="0" applyNumberFormat="1" applyFill="1"/>
    <xf numFmtId="1" fontId="0" fillId="0" borderId="0" xfId="1" applyNumberFormat="1" applyFont="1"/>
    <xf numFmtId="1" fontId="2" fillId="0" borderId="1" xfId="1" applyNumberFormat="1" applyFont="1" applyBorder="1"/>
    <xf numFmtId="43" fontId="1" fillId="12" borderId="0" xfId="1" applyFont="1" applyFill="1" applyBorder="1"/>
    <xf numFmtId="2" fontId="0" fillId="12" borderId="0" xfId="2" applyNumberFormat="1" applyFont="1" applyFill="1"/>
    <xf numFmtId="10" fontId="0" fillId="12" borderId="4" xfId="0" applyNumberFormat="1" applyFill="1" applyBorder="1"/>
    <xf numFmtId="43" fontId="1" fillId="12" borderId="4" xfId="1" applyFont="1" applyFill="1" applyBorder="1"/>
    <xf numFmtId="43" fontId="2" fillId="0" borderId="2" xfId="0" applyNumberFormat="1" applyFont="1" applyBorder="1"/>
    <xf numFmtId="10" fontId="2" fillId="0" borderId="0" xfId="0" applyNumberFormat="1" applyFont="1"/>
    <xf numFmtId="0" fontId="3" fillId="15" borderId="0" xfId="0" applyFont="1" applyFill="1"/>
    <xf numFmtId="166" fontId="16" fillId="15" borderId="6" xfId="0" applyNumberFormat="1" applyFont="1" applyFill="1" applyBorder="1"/>
    <xf numFmtId="0" fontId="3" fillId="16" borderId="5" xfId="0" applyFont="1" applyFill="1" applyBorder="1"/>
    <xf numFmtId="0" fontId="16" fillId="16" borderId="5" xfId="0" applyFont="1" applyFill="1" applyBorder="1"/>
    <xf numFmtId="0" fontId="3" fillId="16" borderId="0" xfId="0" applyFont="1" applyFill="1"/>
    <xf numFmtId="1" fontId="3" fillId="15" borderId="0" xfId="0" applyNumberFormat="1" applyFont="1" applyFill="1"/>
    <xf numFmtId="0" fontId="27" fillId="16" borderId="5" xfId="0" applyFont="1" applyFill="1" applyBorder="1"/>
    <xf numFmtId="0" fontId="28" fillId="7" borderId="0" xfId="0" applyFont="1" applyFill="1"/>
    <xf numFmtId="0" fontId="29" fillId="16" borderId="5" xfId="0" applyFont="1" applyFill="1" applyBorder="1"/>
    <xf numFmtId="169" fontId="3" fillId="17" borderId="0" xfId="0" applyNumberFormat="1" applyFont="1" applyFill="1"/>
    <xf numFmtId="170" fontId="3" fillId="17" borderId="0" xfId="0" applyNumberFormat="1" applyFont="1" applyFill="1"/>
    <xf numFmtId="1" fontId="3" fillId="17" borderId="0" xfId="0" applyNumberFormat="1" applyFont="1" applyFill="1"/>
    <xf numFmtId="0" fontId="0" fillId="18" borderId="0" xfId="0" applyFill="1"/>
    <xf numFmtId="0" fontId="30" fillId="18" borderId="0" xfId="0" applyFont="1" applyFill="1"/>
    <xf numFmtId="0" fontId="23" fillId="9" borderId="0" xfId="0" applyFont="1" applyFill="1"/>
    <xf numFmtId="0" fontId="18" fillId="9" borderId="0" xfId="0" applyFont="1" applyFill="1" applyAlignment="1">
      <alignment horizontal="left"/>
    </xf>
    <xf numFmtId="0" fontId="23" fillId="9" borderId="0" xfId="0" applyFont="1" applyFill="1" applyAlignment="1">
      <alignment horizontal="left"/>
    </xf>
    <xf numFmtId="0" fontId="18" fillId="9" borderId="0" xfId="0" applyFont="1" applyFill="1" applyAlignment="1">
      <alignment vertical="top"/>
    </xf>
    <xf numFmtId="0" fontId="18" fillId="9" borderId="0" xfId="0" applyFont="1" applyFill="1"/>
    <xf numFmtId="0" fontId="18" fillId="19" borderId="0" xfId="0" applyFont="1" applyFill="1" applyAlignment="1">
      <alignment horizontal="left"/>
    </xf>
    <xf numFmtId="0" fontId="0" fillId="9" borderId="7" xfId="0" applyFill="1" applyBorder="1"/>
    <xf numFmtId="166" fontId="0" fillId="9" borderId="7" xfId="1" applyNumberFormat="1" applyFont="1" applyFill="1" applyBorder="1"/>
    <xf numFmtId="1" fontId="0" fillId="9" borderId="7" xfId="0" applyNumberFormat="1" applyFill="1" applyBorder="1"/>
    <xf numFmtId="166" fontId="2" fillId="9" borderId="8" xfId="0" applyNumberFormat="1" applyFont="1" applyFill="1" applyBorder="1"/>
    <xf numFmtId="1" fontId="2" fillId="9" borderId="8" xfId="0" applyNumberFormat="1" applyFont="1" applyFill="1" applyBorder="1"/>
    <xf numFmtId="166" fontId="0" fillId="9" borderId="7" xfId="0" applyNumberFormat="1" applyFill="1" applyBorder="1"/>
    <xf numFmtId="0" fontId="0" fillId="9" borderId="9" xfId="0" applyFill="1" applyBorder="1"/>
    <xf numFmtId="166" fontId="2" fillId="9" borderId="10" xfId="0" applyNumberFormat="1" applyFont="1" applyFill="1" applyBorder="1"/>
    <xf numFmtId="0" fontId="3" fillId="7" borderId="7" xfId="0" applyFont="1" applyFill="1" applyBorder="1"/>
    <xf numFmtId="0" fontId="0" fillId="0" borderId="10" xfId="0" applyBorder="1"/>
    <xf numFmtId="0" fontId="0" fillId="7" borderId="9" xfId="0" applyFill="1" applyBorder="1"/>
    <xf numFmtId="0" fontId="3" fillId="15" borderId="7" xfId="0" applyFont="1" applyFill="1" applyBorder="1"/>
    <xf numFmtId="1" fontId="3" fillId="15" borderId="7" xfId="0" applyNumberFormat="1" applyFont="1" applyFill="1" applyBorder="1"/>
    <xf numFmtId="169" fontId="3" fillId="15" borderId="7" xfId="1" applyNumberFormat="1" applyFont="1" applyFill="1" applyBorder="1"/>
    <xf numFmtId="1" fontId="16" fillId="15" borderId="8" xfId="0" applyNumberFormat="1" applyFont="1" applyFill="1" applyBorder="1"/>
    <xf numFmtId="166" fontId="3" fillId="15" borderId="7" xfId="0" applyNumberFormat="1" applyFont="1" applyFill="1" applyBorder="1"/>
    <xf numFmtId="166" fontId="16" fillId="15" borderId="8" xfId="0" applyNumberFormat="1" applyFont="1" applyFill="1" applyBorder="1"/>
    <xf numFmtId="43" fontId="3" fillId="15" borderId="7" xfId="0" applyNumberFormat="1" applyFont="1" applyFill="1" applyBorder="1"/>
    <xf numFmtId="169" fontId="2" fillId="14" borderId="8" xfId="1" applyNumberFormat="1" applyFont="1" applyFill="1" applyBorder="1"/>
    <xf numFmtId="43" fontId="3" fillId="15" borderId="10" xfId="0" applyNumberFormat="1" applyFont="1" applyFill="1" applyBorder="1"/>
    <xf numFmtId="0" fontId="25" fillId="20" borderId="9" xfId="0" applyFont="1" applyFill="1" applyBorder="1"/>
    <xf numFmtId="0" fontId="3" fillId="20" borderId="7" xfId="0" applyFont="1" applyFill="1" applyBorder="1"/>
    <xf numFmtId="0" fontId="3" fillId="4" borderId="5" xfId="0" applyFont="1" applyFill="1" applyBorder="1"/>
    <xf numFmtId="0" fontId="3" fillId="4" borderId="11" xfId="0" applyFont="1" applyFill="1" applyBorder="1"/>
    <xf numFmtId="0" fontId="25" fillId="7" borderId="7" xfId="0" applyFont="1" applyFill="1" applyBorder="1"/>
    <xf numFmtId="0" fontId="3" fillId="21" borderId="0" xfId="0" applyFont="1" applyFill="1"/>
    <xf numFmtId="0" fontId="25" fillId="17" borderId="0" xfId="0" applyFont="1" applyFill="1"/>
    <xf numFmtId="0" fontId="3" fillId="7" borderId="9" xfId="0" applyFont="1" applyFill="1" applyBorder="1"/>
    <xf numFmtId="166" fontId="3" fillId="15" borderId="7" xfId="1" applyNumberFormat="1" applyFont="1" applyFill="1" applyBorder="1"/>
    <xf numFmtId="166" fontId="16" fillId="15" borderId="7" xfId="0" applyNumberFormat="1" applyFont="1" applyFill="1" applyBorder="1"/>
    <xf numFmtId="166" fontId="26" fillId="15" borderId="0" xfId="1" applyNumberFormat="1" applyFont="1" applyFill="1" applyBorder="1"/>
    <xf numFmtId="1" fontId="0" fillId="9" borderId="12" xfId="0" applyNumberFormat="1" applyFill="1" applyBorder="1"/>
    <xf numFmtId="0" fontId="3" fillId="15" borderId="12" xfId="0" applyFont="1" applyFill="1" applyBorder="1"/>
    <xf numFmtId="1" fontId="3" fillId="15" borderId="12" xfId="0" applyNumberFormat="1" applyFont="1" applyFill="1" applyBorder="1"/>
    <xf numFmtId="166" fontId="3" fillId="15" borderId="12" xfId="1" applyNumberFormat="1" applyFont="1" applyFill="1" applyBorder="1"/>
    <xf numFmtId="166" fontId="3" fillId="15" borderId="12" xfId="0" applyNumberFormat="1" applyFont="1" applyFill="1" applyBorder="1"/>
    <xf numFmtId="1" fontId="16" fillId="15" borderId="6" xfId="0" applyNumberFormat="1" applyFont="1" applyFill="1" applyBorder="1"/>
    <xf numFmtId="169" fontId="3" fillId="15" borderId="12" xfId="1" applyNumberFormat="1" applyFont="1" applyFill="1" applyBorder="1"/>
    <xf numFmtId="166" fontId="16" fillId="15" borderId="12" xfId="0" applyNumberFormat="1" applyFont="1" applyFill="1" applyBorder="1"/>
    <xf numFmtId="169" fontId="2" fillId="14" borderId="6" xfId="1" applyNumberFormat="1" applyFont="1" applyFill="1" applyBorder="1"/>
    <xf numFmtId="1" fontId="3" fillId="15" borderId="8" xfId="0" applyNumberFormat="1" applyFont="1" applyFill="1" applyBorder="1"/>
    <xf numFmtId="0" fontId="0" fillId="0" borderId="7" xfId="0" applyBorder="1"/>
    <xf numFmtId="166" fontId="3" fillId="15" borderId="10" xfId="0" applyNumberFormat="1" applyFont="1" applyFill="1" applyBorder="1"/>
    <xf numFmtId="0" fontId="31" fillId="11" borderId="0" xfId="0" applyFont="1" applyFill="1" applyAlignment="1">
      <alignment vertical="top" wrapText="1"/>
    </xf>
    <xf numFmtId="0" fontId="32" fillId="11" borderId="0" xfId="0" applyFont="1" applyFill="1" applyAlignment="1">
      <alignment vertical="top"/>
    </xf>
    <xf numFmtId="0" fontId="33" fillId="22" borderId="0" xfId="0" applyFont="1" applyFill="1"/>
    <xf numFmtId="0" fontId="2" fillId="6" borderId="5" xfId="0" applyFont="1" applyFill="1" applyBorder="1"/>
    <xf numFmtId="0" fontId="0" fillId="6" borderId="5" xfId="0" applyFill="1" applyBorder="1"/>
    <xf numFmtId="0" fontId="0" fillId="6" borderId="5" xfId="0" applyFill="1" applyBorder="1" applyAlignment="1">
      <alignment wrapText="1"/>
    </xf>
    <xf numFmtId="0" fontId="4" fillId="6" borderId="5" xfId="0" applyFont="1" applyFill="1" applyBorder="1"/>
    <xf numFmtId="0" fontId="0" fillId="0" borderId="5" xfId="0" applyBorder="1"/>
    <xf numFmtId="0" fontId="25" fillId="4" borderId="5" xfId="0" applyFont="1" applyFill="1" applyBorder="1"/>
    <xf numFmtId="169" fontId="2" fillId="6" borderId="13" xfId="1" applyNumberFormat="1" applyFont="1" applyFill="1" applyBorder="1"/>
    <xf numFmtId="169" fontId="2" fillId="6" borderId="14" xfId="1" applyNumberFormat="1" applyFont="1" applyFill="1" applyBorder="1"/>
    <xf numFmtId="169" fontId="0" fillId="6" borderId="5" xfId="1" applyNumberFormat="1" applyFont="1" applyFill="1" applyBorder="1"/>
    <xf numFmtId="169" fontId="0" fillId="6" borderId="13" xfId="1" applyNumberFormat="1" applyFont="1" applyFill="1" applyBorder="1"/>
    <xf numFmtId="169" fontId="2" fillId="6" borderId="5" xfId="1" applyNumberFormat="1" applyFont="1" applyFill="1" applyBorder="1"/>
    <xf numFmtId="43" fontId="0" fillId="6" borderId="5" xfId="0" applyNumberFormat="1" applyFill="1" applyBorder="1"/>
    <xf numFmtId="169" fontId="0" fillId="6" borderId="5" xfId="0" applyNumberFormat="1" applyFill="1" applyBorder="1"/>
    <xf numFmtId="170" fontId="24" fillId="6" borderId="5" xfId="0" applyNumberFormat="1" applyFont="1" applyFill="1" applyBorder="1" applyAlignment="1">
      <alignment vertical="top"/>
    </xf>
    <xf numFmtId="169" fontId="25" fillId="4" borderId="5" xfId="0" applyNumberFormat="1" applyFont="1" applyFill="1" applyBorder="1"/>
    <xf numFmtId="170" fontId="34" fillId="4" borderId="5" xfId="0" applyNumberFormat="1" applyFont="1" applyFill="1" applyBorder="1" applyAlignment="1">
      <alignment vertical="top"/>
    </xf>
    <xf numFmtId="0" fontId="0" fillId="6" borderId="7" xfId="0" applyFill="1" applyBorder="1"/>
    <xf numFmtId="169" fontId="0" fillId="6" borderId="7" xfId="1" applyNumberFormat="1" applyFont="1" applyFill="1" applyBorder="1"/>
    <xf numFmtId="169" fontId="2" fillId="6" borderId="8" xfId="1" applyNumberFormat="1" applyFont="1" applyFill="1" applyBorder="1"/>
    <xf numFmtId="169" fontId="0" fillId="6" borderId="8" xfId="1" applyNumberFormat="1" applyFont="1" applyFill="1" applyBorder="1"/>
    <xf numFmtId="169" fontId="2" fillId="6" borderId="7" xfId="1" applyNumberFormat="1" applyFont="1" applyFill="1" applyBorder="1"/>
    <xf numFmtId="169" fontId="2" fillId="6" borderId="3" xfId="1" applyNumberFormat="1" applyFont="1" applyFill="1" applyBorder="1"/>
    <xf numFmtId="43" fontId="0" fillId="6" borderId="7" xfId="0" applyNumberFormat="1" applyFill="1" applyBorder="1"/>
    <xf numFmtId="0" fontId="4" fillId="6" borderId="7" xfId="0" applyFont="1" applyFill="1" applyBorder="1"/>
    <xf numFmtId="169" fontId="0" fillId="6" borderId="7" xfId="0" applyNumberFormat="1" applyFill="1" applyBorder="1"/>
    <xf numFmtId="170" fontId="24" fillId="6" borderId="7" xfId="0" applyNumberFormat="1" applyFont="1" applyFill="1" applyBorder="1" applyAlignment="1">
      <alignment vertical="top"/>
    </xf>
    <xf numFmtId="169" fontId="25" fillId="4" borderId="7" xfId="0" applyNumberFormat="1" applyFont="1" applyFill="1" applyBorder="1"/>
    <xf numFmtId="170" fontId="34" fillId="4" borderId="7" xfId="0" applyNumberFormat="1" applyFont="1" applyFill="1" applyBorder="1" applyAlignment="1">
      <alignment vertical="top"/>
    </xf>
    <xf numFmtId="0" fontId="0" fillId="0" borderId="4" xfId="0" applyBorder="1"/>
    <xf numFmtId="0" fontId="0" fillId="0" borderId="15" xfId="0" applyBorder="1"/>
    <xf numFmtId="169" fontId="25" fillId="15" borderId="7" xfId="1" applyNumberFormat="1" applyFont="1" applyFill="1" applyBorder="1"/>
    <xf numFmtId="166" fontId="25" fillId="15" borderId="7" xfId="1" applyNumberFormat="1" applyFont="1" applyFill="1" applyBorder="1"/>
    <xf numFmtId="166" fontId="26" fillId="15" borderId="8" xfId="1" applyNumberFormat="1" applyFont="1" applyFill="1" applyBorder="1"/>
    <xf numFmtId="166" fontId="26" fillId="15" borderId="7" xfId="1" applyNumberFormat="1" applyFont="1" applyFill="1" applyBorder="1"/>
    <xf numFmtId="166" fontId="25" fillId="15" borderId="8" xfId="1" applyNumberFormat="1" applyFont="1" applyFill="1" applyBorder="1"/>
    <xf numFmtId="166" fontId="26" fillId="15" borderId="3" xfId="1" applyNumberFormat="1" applyFont="1" applyFill="1" applyBorder="1"/>
    <xf numFmtId="166" fontId="2" fillId="14" borderId="8" xfId="1" applyNumberFormat="1" applyFont="1" applyFill="1" applyBorder="1"/>
    <xf numFmtId="43" fontId="25" fillId="15" borderId="7" xfId="0" applyNumberFormat="1" applyFont="1" applyFill="1" applyBorder="1"/>
    <xf numFmtId="0" fontId="25" fillId="15" borderId="7" xfId="0" applyFont="1" applyFill="1" applyBorder="1"/>
    <xf numFmtId="170" fontId="25" fillId="6" borderId="7" xfId="0" applyNumberFormat="1" applyFont="1" applyFill="1" applyBorder="1"/>
    <xf numFmtId="0" fontId="25" fillId="6" borderId="7" xfId="0" applyFont="1" applyFill="1" applyBorder="1"/>
    <xf numFmtId="169" fontId="3" fillId="17" borderId="7" xfId="0" applyNumberFormat="1" applyFont="1" applyFill="1" applyBorder="1"/>
    <xf numFmtId="170" fontId="3" fillId="17" borderId="7" xfId="0" applyNumberFormat="1" applyFont="1" applyFill="1" applyBorder="1"/>
    <xf numFmtId="0" fontId="3" fillId="6" borderId="10" xfId="0" applyFont="1" applyFill="1" applyBorder="1"/>
    <xf numFmtId="169" fontId="0" fillId="6" borderId="12" xfId="1" applyNumberFormat="1" applyFont="1" applyFill="1" applyBorder="1"/>
    <xf numFmtId="169" fontId="26" fillId="15" borderId="8" xfId="1" applyNumberFormat="1" applyFont="1" applyFill="1" applyBorder="1"/>
    <xf numFmtId="169" fontId="3" fillId="23" borderId="7" xfId="0" applyNumberFormat="1" applyFont="1" applyFill="1" applyBorder="1"/>
    <xf numFmtId="170" fontId="3" fillId="23" borderId="7" xfId="0" applyNumberFormat="1" applyFont="1" applyFill="1" applyBorder="1"/>
    <xf numFmtId="166" fontId="3" fillId="23" borderId="7" xfId="0" applyNumberFormat="1" applyFont="1" applyFill="1" applyBorder="1"/>
    <xf numFmtId="1" fontId="3" fillId="23" borderId="7" xfId="0" applyNumberFormat="1" applyFont="1" applyFill="1" applyBorder="1"/>
    <xf numFmtId="169" fontId="3" fillId="17" borderId="5" xfId="0" applyNumberFormat="1" applyFont="1" applyFill="1" applyBorder="1"/>
    <xf numFmtId="170" fontId="3" fillId="17" borderId="5" xfId="0" applyNumberFormat="1" applyFont="1" applyFill="1" applyBorder="1"/>
    <xf numFmtId="1" fontId="3" fillId="17" borderId="7" xfId="0" applyNumberFormat="1" applyFont="1" applyFill="1" applyBorder="1"/>
    <xf numFmtId="0" fontId="10" fillId="0" borderId="7" xfId="0" applyFont="1" applyBorder="1"/>
    <xf numFmtId="0" fontId="2" fillId="0" borderId="7" xfId="0" applyFont="1" applyBorder="1"/>
    <xf numFmtId="3" fontId="0" fillId="0" borderId="7" xfId="0" applyNumberFormat="1" applyBorder="1"/>
    <xf numFmtId="0" fontId="2" fillId="0" borderId="8" xfId="0" applyFont="1" applyBorder="1"/>
    <xf numFmtId="0" fontId="0" fillId="0" borderId="8" xfId="0" applyBorder="1"/>
    <xf numFmtId="0" fontId="4" fillId="0" borderId="0" xfId="0" applyFont="1"/>
    <xf numFmtId="0" fontId="4" fillId="6" borderId="7" xfId="0" applyFont="1" applyFill="1" applyBorder="1" applyAlignment="1">
      <alignment wrapText="1"/>
    </xf>
    <xf numFmtId="0" fontId="4" fillId="6" borderId="5" xfId="0" applyFont="1" applyFill="1" applyBorder="1" applyAlignment="1">
      <alignment wrapText="1"/>
    </xf>
    <xf numFmtId="14" fontId="2" fillId="0" borderId="0" xfId="0" applyNumberFormat="1" applyFont="1"/>
    <xf numFmtId="43" fontId="2" fillId="0" borderId="0" xfId="0" applyNumberFormat="1" applyFont="1"/>
    <xf numFmtId="39" fontId="2" fillId="0" borderId="0" xfId="0" applyNumberFormat="1" applyFont="1"/>
    <xf numFmtId="2" fontId="2" fillId="0" borderId="0" xfId="0" applyNumberFormat="1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10" fontId="0" fillId="0" borderId="7" xfId="2" applyNumberFormat="1" applyFont="1" applyBorder="1"/>
    <xf numFmtId="0" fontId="32" fillId="24" borderId="16" xfId="0" applyFont="1" applyFill="1" applyBorder="1"/>
    <xf numFmtId="0" fontId="19" fillId="24" borderId="17" xfId="0" applyFont="1" applyFill="1" applyBorder="1"/>
    <xf numFmtId="0" fontId="18" fillId="0" borderId="18" xfId="0" applyFont="1" applyBorder="1"/>
    <xf numFmtId="43" fontId="18" fillId="0" borderId="19" xfId="0" applyNumberFormat="1" applyFont="1" applyBorder="1"/>
    <xf numFmtId="171" fontId="18" fillId="0" borderId="20" xfId="0" applyNumberFormat="1" applyFont="1" applyBorder="1"/>
    <xf numFmtId="10" fontId="18" fillId="0" borderId="19" xfId="0" applyNumberFormat="1" applyFont="1" applyBorder="1"/>
    <xf numFmtId="171" fontId="18" fillId="0" borderId="19" xfId="0" applyNumberFormat="1" applyFont="1" applyBorder="1"/>
    <xf numFmtId="10" fontId="38" fillId="0" borderId="19" xfId="0" applyNumberFormat="1" applyFont="1" applyBorder="1"/>
    <xf numFmtId="0" fontId="18" fillId="0" borderId="21" xfId="0" applyFont="1" applyBorder="1"/>
    <xf numFmtId="43" fontId="18" fillId="0" borderId="22" xfId="0" applyNumberFormat="1" applyFont="1" applyBorder="1"/>
    <xf numFmtId="171" fontId="18" fillId="0" borderId="22" xfId="0" applyNumberFormat="1" applyFont="1" applyBorder="1"/>
    <xf numFmtId="10" fontId="38" fillId="0" borderId="22" xfId="0" applyNumberFormat="1" applyFont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72" fontId="0" fillId="0" borderId="0" xfId="0" applyNumberFormat="1"/>
    <xf numFmtId="173" fontId="0" fillId="0" borderId="0" xfId="0" applyNumberFormat="1"/>
    <xf numFmtId="0" fontId="40" fillId="0" borderId="0" xfId="4" applyFont="1"/>
    <xf numFmtId="169" fontId="18" fillId="0" borderId="19" xfId="0" applyNumberFormat="1" applyFont="1" applyBorder="1"/>
    <xf numFmtId="0" fontId="3" fillId="25" borderId="0" xfId="0" applyFont="1" applyFill="1"/>
    <xf numFmtId="174" fontId="41" fillId="0" borderId="23" xfId="0" applyNumberFormat="1" applyFont="1" applyBorder="1" applyAlignment="1">
      <alignment horizontal="left" vertical="top"/>
    </xf>
    <xf numFmtId="174" fontId="41" fillId="0" borderId="0" xfId="0" applyNumberFormat="1" applyFont="1" applyAlignment="1">
      <alignment horizontal="left" vertical="top"/>
    </xf>
    <xf numFmtId="0" fontId="42" fillId="0" borderId="0" xfId="0" applyFont="1" applyAlignment="1">
      <alignment horizontal="left" vertical="top"/>
    </xf>
    <xf numFmtId="0" fontId="42" fillId="0" borderId="23" xfId="0" applyFont="1" applyBorder="1" applyAlignment="1">
      <alignment horizontal="left" vertical="top"/>
    </xf>
    <xf numFmtId="0" fontId="41" fillId="0" borderId="23" xfId="0" applyFont="1" applyBorder="1" applyAlignment="1">
      <alignment horizontal="left" vertical="top"/>
    </xf>
    <xf numFmtId="0" fontId="41" fillId="0" borderId="0" xfId="0" applyFont="1" applyAlignment="1">
      <alignment horizontal="left" vertical="top"/>
    </xf>
    <xf numFmtId="0" fontId="32" fillId="24" borderId="0" xfId="0" applyFont="1" applyFill="1" applyAlignment="1">
      <alignment horizontal="center" vertical="top"/>
    </xf>
    <xf numFmtId="0" fontId="44" fillId="24" borderId="0" xfId="0" applyFont="1" applyFill="1" applyAlignment="1">
      <alignment vertical="top"/>
    </xf>
    <xf numFmtId="0" fontId="32" fillId="24" borderId="0" xfId="0" applyFont="1" applyFill="1" applyAlignment="1">
      <alignment vertical="top"/>
    </xf>
    <xf numFmtId="175" fontId="41" fillId="0" borderId="0" xfId="0" applyNumberFormat="1" applyFont="1" applyAlignment="1">
      <alignment horizontal="left" vertical="top"/>
    </xf>
    <xf numFmtId="3" fontId="0" fillId="0" borderId="0" xfId="0" applyNumberFormat="1"/>
    <xf numFmtId="165" fontId="41" fillId="0" borderId="23" xfId="2" applyNumberFormat="1" applyFont="1" applyBorder="1" applyAlignment="1">
      <alignment horizontal="right" vertical="center"/>
    </xf>
    <xf numFmtId="10" fontId="42" fillId="0" borderId="23" xfId="0" applyNumberFormat="1" applyFont="1" applyBorder="1" applyAlignment="1">
      <alignment horizontal="left" vertical="top"/>
    </xf>
    <xf numFmtId="0" fontId="0" fillId="26" borderId="0" xfId="0" applyFill="1"/>
    <xf numFmtId="172" fontId="0" fillId="27" borderId="0" xfId="0" applyNumberFormat="1" applyFill="1"/>
    <xf numFmtId="165" fontId="2" fillId="0" borderId="0" xfId="0" applyNumberFormat="1" applyFont="1"/>
    <xf numFmtId="10" fontId="42" fillId="27" borderId="23" xfId="0" applyNumberFormat="1" applyFont="1" applyFill="1" applyBorder="1" applyAlignment="1">
      <alignment horizontal="left" vertical="top"/>
    </xf>
    <xf numFmtId="0" fontId="42" fillId="26" borderId="23" xfId="0" applyFont="1" applyFill="1" applyBorder="1" applyAlignment="1">
      <alignment horizontal="left" vertical="top"/>
    </xf>
    <xf numFmtId="176" fontId="0" fillId="0" borderId="0" xfId="2" applyNumberFormat="1" applyFont="1"/>
    <xf numFmtId="0" fontId="3" fillId="26" borderId="0" xfId="0" applyFont="1" applyFill="1"/>
    <xf numFmtId="0" fontId="45" fillId="0" borderId="0" xfId="0" applyFont="1" applyAlignment="1">
      <alignment vertical="top"/>
    </xf>
    <xf numFmtId="0" fontId="46" fillId="0" borderId="0" xfId="0" applyFont="1" applyAlignment="1">
      <alignment vertical="top"/>
    </xf>
    <xf numFmtId="15" fontId="0" fillId="0" borderId="0" xfId="0" applyNumberFormat="1"/>
    <xf numFmtId="0" fontId="0" fillId="0" borderId="0" xfId="0" applyAlignment="1">
      <alignment wrapText="1"/>
    </xf>
    <xf numFmtId="0" fontId="0" fillId="26" borderId="0" xfId="0" applyFill="1" applyAlignment="1">
      <alignment wrapText="1"/>
    </xf>
    <xf numFmtId="0" fontId="3" fillId="25" borderId="0" xfId="0" applyFont="1" applyFill="1" applyAlignment="1">
      <alignment wrapText="1"/>
    </xf>
    <xf numFmtId="0" fontId="3" fillId="25" borderId="0" xfId="0" applyFont="1" applyFill="1" applyAlignment="1">
      <alignment vertical="top"/>
    </xf>
    <xf numFmtId="0" fontId="46" fillId="20" borderId="0" xfId="0" applyFont="1" applyFill="1" applyAlignment="1">
      <alignment vertical="top"/>
    </xf>
    <xf numFmtId="10" fontId="0" fillId="20" borderId="0" xfId="0" applyNumberFormat="1" applyFill="1" applyAlignment="1">
      <alignment wrapText="1"/>
    </xf>
    <xf numFmtId="0" fontId="18" fillId="0" borderId="0" xfId="0" applyFont="1" applyAlignment="1">
      <alignment vertical="top"/>
    </xf>
    <xf numFmtId="0" fontId="23" fillId="0" borderId="0" xfId="0" applyFont="1" applyAlignment="1">
      <alignment vertical="top"/>
    </xf>
    <xf numFmtId="0" fontId="18" fillId="0" borderId="0" xfId="0" applyFont="1" applyAlignment="1">
      <alignment horizontal="left" vertical="top"/>
    </xf>
    <xf numFmtId="1" fontId="2" fillId="0" borderId="2" xfId="0" applyNumberFormat="1" applyFont="1" applyBorder="1"/>
    <xf numFmtId="0" fontId="23" fillId="0" borderId="24" xfId="0" applyFont="1" applyBorder="1" applyAlignment="1">
      <alignment vertical="top"/>
    </xf>
    <xf numFmtId="0" fontId="18" fillId="0" borderId="18" xfId="0" applyFont="1" applyBorder="1" applyAlignment="1">
      <alignment vertical="top"/>
    </xf>
    <xf numFmtId="0" fontId="23" fillId="0" borderId="18" xfId="0" applyFont="1" applyBorder="1" applyAlignment="1">
      <alignment vertical="top"/>
    </xf>
    <xf numFmtId="0" fontId="23" fillId="0" borderId="25" xfId="0" applyFont="1" applyBorder="1" applyAlignment="1">
      <alignment vertical="top"/>
    </xf>
    <xf numFmtId="0" fontId="23" fillId="0" borderId="26" xfId="0" applyFont="1" applyBorder="1" applyAlignment="1">
      <alignment vertical="top"/>
    </xf>
    <xf numFmtId="10" fontId="42" fillId="0" borderId="23" xfId="2" applyNumberFormat="1" applyFont="1" applyBorder="1" applyAlignment="1">
      <alignment horizontal="left" vertical="top"/>
    </xf>
    <xf numFmtId="0" fontId="23" fillId="0" borderId="27" xfId="0" applyFont="1" applyBorder="1" applyAlignment="1">
      <alignment vertical="top"/>
    </xf>
    <xf numFmtId="0" fontId="0" fillId="0" borderId="28" xfId="0" applyBorder="1"/>
    <xf numFmtId="43" fontId="0" fillId="0" borderId="28" xfId="0" applyNumberFormat="1" applyBorder="1"/>
    <xf numFmtId="166" fontId="0" fillId="0" borderId="0" xfId="1" applyNumberFormat="1" applyFont="1" applyBorder="1"/>
    <xf numFmtId="0" fontId="23" fillId="0" borderId="29" xfId="0" applyFont="1" applyBorder="1" applyAlignment="1">
      <alignment vertical="top"/>
    </xf>
    <xf numFmtId="1" fontId="2" fillId="0" borderId="5" xfId="0" applyNumberFormat="1" applyFont="1" applyBorder="1"/>
    <xf numFmtId="1" fontId="0" fillId="0" borderId="5" xfId="0" applyNumberFormat="1" applyBorder="1"/>
    <xf numFmtId="177" fontId="23" fillId="0" borderId="31" xfId="0" applyNumberFormat="1" applyFont="1" applyBorder="1" applyAlignment="1">
      <alignment horizontal="center" vertical="center"/>
    </xf>
    <xf numFmtId="165" fontId="18" fillId="0" borderId="24" xfId="0" applyNumberFormat="1" applyFont="1" applyBorder="1" applyAlignment="1">
      <alignment vertical="top"/>
    </xf>
    <xf numFmtId="10" fontId="18" fillId="0" borderId="32" xfId="0" applyNumberFormat="1" applyFont="1" applyBorder="1" applyAlignment="1">
      <alignment vertical="top"/>
    </xf>
    <xf numFmtId="10" fontId="18" fillId="0" borderId="33" xfId="0" applyNumberFormat="1" applyFont="1" applyBorder="1" applyAlignment="1">
      <alignment vertical="top"/>
    </xf>
    <xf numFmtId="10" fontId="18" fillId="0" borderId="20" xfId="0" applyNumberFormat="1" applyFont="1" applyBorder="1" applyAlignment="1">
      <alignment vertical="top"/>
    </xf>
    <xf numFmtId="178" fontId="18" fillId="0" borderId="25" xfId="0" applyNumberFormat="1" applyFont="1" applyBorder="1" applyAlignment="1">
      <alignment horizontal="right" vertical="top"/>
    </xf>
    <xf numFmtId="178" fontId="18" fillId="0" borderId="26" xfId="0" applyNumberFormat="1" applyFont="1" applyBorder="1" applyAlignment="1">
      <alignment horizontal="right" vertical="top"/>
    </xf>
    <xf numFmtId="178" fontId="18" fillId="0" borderId="34" xfId="0" applyNumberFormat="1" applyFont="1" applyBorder="1" applyAlignment="1">
      <alignment horizontal="right" vertical="top"/>
    </xf>
    <xf numFmtId="10" fontId="18" fillId="0" borderId="19" xfId="0" applyNumberFormat="1" applyFont="1" applyBorder="1" applyAlignment="1">
      <alignment vertical="top"/>
    </xf>
    <xf numFmtId="178" fontId="18" fillId="0" borderId="18" xfId="0" applyNumberFormat="1" applyFont="1" applyBorder="1" applyAlignment="1">
      <alignment horizontal="right" vertical="top"/>
    </xf>
    <xf numFmtId="178" fontId="18" fillId="0" borderId="0" xfId="0" applyNumberFormat="1" applyFont="1" applyAlignment="1">
      <alignment horizontal="right" vertical="top"/>
    </xf>
    <xf numFmtId="178" fontId="18" fillId="0" borderId="35" xfId="0" applyNumberFormat="1" applyFont="1" applyBorder="1" applyAlignment="1">
      <alignment horizontal="right" vertical="top"/>
    </xf>
    <xf numFmtId="10" fontId="18" fillId="0" borderId="22" xfId="0" applyNumberFormat="1" applyFont="1" applyBorder="1" applyAlignment="1">
      <alignment vertical="top"/>
    </xf>
    <xf numFmtId="178" fontId="18" fillId="0" borderId="21" xfId="0" applyNumberFormat="1" applyFont="1" applyBorder="1" applyAlignment="1">
      <alignment horizontal="right" vertical="top"/>
    </xf>
    <xf numFmtId="178" fontId="18" fillId="0" borderId="36" xfId="0" applyNumberFormat="1" applyFont="1" applyBorder="1" applyAlignment="1">
      <alignment horizontal="right" vertical="top"/>
    </xf>
    <xf numFmtId="178" fontId="18" fillId="0" borderId="37" xfId="0" applyNumberFormat="1" applyFont="1" applyBorder="1" applyAlignment="1">
      <alignment horizontal="right" vertical="top"/>
    </xf>
    <xf numFmtId="169" fontId="18" fillId="0" borderId="0" xfId="0" applyNumberFormat="1" applyFont="1" applyAlignment="1">
      <alignment vertical="top"/>
    </xf>
    <xf numFmtId="179" fontId="18" fillId="0" borderId="20" xfId="0" applyNumberFormat="1" applyFont="1" applyBorder="1" applyAlignment="1">
      <alignment vertical="top"/>
    </xf>
    <xf numFmtId="179" fontId="18" fillId="0" borderId="19" xfId="0" applyNumberFormat="1" applyFont="1" applyBorder="1" applyAlignment="1">
      <alignment vertical="top"/>
    </xf>
    <xf numFmtId="179" fontId="18" fillId="0" borderId="22" xfId="0" applyNumberFormat="1" applyFont="1" applyBorder="1" applyAlignment="1">
      <alignment vertical="top"/>
    </xf>
    <xf numFmtId="0" fontId="47" fillId="28" borderId="24" xfId="0" applyFont="1" applyFill="1" applyBorder="1"/>
    <xf numFmtId="0" fontId="47" fillId="28" borderId="32" xfId="0" applyFont="1" applyFill="1" applyBorder="1"/>
    <xf numFmtId="0" fontId="47" fillId="28" borderId="32" xfId="0" applyFont="1" applyFill="1" applyBorder="1" applyAlignment="1">
      <alignment horizontal="right"/>
    </xf>
    <xf numFmtId="0" fontId="47" fillId="28" borderId="33" xfId="0" applyFont="1" applyFill="1" applyBorder="1"/>
    <xf numFmtId="0" fontId="48" fillId="0" borderId="18" xfId="0" applyFont="1" applyBorder="1"/>
    <xf numFmtId="0" fontId="48" fillId="0" borderId="0" xfId="0" applyFont="1"/>
    <xf numFmtId="164" fontId="48" fillId="29" borderId="0" xfId="0" applyNumberFormat="1" applyFont="1" applyFill="1"/>
    <xf numFmtId="177" fontId="48" fillId="29" borderId="0" xfId="0" applyNumberFormat="1" applyFont="1" applyFill="1"/>
    <xf numFmtId="0" fontId="48" fillId="0" borderId="35" xfId="0" applyFont="1" applyBorder="1"/>
    <xf numFmtId="177" fontId="48" fillId="0" borderId="35" xfId="0" applyNumberFormat="1" applyFont="1" applyBorder="1"/>
    <xf numFmtId="177" fontId="48" fillId="30" borderId="0" xfId="0" applyNumberFormat="1" applyFont="1" applyFill="1"/>
    <xf numFmtId="177" fontId="48" fillId="30" borderId="35" xfId="0" applyNumberFormat="1" applyFont="1" applyFill="1" applyBorder="1"/>
    <xf numFmtId="177" fontId="48" fillId="0" borderId="0" xfId="0" applyNumberFormat="1" applyFont="1"/>
    <xf numFmtId="177" fontId="48" fillId="29" borderId="35" xfId="0" applyNumberFormat="1" applyFont="1" applyFill="1" applyBorder="1"/>
    <xf numFmtId="0" fontId="48" fillId="0" borderId="18" xfId="0" quotePrefix="1" applyFont="1" applyBorder="1"/>
    <xf numFmtId="177" fontId="49" fillId="29" borderId="0" xfId="0" applyNumberFormat="1" applyFont="1" applyFill="1"/>
    <xf numFmtId="0" fontId="49" fillId="0" borderId="0" xfId="0" applyFont="1"/>
    <xf numFmtId="177" fontId="49" fillId="30" borderId="0" xfId="0" applyNumberFormat="1" applyFont="1" applyFill="1"/>
    <xf numFmtId="0" fontId="50" fillId="0" borderId="38" xfId="0" applyFont="1" applyBorder="1"/>
    <xf numFmtId="0" fontId="50" fillId="0" borderId="39" xfId="0" applyFont="1" applyBorder="1"/>
    <xf numFmtId="177" fontId="50" fillId="0" borderId="39" xfId="0" applyNumberFormat="1" applyFont="1" applyBorder="1"/>
    <xf numFmtId="177" fontId="50" fillId="30" borderId="40" xfId="0" applyNumberFormat="1" applyFont="1" applyFill="1" applyBorder="1"/>
    <xf numFmtId="0" fontId="51" fillId="0" borderId="18" xfId="0" applyFont="1" applyBorder="1"/>
    <xf numFmtId="0" fontId="50" fillId="0" borderId="0" xfId="0" applyFont="1"/>
    <xf numFmtId="177" fontId="50" fillId="0" borderId="0" xfId="0" applyNumberFormat="1" applyFont="1"/>
    <xf numFmtId="0" fontId="48" fillId="0" borderId="21" xfId="0" applyFont="1" applyBorder="1"/>
    <xf numFmtId="0" fontId="48" fillId="0" borderId="36" xfId="0" applyFont="1" applyBorder="1"/>
    <xf numFmtId="169" fontId="48" fillId="30" borderId="37" xfId="0" applyNumberFormat="1" applyFont="1" applyFill="1" applyBorder="1"/>
    <xf numFmtId="0" fontId="47" fillId="28" borderId="25" xfId="0" applyFont="1" applyFill="1" applyBorder="1"/>
    <xf numFmtId="0" fontId="54" fillId="28" borderId="26" xfId="0" applyFont="1" applyFill="1" applyBorder="1"/>
    <xf numFmtId="0" fontId="54" fillId="28" borderId="34" xfId="0" applyFont="1" applyFill="1" applyBorder="1"/>
    <xf numFmtId="0" fontId="48" fillId="29" borderId="35" xfId="0" applyFont="1" applyFill="1" applyBorder="1"/>
    <xf numFmtId="15" fontId="48" fillId="29" borderId="35" xfId="0" applyNumberFormat="1" applyFont="1" applyFill="1" applyBorder="1"/>
    <xf numFmtId="0" fontId="48" fillId="29" borderId="35" xfId="0" applyFont="1" applyFill="1" applyBorder="1" applyAlignment="1">
      <alignment horizontal="right"/>
    </xf>
    <xf numFmtId="180" fontId="48" fillId="29" borderId="35" xfId="0" applyNumberFormat="1" applyFont="1" applyFill="1" applyBorder="1"/>
    <xf numFmtId="9" fontId="48" fillId="29" borderId="37" xfId="0" applyNumberFormat="1" applyFont="1" applyFill="1" applyBorder="1"/>
    <xf numFmtId="178" fontId="48" fillId="29" borderId="0" xfId="0" applyNumberFormat="1" applyFont="1" applyFill="1"/>
    <xf numFmtId="166" fontId="48" fillId="30" borderId="0" xfId="1" applyNumberFormat="1" applyFont="1" applyFill="1"/>
    <xf numFmtId="0" fontId="48" fillId="28" borderId="32" xfId="0" applyFont="1" applyFill="1" applyBorder="1"/>
    <xf numFmtId="17" fontId="48" fillId="0" borderId="0" xfId="0" applyNumberFormat="1" applyFont="1"/>
    <xf numFmtId="0" fontId="48" fillId="28" borderId="33" xfId="0" applyFont="1" applyFill="1" applyBorder="1"/>
    <xf numFmtId="0" fontId="48" fillId="0" borderId="18" xfId="0" applyFont="1" applyBorder="1" applyAlignment="1">
      <alignment horizontal="right"/>
    </xf>
    <xf numFmtId="0" fontId="48" fillId="0" borderId="0" xfId="0" applyFont="1" applyAlignment="1">
      <alignment horizontal="right"/>
    </xf>
    <xf numFmtId="0" fontId="48" fillId="0" borderId="41" xfId="0" applyFont="1" applyBorder="1" applyAlignment="1">
      <alignment horizontal="center"/>
    </xf>
    <xf numFmtId="0" fontId="48" fillId="0" borderId="35" xfId="0" applyFont="1" applyBorder="1" applyAlignment="1">
      <alignment horizontal="right"/>
    </xf>
    <xf numFmtId="0" fontId="48" fillId="0" borderId="21" xfId="0" applyFont="1" applyBorder="1" applyAlignment="1">
      <alignment horizontal="right"/>
    </xf>
    <xf numFmtId="0" fontId="48" fillId="0" borderId="36" xfId="0" applyFont="1" applyBorder="1" applyAlignment="1">
      <alignment horizontal="right"/>
    </xf>
    <xf numFmtId="0" fontId="48" fillId="0" borderId="37" xfId="0" applyFont="1" applyBorder="1" applyAlignment="1">
      <alignment horizontal="right"/>
    </xf>
    <xf numFmtId="164" fontId="48" fillId="29" borderId="18" xfId="0" applyNumberFormat="1" applyFont="1" applyFill="1" applyBorder="1"/>
    <xf numFmtId="178" fontId="48" fillId="30" borderId="0" xfId="0" applyNumberFormat="1" applyFont="1" applyFill="1" applyAlignment="1">
      <alignment horizontal="center"/>
    </xf>
    <xf numFmtId="178" fontId="48" fillId="30" borderId="0" xfId="0" applyNumberFormat="1" applyFont="1" applyFill="1"/>
    <xf numFmtId="178" fontId="48" fillId="30" borderId="35" xfId="0" applyNumberFormat="1" applyFont="1" applyFill="1" applyBorder="1"/>
    <xf numFmtId="178" fontId="48" fillId="29" borderId="18" xfId="0" applyNumberFormat="1" applyFont="1" applyFill="1" applyBorder="1"/>
    <xf numFmtId="0" fontId="49" fillId="0" borderId="25" xfId="0" applyFont="1" applyBorder="1"/>
    <xf numFmtId="0" fontId="49" fillId="0" borderId="26" xfId="0" applyFont="1" applyBorder="1"/>
    <xf numFmtId="0" fontId="48" fillId="0" borderId="26" xfId="0" applyFont="1" applyBorder="1"/>
    <xf numFmtId="0" fontId="49" fillId="0" borderId="18" xfId="0" applyFont="1" applyBorder="1"/>
    <xf numFmtId="0" fontId="49" fillId="0" borderId="0" xfId="0" applyFont="1" applyAlignment="1">
      <alignment horizontal="right"/>
    </xf>
    <xf numFmtId="0" fontId="55" fillId="0" borderId="0" xfId="0" applyFont="1"/>
    <xf numFmtId="43" fontId="48" fillId="29" borderId="0" xfId="0" applyNumberFormat="1" applyFont="1" applyFill="1"/>
    <xf numFmtId="43" fontId="48" fillId="30" borderId="0" xfId="0" applyNumberFormat="1" applyFont="1" applyFill="1"/>
    <xf numFmtId="43" fontId="48" fillId="30" borderId="35" xfId="0" applyNumberFormat="1" applyFont="1" applyFill="1" applyBorder="1"/>
    <xf numFmtId="43" fontId="48" fillId="30" borderId="41" xfId="0" applyNumberFormat="1" applyFont="1" applyFill="1" applyBorder="1"/>
    <xf numFmtId="177" fontId="48" fillId="0" borderId="36" xfId="0" applyNumberFormat="1" applyFont="1" applyBorder="1"/>
    <xf numFmtId="43" fontId="48" fillId="30" borderId="36" xfId="0" applyNumberFormat="1" applyFont="1" applyFill="1" applyBorder="1"/>
    <xf numFmtId="43" fontId="48" fillId="30" borderId="40" xfId="0" applyNumberFormat="1" applyFont="1" applyFill="1" applyBorder="1"/>
    <xf numFmtId="0" fontId="47" fillId="28" borderId="0" xfId="0" applyFont="1" applyFill="1"/>
    <xf numFmtId="0" fontId="47" fillId="28" borderId="0" xfId="0" applyFont="1" applyFill="1" applyAlignment="1">
      <alignment horizontal="right"/>
    </xf>
    <xf numFmtId="0" fontId="47" fillId="28" borderId="0" xfId="0" applyFont="1" applyFill="1" applyAlignment="1">
      <alignment horizontal="center"/>
    </xf>
    <xf numFmtId="14" fontId="48" fillId="0" borderId="16" xfId="0" applyNumberFormat="1" applyFont="1" applyBorder="1"/>
    <xf numFmtId="177" fontId="48" fillId="29" borderId="0" xfId="0" applyNumberFormat="1" applyFont="1" applyFill="1" applyAlignment="1">
      <alignment wrapText="1"/>
    </xf>
    <xf numFmtId="177" fontId="50" fillId="30" borderId="0" xfId="0" applyNumberFormat="1" applyFont="1" applyFill="1"/>
    <xf numFmtId="177" fontId="48" fillId="31" borderId="0" xfId="0" applyNumberFormat="1" applyFont="1" applyFill="1"/>
    <xf numFmtId="10" fontId="48" fillId="29" borderId="0" xfId="0" applyNumberFormat="1" applyFont="1" applyFill="1"/>
    <xf numFmtId="0" fontId="56" fillId="0" borderId="0" xfId="0" applyFont="1"/>
    <xf numFmtId="177" fontId="56" fillId="30" borderId="0" xfId="0" applyNumberFormat="1" applyFont="1" applyFill="1"/>
    <xf numFmtId="43" fontId="50" fillId="30" borderId="0" xfId="0" applyNumberFormat="1" applyFont="1" applyFill="1"/>
    <xf numFmtId="2" fontId="0" fillId="9" borderId="0" xfId="0" applyNumberFormat="1" applyFill="1"/>
    <xf numFmtId="0" fontId="11" fillId="32" borderId="0" xfId="0" applyFont="1" applyFill="1"/>
    <xf numFmtId="3" fontId="57" fillId="0" borderId="0" xfId="0" applyNumberFormat="1" applyFont="1"/>
    <xf numFmtId="0" fontId="46" fillId="6" borderId="0" xfId="0" applyFont="1" applyFill="1"/>
    <xf numFmtId="0" fontId="47" fillId="28" borderId="0" xfId="0" applyFont="1" applyFill="1" applyAlignment="1">
      <alignment horizontal="right" wrapText="1"/>
    </xf>
    <xf numFmtId="181" fontId="0" fillId="0" borderId="0" xfId="0" applyNumberFormat="1"/>
    <xf numFmtId="0" fontId="58" fillId="26" borderId="0" xfId="0" applyFont="1" applyFill="1"/>
    <xf numFmtId="1" fontId="23" fillId="0" borderId="30" xfId="0" applyNumberFormat="1" applyFont="1" applyBorder="1" applyAlignment="1">
      <alignment vertical="top"/>
    </xf>
    <xf numFmtId="169" fontId="2" fillId="0" borderId="28" xfId="0" applyNumberFormat="1" applyFont="1" applyBorder="1"/>
    <xf numFmtId="166" fontId="2" fillId="0" borderId="0" xfId="0" applyNumberFormat="1" applyFont="1"/>
    <xf numFmtId="182" fontId="0" fillId="0" borderId="0" xfId="0" applyNumberFormat="1"/>
    <xf numFmtId="1" fontId="48" fillId="30" borderId="0" xfId="0" applyNumberFormat="1" applyFont="1" applyFill="1"/>
    <xf numFmtId="177" fontId="48" fillId="30" borderId="40" xfId="0" applyNumberFormat="1" applyFont="1" applyFill="1" applyBorder="1"/>
    <xf numFmtId="0" fontId="59" fillId="33" borderId="42" xfId="0" applyFont="1" applyFill="1" applyBorder="1" applyAlignment="1">
      <alignment horizontal="center" wrapText="1"/>
    </xf>
    <xf numFmtId="0" fontId="60" fillId="33" borderId="42" xfId="0" applyFont="1" applyFill="1" applyBorder="1" applyAlignment="1">
      <alignment horizontal="center" wrapText="1"/>
    </xf>
    <xf numFmtId="0" fontId="59" fillId="33" borderId="0" xfId="0" applyFont="1" applyFill="1" applyAlignment="1">
      <alignment horizontal="center" wrapText="1"/>
    </xf>
    <xf numFmtId="0" fontId="60" fillId="33" borderId="0" xfId="0" applyFont="1" applyFill="1" applyAlignment="1">
      <alignment horizontal="center" wrapText="1"/>
    </xf>
    <xf numFmtId="0" fontId="0" fillId="34" borderId="43" xfId="0" applyFill="1" applyBorder="1" applyAlignment="1">
      <alignment vertical="center" wrapText="1"/>
    </xf>
    <xf numFmtId="3" fontId="0" fillId="0" borderId="43" xfId="0" applyNumberFormat="1" applyBorder="1" applyAlignment="1">
      <alignment horizontal="right" vertical="center"/>
    </xf>
    <xf numFmtId="0" fontId="62" fillId="34" borderId="43" xfId="0" applyFont="1" applyFill="1" applyBorder="1" applyAlignment="1">
      <alignment vertical="center" wrapText="1"/>
    </xf>
    <xf numFmtId="0" fontId="0" fillId="0" borderId="43" xfId="0" applyBorder="1" applyAlignment="1">
      <alignment horizontal="right" vertical="center"/>
    </xf>
    <xf numFmtId="0" fontId="62" fillId="0" borderId="43" xfId="0" applyFont="1" applyBorder="1" applyAlignment="1">
      <alignment horizontal="right" vertical="center"/>
    </xf>
    <xf numFmtId="10" fontId="62" fillId="0" borderId="43" xfId="0" applyNumberFormat="1" applyFont="1" applyBorder="1" applyAlignment="1">
      <alignment horizontal="right" vertical="center"/>
    </xf>
    <xf numFmtId="0" fontId="63" fillId="34" borderId="44" xfId="0" applyFont="1" applyFill="1" applyBorder="1" applyAlignment="1">
      <alignment vertical="center" wrapText="1"/>
    </xf>
    <xf numFmtId="14" fontId="63" fillId="33" borderId="44" xfId="0" applyNumberFormat="1" applyFont="1" applyFill="1" applyBorder="1" applyAlignment="1">
      <alignment horizontal="right" vertical="center"/>
    </xf>
    <xf numFmtId="0" fontId="63" fillId="33" borderId="44" xfId="0" applyFont="1" applyFill="1" applyBorder="1" applyAlignment="1">
      <alignment horizontal="right" vertical="center"/>
    </xf>
    <xf numFmtId="0" fontId="60" fillId="27" borderId="42" xfId="0" applyFont="1" applyFill="1" applyBorder="1" applyAlignment="1">
      <alignment horizontal="center" wrapText="1"/>
    </xf>
    <xf numFmtId="0" fontId="60" fillId="27" borderId="0" xfId="0" applyFont="1" applyFill="1" applyAlignment="1">
      <alignment horizontal="center" wrapText="1"/>
    </xf>
    <xf numFmtId="3" fontId="0" fillId="27" borderId="43" xfId="0" applyNumberFormat="1" applyFill="1" applyBorder="1" applyAlignment="1">
      <alignment horizontal="right" vertical="center"/>
    </xf>
    <xf numFmtId="10" fontId="62" fillId="27" borderId="43" xfId="0" applyNumberFormat="1" applyFont="1" applyFill="1" applyBorder="1" applyAlignment="1">
      <alignment horizontal="right" vertical="center"/>
    </xf>
    <xf numFmtId="0" fontId="0" fillId="27" borderId="43" xfId="0" applyFill="1" applyBorder="1" applyAlignment="1">
      <alignment horizontal="right" vertical="center"/>
    </xf>
    <xf numFmtId="0" fontId="62" fillId="27" borderId="43" xfId="0" applyFont="1" applyFill="1" applyBorder="1" applyAlignment="1">
      <alignment horizontal="right" vertical="center"/>
    </xf>
    <xf numFmtId="0" fontId="63" fillId="27" borderId="44" xfId="0" applyFont="1" applyFill="1" applyBorder="1" applyAlignment="1">
      <alignment horizontal="right" vertical="center"/>
    </xf>
    <xf numFmtId="0" fontId="0" fillId="27" borderId="0" xfId="0" applyFill="1"/>
    <xf numFmtId="184" fontId="50" fillId="30" borderId="0" xfId="0" applyNumberFormat="1" applyFont="1" applyFill="1"/>
    <xf numFmtId="0" fontId="64" fillId="35" borderId="0" xfId="0" applyFont="1" applyFill="1"/>
    <xf numFmtId="0" fontId="48" fillId="35" borderId="0" xfId="0" applyFont="1" applyFill="1"/>
    <xf numFmtId="0" fontId="54" fillId="36" borderId="0" xfId="0" applyFont="1" applyFill="1"/>
    <xf numFmtId="0" fontId="48" fillId="36" borderId="0" xfId="0" applyFont="1" applyFill="1"/>
    <xf numFmtId="183" fontId="48" fillId="29" borderId="35" xfId="0" applyNumberFormat="1" applyFont="1" applyFill="1" applyBorder="1"/>
    <xf numFmtId="0" fontId="65" fillId="34" borderId="43" xfId="0" applyFont="1" applyFill="1" applyBorder="1" applyAlignment="1">
      <alignment vertical="center" wrapText="1"/>
    </xf>
    <xf numFmtId="0" fontId="65" fillId="33" borderId="43" xfId="0" applyFont="1" applyFill="1" applyBorder="1" applyAlignment="1">
      <alignment horizontal="right" vertical="center"/>
    </xf>
    <xf numFmtId="3" fontId="65" fillId="33" borderId="43" xfId="0" applyNumberFormat="1" applyFont="1" applyFill="1" applyBorder="1" applyAlignment="1">
      <alignment horizontal="right" vertical="center"/>
    </xf>
    <xf numFmtId="3" fontId="65" fillId="37" borderId="43" xfId="0" applyNumberFormat="1" applyFont="1" applyFill="1" applyBorder="1" applyAlignment="1">
      <alignment horizontal="right" vertical="center"/>
    </xf>
    <xf numFmtId="0" fontId="66" fillId="34" borderId="43" xfId="0" applyFont="1" applyFill="1" applyBorder="1" applyAlignment="1">
      <alignment vertical="center" wrapText="1"/>
    </xf>
    <xf numFmtId="0" fontId="66" fillId="33" borderId="43" xfId="0" applyFont="1" applyFill="1" applyBorder="1" applyAlignment="1">
      <alignment horizontal="right" vertical="center"/>
    </xf>
    <xf numFmtId="10" fontId="66" fillId="33" borderId="43" xfId="0" applyNumberFormat="1" applyFont="1" applyFill="1" applyBorder="1" applyAlignment="1">
      <alignment horizontal="right" vertical="center"/>
    </xf>
    <xf numFmtId="10" fontId="66" fillId="37" borderId="43" xfId="0" applyNumberFormat="1" applyFont="1" applyFill="1" applyBorder="1" applyAlignment="1">
      <alignment horizontal="right" vertical="center"/>
    </xf>
    <xf numFmtId="0" fontId="65" fillId="37" borderId="43" xfId="0" applyFont="1" applyFill="1" applyBorder="1" applyAlignment="1">
      <alignment horizontal="right" vertical="center"/>
    </xf>
    <xf numFmtId="0" fontId="66" fillId="37" borderId="43" xfId="0" applyFont="1" applyFill="1" applyBorder="1" applyAlignment="1">
      <alignment horizontal="right" vertical="center"/>
    </xf>
    <xf numFmtId="0" fontId="65" fillId="34" borderId="44" xfId="0" applyFont="1" applyFill="1" applyBorder="1" applyAlignment="1">
      <alignment vertical="center" wrapText="1"/>
    </xf>
    <xf numFmtId="0" fontId="65" fillId="33" borderId="44" xfId="0" applyFont="1" applyFill="1" applyBorder="1" applyAlignment="1">
      <alignment horizontal="right" vertical="center"/>
    </xf>
    <xf numFmtId="14" fontId="65" fillId="33" borderId="44" xfId="0" applyNumberFormat="1" applyFont="1" applyFill="1" applyBorder="1" applyAlignment="1">
      <alignment horizontal="right" vertical="center"/>
    </xf>
    <xf numFmtId="0" fontId="0" fillId="33" borderId="0" xfId="0" applyFill="1"/>
    <xf numFmtId="0" fontId="0" fillId="33" borderId="0" xfId="0" applyFill="1" applyAlignment="1">
      <alignment wrapText="1"/>
    </xf>
    <xf numFmtId="2" fontId="48" fillId="0" borderId="0" xfId="0" applyNumberFormat="1" applyFont="1"/>
    <xf numFmtId="185" fontId="50" fillId="30" borderId="0" xfId="0" applyNumberFormat="1" applyFont="1" applyFill="1"/>
    <xf numFmtId="3" fontId="63" fillId="0" borderId="0" xfId="0" applyNumberFormat="1" applyFont="1"/>
    <xf numFmtId="184" fontId="48" fillId="29" borderId="0" xfId="0" applyNumberFormat="1" applyFont="1" applyFill="1"/>
    <xf numFmtId="0" fontId="39" fillId="0" borderId="0" xfId="4"/>
    <xf numFmtId="0" fontId="67" fillId="0" borderId="0" xfId="0" applyFont="1"/>
    <xf numFmtId="0" fontId="18" fillId="38" borderId="0" xfId="0" applyFont="1" applyFill="1"/>
    <xf numFmtId="0" fontId="18" fillId="0" borderId="0" xfId="0" applyFont="1" applyAlignment="1">
      <alignment horizontal="center" vertical="center"/>
    </xf>
    <xf numFmtId="0" fontId="18" fillId="38" borderId="0" xfId="0" applyFont="1" applyFill="1" applyAlignment="1">
      <alignment horizontal="left"/>
    </xf>
    <xf numFmtId="186" fontId="68" fillId="38" borderId="0" xfId="0" applyNumberFormat="1" applyFont="1" applyFill="1"/>
    <xf numFmtId="0" fontId="18" fillId="0" borderId="0" xfId="0" applyFont="1" applyAlignment="1">
      <alignment horizontal="center"/>
    </xf>
    <xf numFmtId="9" fontId="18" fillId="38" borderId="0" xfId="0" applyNumberFormat="1" applyFont="1" applyFill="1"/>
    <xf numFmtId="0" fontId="18" fillId="38" borderId="0" xfId="0" applyFont="1" applyFill="1" applyAlignment="1">
      <alignment horizontal="center"/>
    </xf>
    <xf numFmtId="0" fontId="69" fillId="21" borderId="0" xfId="0" applyFont="1" applyFill="1" applyAlignment="1">
      <alignment horizontal="center" vertical="center"/>
    </xf>
    <xf numFmtId="179" fontId="18" fillId="0" borderId="45" xfId="0" applyNumberFormat="1" applyFont="1" applyBorder="1" applyAlignment="1">
      <alignment horizontal="center"/>
    </xf>
    <xf numFmtId="179" fontId="18" fillId="38" borderId="46" xfId="0" applyNumberFormat="1" applyFont="1" applyFill="1" applyBorder="1" applyAlignment="1">
      <alignment horizontal="center"/>
    </xf>
    <xf numFmtId="179" fontId="18" fillId="31" borderId="0" xfId="0" applyNumberFormat="1" applyFont="1" applyFill="1" applyAlignment="1">
      <alignment horizontal="center"/>
    </xf>
    <xf numFmtId="179" fontId="18" fillId="0" borderId="47" xfId="0" applyNumberFormat="1" applyFont="1" applyBorder="1" applyAlignment="1">
      <alignment horizontal="center"/>
    </xf>
    <xf numFmtId="179" fontId="18" fillId="38" borderId="48" xfId="0" applyNumberFormat="1" applyFont="1" applyFill="1" applyBorder="1" applyAlignment="1">
      <alignment horizontal="center"/>
    </xf>
    <xf numFmtId="179" fontId="18" fillId="0" borderId="24" xfId="0" applyNumberFormat="1" applyFont="1" applyBorder="1" applyAlignment="1">
      <alignment horizontal="center"/>
    </xf>
    <xf numFmtId="179" fontId="18" fillId="0" borderId="21" xfId="0" applyNumberFormat="1" applyFont="1" applyBorder="1" applyAlignment="1">
      <alignment horizontal="center"/>
    </xf>
    <xf numFmtId="179" fontId="18" fillId="38" borderId="49" xfId="0" applyNumberFormat="1" applyFont="1" applyFill="1" applyBorder="1" applyAlignment="1">
      <alignment horizontal="center"/>
    </xf>
    <xf numFmtId="179" fontId="18" fillId="0" borderId="0" xfId="0" applyNumberFormat="1" applyFont="1" applyAlignment="1">
      <alignment horizontal="center"/>
    </xf>
    <xf numFmtId="0" fontId="72" fillId="0" borderId="0" xfId="0" applyFont="1"/>
    <xf numFmtId="0" fontId="73" fillId="28" borderId="0" xfId="0" applyFont="1" applyFill="1"/>
    <xf numFmtId="9" fontId="72" fillId="39" borderId="0" xfId="0" applyNumberFormat="1" applyFont="1" applyFill="1"/>
    <xf numFmtId="0" fontId="72" fillId="0" borderId="0" xfId="0" applyFont="1" applyAlignment="1">
      <alignment horizontal="center" wrapText="1"/>
    </xf>
    <xf numFmtId="179" fontId="75" fillId="40" borderId="0" xfId="0" applyNumberFormat="1" applyFont="1" applyFill="1" applyAlignment="1">
      <alignment horizontal="center" vertical="center"/>
    </xf>
    <xf numFmtId="0" fontId="75" fillId="38" borderId="0" xfId="0" applyFont="1" applyFill="1"/>
    <xf numFmtId="177" fontId="72" fillId="0" borderId="0" xfId="0" applyNumberFormat="1" applyFont="1"/>
    <xf numFmtId="172" fontId="72" fillId="41" borderId="0" xfId="0" applyNumberFormat="1" applyFont="1" applyFill="1"/>
    <xf numFmtId="169" fontId="72" fillId="0" borderId="0" xfId="0" applyNumberFormat="1" applyFont="1"/>
    <xf numFmtId="169" fontId="72" fillId="42" borderId="24" xfId="0" applyNumberFormat="1" applyFont="1" applyFill="1" applyBorder="1"/>
    <xf numFmtId="0" fontId="70" fillId="43" borderId="41" xfId="0" applyFont="1" applyFill="1" applyBorder="1"/>
    <xf numFmtId="0" fontId="72" fillId="0" borderId="25" xfId="0" applyFont="1" applyBorder="1"/>
    <xf numFmtId="0" fontId="72" fillId="0" borderId="21" xfId="0" applyFont="1" applyBorder="1"/>
    <xf numFmtId="0" fontId="72" fillId="0" borderId="18" xfId="0" applyFont="1" applyBorder="1"/>
    <xf numFmtId="178" fontId="48" fillId="44" borderId="0" xfId="0" applyNumberFormat="1" applyFont="1" applyFill="1"/>
    <xf numFmtId="178" fontId="48" fillId="45" borderId="0" xfId="0" applyNumberFormat="1" applyFont="1" applyFill="1" applyAlignment="1">
      <alignment horizontal="center"/>
    </xf>
    <xf numFmtId="178" fontId="48" fillId="45" borderId="0" xfId="0" applyNumberFormat="1" applyFont="1" applyFill="1"/>
    <xf numFmtId="177" fontId="48" fillId="45" borderId="0" xfId="0" applyNumberFormat="1" applyFont="1" applyFill="1"/>
    <xf numFmtId="178" fontId="48" fillId="45" borderId="35" xfId="0" applyNumberFormat="1" applyFont="1" applyFill="1" applyBorder="1"/>
    <xf numFmtId="178" fontId="48" fillId="41" borderId="40" xfId="0" applyNumberFormat="1" applyFont="1" applyFill="1" applyBorder="1"/>
    <xf numFmtId="0" fontId="71" fillId="28" borderId="50" xfId="0" applyFont="1" applyFill="1" applyBorder="1"/>
    <xf numFmtId="0" fontId="71" fillId="28" borderId="51" xfId="0" applyFont="1" applyFill="1" applyBorder="1"/>
    <xf numFmtId="0" fontId="72" fillId="0" borderId="51" xfId="0" applyFont="1" applyBorder="1"/>
    <xf numFmtId="0" fontId="72" fillId="0" borderId="52" xfId="0" applyFont="1" applyBorder="1"/>
    <xf numFmtId="0" fontId="72" fillId="0" borderId="53" xfId="0" applyFont="1" applyBorder="1"/>
    <xf numFmtId="166" fontId="72" fillId="0" borderId="0" xfId="0" applyNumberFormat="1" applyFont="1"/>
    <xf numFmtId="0" fontId="72" fillId="0" borderId="54" xfId="0" applyFont="1" applyBorder="1"/>
    <xf numFmtId="165" fontId="72" fillId="0" borderId="54" xfId="0" applyNumberFormat="1" applyFont="1" applyBorder="1"/>
    <xf numFmtId="0" fontId="72" fillId="0" borderId="55" xfId="0" applyFont="1" applyBorder="1"/>
    <xf numFmtId="177" fontId="72" fillId="0" borderId="56" xfId="0" applyNumberFormat="1" applyFont="1" applyBorder="1"/>
    <xf numFmtId="0" fontId="72" fillId="0" borderId="56" xfId="0" applyFont="1" applyBorder="1"/>
    <xf numFmtId="0" fontId="72" fillId="0" borderId="57" xfId="0" applyFont="1" applyBorder="1"/>
    <xf numFmtId="0" fontId="76" fillId="0" borderId="53" xfId="0" applyFont="1" applyBorder="1"/>
    <xf numFmtId="177" fontId="18" fillId="41" borderId="0" xfId="0" applyNumberFormat="1" applyFont="1" applyFill="1"/>
    <xf numFmtId="0" fontId="68" fillId="38" borderId="0" xfId="0" applyFont="1" applyFill="1"/>
    <xf numFmtId="9" fontId="0" fillId="27" borderId="0" xfId="2" applyFont="1" applyFill="1"/>
    <xf numFmtId="9" fontId="0" fillId="46" borderId="0" xfId="2" applyFont="1" applyFill="1"/>
    <xf numFmtId="0" fontId="2" fillId="26" borderId="0" xfId="0" applyFont="1" applyFill="1"/>
    <xf numFmtId="9" fontId="2" fillId="26" borderId="0" xfId="0" applyNumberFormat="1" applyFont="1" applyFill="1"/>
    <xf numFmtId="1" fontId="0" fillId="0" borderId="0" xfId="2" applyNumberFormat="1" applyFont="1"/>
    <xf numFmtId="43" fontId="0" fillId="47" borderId="0" xfId="0" applyNumberFormat="1" applyFill="1"/>
    <xf numFmtId="0" fontId="77" fillId="24" borderId="0" xfId="0" applyFont="1" applyFill="1"/>
    <xf numFmtId="0" fontId="48" fillId="24" borderId="0" xfId="0" applyFont="1" applyFill="1"/>
    <xf numFmtId="0" fontId="47" fillId="24" borderId="21" xfId="0" applyFont="1" applyFill="1" applyBorder="1"/>
    <xf numFmtId="0" fontId="47" fillId="24" borderId="36" xfId="0" applyFont="1" applyFill="1" applyBorder="1"/>
    <xf numFmtId="0" fontId="47" fillId="24" borderId="37" xfId="0" applyFont="1" applyFill="1" applyBorder="1"/>
    <xf numFmtId="0" fontId="56" fillId="0" borderId="23" xfId="0" applyFont="1" applyBorder="1"/>
    <xf numFmtId="43" fontId="48" fillId="30" borderId="37" xfId="0" applyNumberFormat="1" applyFont="1" applyFill="1" applyBorder="1"/>
    <xf numFmtId="9" fontId="2" fillId="0" borderId="2" xfId="2" applyFont="1" applyBorder="1"/>
    <xf numFmtId="0" fontId="78" fillId="33" borderId="42" xfId="0" applyFont="1" applyFill="1" applyBorder="1" applyAlignment="1">
      <alignment horizontal="center" wrapText="1"/>
    </xf>
    <xf numFmtId="0" fontId="78" fillId="33" borderId="0" xfId="0" applyFont="1" applyFill="1" applyAlignment="1">
      <alignment horizontal="center" wrapText="1"/>
    </xf>
    <xf numFmtId="3" fontId="0" fillId="37" borderId="43" xfId="0" applyNumberFormat="1" applyFill="1" applyBorder="1" applyAlignment="1">
      <alignment horizontal="right" vertical="center"/>
    </xf>
    <xf numFmtId="3" fontId="0" fillId="48" borderId="43" xfId="0" applyNumberFormat="1" applyFill="1" applyBorder="1" applyAlignment="1">
      <alignment horizontal="right" vertical="center"/>
    </xf>
    <xf numFmtId="10" fontId="62" fillId="37" borderId="43" xfId="0" applyNumberFormat="1" applyFont="1" applyFill="1" applyBorder="1" applyAlignment="1">
      <alignment horizontal="right" vertical="center"/>
    </xf>
    <xf numFmtId="10" fontId="62" fillId="48" borderId="43" xfId="0" applyNumberFormat="1" applyFont="1" applyFill="1" applyBorder="1" applyAlignment="1">
      <alignment horizontal="right" vertical="center"/>
    </xf>
    <xf numFmtId="9" fontId="62" fillId="0" borderId="43" xfId="0" applyNumberFormat="1" applyFont="1" applyBorder="1" applyAlignment="1">
      <alignment horizontal="right" vertical="center"/>
    </xf>
    <xf numFmtId="0" fontId="0" fillId="37" borderId="43" xfId="0" applyFill="1" applyBorder="1" applyAlignment="1">
      <alignment horizontal="right" vertical="center"/>
    </xf>
    <xf numFmtId="0" fontId="62" fillId="37" borderId="43" xfId="0" applyFont="1" applyFill="1" applyBorder="1" applyAlignment="1">
      <alignment horizontal="right" vertical="center"/>
    </xf>
    <xf numFmtId="0" fontId="62" fillId="48" borderId="43" xfId="0" applyFont="1" applyFill="1" applyBorder="1" applyAlignment="1">
      <alignment vertical="center" wrapText="1"/>
    </xf>
    <xf numFmtId="0" fontId="0" fillId="48" borderId="43" xfId="0" applyFill="1" applyBorder="1" applyAlignment="1">
      <alignment horizontal="right" vertical="center"/>
    </xf>
    <xf numFmtId="0" fontId="62" fillId="48" borderId="43" xfId="0" applyFont="1" applyFill="1" applyBorder="1" applyAlignment="1">
      <alignment horizontal="right" vertical="center"/>
    </xf>
    <xf numFmtId="186" fontId="50" fillId="30" borderId="0" xfId="0" applyNumberFormat="1" applyFont="1" applyFill="1"/>
    <xf numFmtId="0" fontId="80" fillId="0" borderId="0" xfId="0" applyFont="1"/>
    <xf numFmtId="2" fontId="68" fillId="38" borderId="0" xfId="0" applyNumberFormat="1" applyFont="1" applyFill="1"/>
    <xf numFmtId="177" fontId="48" fillId="29" borderId="18" xfId="0" applyNumberFormat="1" applyFont="1" applyFill="1" applyBorder="1"/>
    <xf numFmtId="164" fontId="48" fillId="29" borderId="0" xfId="0" applyNumberFormat="1" applyFont="1" applyFill="1" applyAlignment="1">
      <alignment wrapText="1"/>
    </xf>
    <xf numFmtId="187" fontId="75" fillId="40" borderId="0" xfId="0" applyNumberFormat="1" applyFont="1" applyFill="1" applyAlignment="1">
      <alignment horizontal="center" vertical="center"/>
    </xf>
    <xf numFmtId="0" fontId="81" fillId="33" borderId="42" xfId="0" applyFont="1" applyFill="1" applyBorder="1" applyAlignment="1">
      <alignment horizontal="center" wrapText="1"/>
    </xf>
    <xf numFmtId="0" fontId="82" fillId="33" borderId="42" xfId="0" applyFont="1" applyFill="1" applyBorder="1" applyAlignment="1">
      <alignment horizontal="center" wrapText="1"/>
    </xf>
    <xf numFmtId="0" fontId="81" fillId="33" borderId="0" xfId="0" applyFont="1" applyFill="1" applyAlignment="1">
      <alignment horizontal="center" wrapText="1"/>
    </xf>
    <xf numFmtId="0" fontId="82" fillId="33" borderId="0" xfId="0" applyFont="1" applyFill="1" applyAlignment="1">
      <alignment horizontal="center" wrapText="1"/>
    </xf>
    <xf numFmtId="0" fontId="83" fillId="34" borderId="43" xfId="0" applyFont="1" applyFill="1" applyBorder="1" applyAlignment="1">
      <alignment vertical="center" wrapText="1"/>
    </xf>
    <xf numFmtId="3" fontId="83" fillId="0" borderId="43" xfId="0" applyNumberFormat="1" applyFont="1" applyBorder="1" applyAlignment="1">
      <alignment horizontal="right" vertical="center"/>
    </xf>
    <xf numFmtId="3" fontId="83" fillId="37" borderId="43" xfId="0" applyNumberFormat="1" applyFont="1" applyFill="1" applyBorder="1" applyAlignment="1">
      <alignment horizontal="right" vertical="center"/>
    </xf>
    <xf numFmtId="0" fontId="85" fillId="34" borderId="43" xfId="0" applyFont="1" applyFill="1" applyBorder="1" applyAlignment="1">
      <alignment vertical="center" wrapText="1"/>
    </xf>
    <xf numFmtId="0" fontId="85" fillId="0" borderId="43" xfId="0" applyFont="1" applyBorder="1" applyAlignment="1">
      <alignment horizontal="right" vertical="center"/>
    </xf>
    <xf numFmtId="10" fontId="85" fillId="0" borderId="43" xfId="0" applyNumberFormat="1" applyFont="1" applyBorder="1" applyAlignment="1">
      <alignment horizontal="right" vertical="center"/>
    </xf>
    <xf numFmtId="10" fontId="85" fillId="37" borderId="43" xfId="0" applyNumberFormat="1" applyFont="1" applyFill="1" applyBorder="1" applyAlignment="1">
      <alignment horizontal="right" vertical="center"/>
    </xf>
    <xf numFmtId="0" fontId="83" fillId="0" borderId="43" xfId="0" applyFont="1" applyBorder="1" applyAlignment="1">
      <alignment horizontal="right" vertical="center"/>
    </xf>
    <xf numFmtId="0" fontId="83" fillId="37" borderId="43" xfId="0" applyFont="1" applyFill="1" applyBorder="1" applyAlignment="1">
      <alignment horizontal="right" vertical="center"/>
    </xf>
    <xf numFmtId="0" fontId="83" fillId="34" borderId="44" xfId="0" applyFont="1" applyFill="1" applyBorder="1" applyAlignment="1">
      <alignment vertical="center" wrapText="1"/>
    </xf>
    <xf numFmtId="14" fontId="83" fillId="0" borderId="44" xfId="0" applyNumberFormat="1" applyFont="1" applyBorder="1" applyAlignment="1">
      <alignment horizontal="right" vertical="center"/>
    </xf>
    <xf numFmtId="0" fontId="83" fillId="0" borderId="44" xfId="0" applyFont="1" applyBorder="1" applyAlignment="1">
      <alignment horizontal="right" vertical="center"/>
    </xf>
    <xf numFmtId="0" fontId="79" fillId="0" borderId="0" xfId="0" applyFont="1" applyAlignment="1">
      <alignment vertical="center" wrapText="1"/>
    </xf>
    <xf numFmtId="0" fontId="63" fillId="0" borderId="0" xfId="0" applyFont="1" applyAlignment="1">
      <alignment vertical="center" wrapText="1"/>
    </xf>
    <xf numFmtId="164" fontId="75" fillId="38" borderId="0" xfId="0" applyNumberFormat="1" applyFont="1" applyFill="1"/>
    <xf numFmtId="164" fontId="48" fillId="44" borderId="18" xfId="0" applyNumberFormat="1" applyFont="1" applyFill="1" applyBorder="1"/>
    <xf numFmtId="0" fontId="23" fillId="43" borderId="41" xfId="0" applyFont="1" applyFill="1" applyBorder="1"/>
    <xf numFmtId="43" fontId="72" fillId="41" borderId="0" xfId="0" applyNumberFormat="1" applyFont="1" applyFill="1"/>
    <xf numFmtId="1" fontId="75" fillId="38" borderId="0" xfId="0" applyNumberFormat="1" applyFont="1" applyFill="1"/>
    <xf numFmtId="177" fontId="75" fillId="38" borderId="0" xfId="0" applyNumberFormat="1" applyFont="1" applyFill="1"/>
    <xf numFmtId="177" fontId="48" fillId="41" borderId="0" xfId="0" applyNumberFormat="1" applyFont="1" applyFill="1"/>
    <xf numFmtId="164" fontId="68" fillId="40" borderId="0" xfId="0" applyNumberFormat="1" applyFont="1" applyFill="1"/>
    <xf numFmtId="2" fontId="2" fillId="26" borderId="0" xfId="0" applyNumberFormat="1" applyFont="1" applyFill="1"/>
    <xf numFmtId="188" fontId="0" fillId="0" borderId="0" xfId="0" applyNumberFormat="1"/>
    <xf numFmtId="9" fontId="0" fillId="26" borderId="0" xfId="2" applyFont="1" applyFill="1"/>
    <xf numFmtId="165" fontId="0" fillId="0" borderId="5" xfId="0" applyNumberFormat="1" applyBorder="1"/>
    <xf numFmtId="0" fontId="58" fillId="20" borderId="0" xfId="0" applyFont="1" applyFill="1"/>
    <xf numFmtId="187" fontId="18" fillId="38" borderId="46" xfId="0" applyNumberFormat="1" applyFont="1" applyFill="1" applyBorder="1" applyAlignment="1">
      <alignment horizontal="center"/>
    </xf>
    <xf numFmtId="178" fontId="75" fillId="40" borderId="0" xfId="0" applyNumberFormat="1" applyFont="1" applyFill="1"/>
    <xf numFmtId="166" fontId="72" fillId="42" borderId="24" xfId="0" applyNumberFormat="1" applyFont="1" applyFill="1" applyBorder="1"/>
    <xf numFmtId="0" fontId="3" fillId="7" borderId="0" xfId="0" applyFont="1" applyFill="1" applyAlignment="1">
      <alignment horizontal="center"/>
    </xf>
    <xf numFmtId="0" fontId="32" fillId="24" borderId="0" xfId="0" applyFont="1" applyFill="1" applyAlignment="1">
      <alignment horizontal="center" vertical="top"/>
    </xf>
    <xf numFmtId="0" fontId="43" fillId="0" borderId="0" xfId="0" applyFont="1"/>
    <xf numFmtId="177" fontId="23" fillId="0" borderId="26" xfId="0" applyNumberFormat="1" applyFont="1" applyBorder="1" applyAlignment="1">
      <alignment horizontal="right" vertical="center"/>
    </xf>
    <xf numFmtId="0" fontId="43" fillId="0" borderId="29" xfId="0" applyFont="1" applyBorder="1"/>
    <xf numFmtId="177" fontId="19" fillId="24" borderId="0" xfId="0" applyNumberFormat="1" applyFont="1" applyFill="1" applyAlignment="1">
      <alignment horizontal="center" vertical="center" textRotation="180"/>
    </xf>
    <xf numFmtId="0" fontId="19" fillId="24" borderId="0" xfId="0" applyFont="1" applyFill="1" applyAlignment="1">
      <alignment horizontal="center" vertical="top"/>
    </xf>
    <xf numFmtId="177" fontId="19" fillId="24" borderId="35" xfId="0" applyNumberFormat="1" applyFont="1" applyFill="1" applyBorder="1" applyAlignment="1">
      <alignment horizontal="center" vertical="center" textRotation="180"/>
    </xf>
    <xf numFmtId="0" fontId="43" fillId="0" borderId="35" xfId="0" applyFont="1" applyBorder="1"/>
    <xf numFmtId="0" fontId="49" fillId="0" borderId="26" xfId="0" applyFont="1" applyBorder="1" applyAlignment="1">
      <alignment horizontal="center" wrapText="1"/>
    </xf>
    <xf numFmtId="0" fontId="0" fillId="0" borderId="0" xfId="0"/>
    <xf numFmtId="0" fontId="49" fillId="0" borderId="34" xfId="0" applyFont="1" applyBorder="1" applyAlignment="1">
      <alignment horizontal="center" wrapText="1"/>
    </xf>
    <xf numFmtId="0" fontId="73" fillId="28" borderId="41" xfId="0" applyFont="1" applyFill="1" applyBorder="1" applyAlignment="1">
      <alignment horizontal="center"/>
    </xf>
    <xf numFmtId="0" fontId="74" fillId="0" borderId="41" xfId="0" applyFont="1" applyBorder="1"/>
    <xf numFmtId="0" fontId="73" fillId="28" borderId="0" xfId="0" applyFont="1" applyFill="1" applyAlignment="1">
      <alignment horizontal="center" wrapText="1"/>
    </xf>
    <xf numFmtId="0" fontId="74" fillId="0" borderId="0" xfId="0" applyFont="1"/>
    <xf numFmtId="0" fontId="69" fillId="28" borderId="41" xfId="0" applyFont="1" applyFill="1" applyBorder="1" applyAlignment="1">
      <alignment horizontal="center"/>
    </xf>
    <xf numFmtId="0" fontId="47" fillId="28" borderId="24" xfId="0" applyFont="1" applyFill="1" applyBorder="1" applyAlignment="1">
      <alignment horizontal="center"/>
    </xf>
    <xf numFmtId="0" fontId="74" fillId="0" borderId="32" xfId="0" applyFont="1" applyBorder="1"/>
    <xf numFmtId="0" fontId="74" fillId="0" borderId="33" xfId="0" applyFont="1" applyBorder="1"/>
    <xf numFmtId="0" fontId="18" fillId="38" borderId="0" xfId="0" applyFont="1" applyFill="1" applyAlignment="1">
      <alignment horizontal="center" wrapText="1"/>
    </xf>
    <xf numFmtId="0" fontId="18" fillId="38" borderId="41" xfId="0" applyFont="1" applyFill="1" applyBorder="1" applyAlignment="1">
      <alignment horizontal="center"/>
    </xf>
    <xf numFmtId="0" fontId="43" fillId="0" borderId="41" xfId="0" applyFont="1" applyBorder="1"/>
    <xf numFmtId="0" fontId="18" fillId="38" borderId="41" xfId="0" applyFont="1" applyFill="1" applyBorder="1" applyAlignment="1">
      <alignment horizontal="center" wrapText="1"/>
    </xf>
    <xf numFmtId="177" fontId="48" fillId="29" borderId="0" xfId="0" applyNumberFormat="1" applyFont="1" applyFill="1" applyAlignment="1">
      <alignment horizontal="center"/>
    </xf>
    <xf numFmtId="0" fontId="77" fillId="24" borderId="0" xfId="0" applyFont="1" applyFill="1" applyAlignment="1">
      <alignment horizontal="center"/>
    </xf>
    <xf numFmtId="178" fontId="18" fillId="0" borderId="0" xfId="0" applyNumberFormat="1" applyFont="1" applyFill="1" applyAlignment="1">
      <alignment horizontal="right" vertical="top"/>
    </xf>
    <xf numFmtId="178" fontId="18" fillId="0" borderId="36" xfId="0" applyNumberFormat="1" applyFont="1" applyFill="1" applyBorder="1" applyAlignment="1">
      <alignment horizontal="right" vertical="top"/>
    </xf>
    <xf numFmtId="178" fontId="18" fillId="49" borderId="0" xfId="0" applyNumberFormat="1" applyFont="1" applyFill="1" applyAlignment="1">
      <alignment horizontal="right" vertical="top"/>
    </xf>
    <xf numFmtId="178" fontId="18" fillId="49" borderId="36" xfId="0" applyNumberFormat="1" applyFont="1" applyFill="1" applyBorder="1" applyAlignment="1">
      <alignment horizontal="right" vertical="top"/>
    </xf>
  </cellXfs>
  <cellStyles count="5">
    <cellStyle name="Comma" xfId="1" builtinId="3"/>
    <cellStyle name="Currency" xfId="3" builtinId="4"/>
    <cellStyle name="Hyperlink" xfId="4" builtinId="8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F00FF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ritannica.com/topic/Uber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https://es.logodownload.org/uber-logo/" TargetMode="External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https://logos-world.net/uber-logo/" TargetMode="External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https://creativecommons.org/licenses/by-nd/3.0/" TargetMode="External"/><Relationship Id="rId2" Type="http://schemas.openxmlformats.org/officeDocument/2006/relationships/hyperlink" Target="http://lawyersandsettlements.com/blog/tag/bmw" TargetMode="External"/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2</xdr:col>
      <xdr:colOff>281940</xdr:colOff>
      <xdr:row>7</xdr:row>
      <xdr:rowOff>10093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B33C9EA-54E5-2632-833F-FB0D13C0E2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0" y="1"/>
          <a:ext cx="3581400" cy="12902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1036320</xdr:colOff>
      <xdr:row>0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ABF97BE-8923-8FB3-DA1A-333A1E9FFB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 flipV="1">
          <a:off x="0" y="0"/>
          <a:ext cx="103632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147992</xdr:rowOff>
    </xdr:from>
    <xdr:to>
      <xdr:col>0</xdr:col>
      <xdr:colOff>1569720</xdr:colOff>
      <xdr:row>4</xdr:row>
      <xdr:rowOff>49251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FBED3B6-F917-48B5-E600-A478DC459E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0" y="147992"/>
          <a:ext cx="1569720" cy="632779"/>
        </a:xfrm>
        <a:prstGeom prst="rect">
          <a:avLst/>
        </a:prstGeom>
        <a:solidFill>
          <a:sysClr val="window" lastClr="FFFFFF"/>
        </a:solidFill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2293620</xdr:colOff>
      <xdr:row>4</xdr:row>
      <xdr:rowOff>160020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9B55D43-A1C2-7DB9-ACCC-A6DABA4AEF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0" y="0"/>
          <a:ext cx="2293620" cy="891540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18</xdr:row>
      <xdr:rowOff>114302</xdr:rowOff>
    </xdr:from>
    <xdr:ext cx="1303020" cy="45719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5E61674-59C6-0DEC-223E-55721104D780}"/>
            </a:ext>
          </a:extLst>
        </xdr:cNvPr>
        <xdr:cNvSpPr txBox="1"/>
      </xdr:nvSpPr>
      <xdr:spPr>
        <a:xfrm>
          <a:off x="0" y="2857502"/>
          <a:ext cx="1303020" cy="457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900">
              <a:hlinkClick xmlns:r="http://schemas.openxmlformats.org/officeDocument/2006/relationships" r:id="rId2" tooltip="http://lawyersandsettlements.com/blog/tag/bmw"/>
            </a:rPr>
            <a:t>This Photo</a:t>
          </a:r>
          <a:r>
            <a:rPr lang="en-IN" sz="900"/>
            <a:t> by Unknown Author is licensed under </a:t>
          </a:r>
          <a:r>
            <a:rPr lang="en-IN" sz="900">
              <a:hlinkClick xmlns:r="http://schemas.openxmlformats.org/officeDocument/2006/relationships" r:id="rId3" tooltip="https://creativecommons.org/licenses/by-nd/3.0/"/>
            </a:rPr>
            <a:t>CC BY-ND</a:t>
          </a:r>
          <a:endParaRPr lang="en-IN" sz="900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69A0C4-B4E2-4C24-83AE-2A8B0AC7C401}" name="Table2" displayName="Table2" ref="A5:D12" totalsRowShown="0">
  <autoFilter ref="A5:D12" xr:uid="{BF69A0C4-B4E2-4C24-83AE-2A8B0AC7C401}"/>
  <tableColumns count="4">
    <tableColumn id="1" xr3:uid="{C7270142-8C7F-4344-8AE3-072BAE02D250}" name="COST OF EQUITY"/>
    <tableColumn id="2" xr3:uid="{65254E8E-A340-4938-BAE9-DE99457375FE}" name="Column1"/>
    <tableColumn id="3" xr3:uid="{5A8C587F-36E0-47F8-A49D-CB588DD00955}" name="Column2"/>
    <tableColumn id="4" xr3:uid="{89ACFB79-0C4C-43E5-BE9A-27BA6192F818}" name="Column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asdaq.com/market-activity/stocks/uber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hyperlink" Target="https://www.marketscreener.com/quote/stock/GRAB-HOLDINGS-LIMITED-130201011/finance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hyperlink" Target="https://www.marketscreener.com/quote/stock/DIDI-GLOBAL-INC-124258212/finan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8B4ED-0DE1-4D75-BDEF-D22C090FFCB1}">
  <dimension ref="A2:T36"/>
  <sheetViews>
    <sheetView topLeftCell="B1" workbookViewId="0">
      <selection activeCell="Q13" sqref="Q13"/>
    </sheetView>
  </sheetViews>
  <sheetFormatPr defaultRowHeight="14.4"/>
  <cols>
    <col min="1" max="1" width="34.6640625" bestFit="1" customWidth="1"/>
    <col min="2" max="2" width="13.44140625" bestFit="1" customWidth="1"/>
    <col min="3" max="5" width="13.77734375" bestFit="1" customWidth="1"/>
    <col min="6" max="6" width="14.21875" bestFit="1" customWidth="1"/>
    <col min="7" max="10" width="14.21875" customWidth="1"/>
    <col min="16" max="16" width="20.21875" bestFit="1" customWidth="1"/>
    <col min="17" max="19" width="14.21875" bestFit="1" customWidth="1"/>
    <col min="20" max="20" width="24.88671875" bestFit="1" customWidth="1"/>
  </cols>
  <sheetData>
    <row r="2" spans="1:20">
      <c r="C2" s="1"/>
    </row>
    <row r="5" spans="1:20">
      <c r="O5" s="42" t="s">
        <v>186</v>
      </c>
    </row>
    <row r="6" spans="1:20">
      <c r="O6" t="s">
        <v>184</v>
      </c>
      <c r="Q6" s="4">
        <f>M20/M28</f>
        <v>0.11700035752592063</v>
      </c>
    </row>
    <row r="7" spans="1:20">
      <c r="O7" t="s">
        <v>183</v>
      </c>
      <c r="Q7" s="4">
        <f>M12/M28</f>
        <v>0.57284590632820875</v>
      </c>
    </row>
    <row r="8" spans="1:20">
      <c r="O8" t="s">
        <v>185</v>
      </c>
      <c r="Q8" s="4">
        <f>M16/M28</f>
        <v>0.31015373614587055</v>
      </c>
    </row>
    <row r="9" spans="1:20">
      <c r="A9" t="s">
        <v>2</v>
      </c>
      <c r="B9" t="s">
        <v>0</v>
      </c>
      <c r="C9" s="1">
        <v>45657</v>
      </c>
      <c r="M9">
        <f>K16+L16+M16+N16</f>
        <v>13710</v>
      </c>
      <c r="R9" s="7">
        <v>0.05</v>
      </c>
      <c r="S9" s="7">
        <v>0.01</v>
      </c>
    </row>
    <row r="10" spans="1:20">
      <c r="A10" s="2" t="s">
        <v>1</v>
      </c>
      <c r="B10" s="2"/>
      <c r="C10" s="2" t="s">
        <v>3</v>
      </c>
      <c r="D10" s="2" t="s">
        <v>4</v>
      </c>
      <c r="E10" s="2" t="s">
        <v>5</v>
      </c>
      <c r="F10" s="2" t="s">
        <v>6</v>
      </c>
      <c r="G10" s="2" t="s">
        <v>8</v>
      </c>
      <c r="H10" s="2" t="s">
        <v>9</v>
      </c>
      <c r="I10" s="2" t="s">
        <v>10</v>
      </c>
      <c r="J10" s="2" t="s">
        <v>11</v>
      </c>
      <c r="K10" s="2" t="s">
        <v>8</v>
      </c>
      <c r="L10" s="2" t="s">
        <v>9</v>
      </c>
      <c r="M10" s="2" t="s">
        <v>10</v>
      </c>
      <c r="N10" s="2" t="s">
        <v>11</v>
      </c>
      <c r="O10" s="11">
        <v>2024</v>
      </c>
      <c r="P10" s="2" t="s">
        <v>19</v>
      </c>
      <c r="Q10" s="2" t="s">
        <v>20</v>
      </c>
      <c r="R10" s="2" t="s">
        <v>21</v>
      </c>
      <c r="S10" s="2" t="s">
        <v>22</v>
      </c>
      <c r="T10" s="2" t="s">
        <v>24</v>
      </c>
    </row>
    <row r="11" spans="1:20">
      <c r="G11" s="36">
        <v>2023</v>
      </c>
      <c r="H11" s="33"/>
      <c r="I11" s="33"/>
      <c r="J11" s="33"/>
      <c r="K11" s="2">
        <v>2024</v>
      </c>
      <c r="N11" t="s">
        <v>12</v>
      </c>
      <c r="O11" t="e">
        <f>N11+M11+L11+K11</f>
        <v>#VALUE!</v>
      </c>
    </row>
    <row r="12" spans="1:20">
      <c r="A12" s="3" t="s">
        <v>13</v>
      </c>
      <c r="C12">
        <v>6089</v>
      </c>
      <c r="D12" s="6">
        <v>6953</v>
      </c>
      <c r="E12">
        <v>14029</v>
      </c>
      <c r="F12">
        <v>19832</v>
      </c>
      <c r="G12" s="33">
        <v>4330</v>
      </c>
      <c r="H12" s="33">
        <v>4894</v>
      </c>
      <c r="I12" s="33">
        <v>5071</v>
      </c>
      <c r="J12" s="33">
        <f>F12-G12-H12-I12</f>
        <v>5537</v>
      </c>
      <c r="K12" s="9">
        <v>5633</v>
      </c>
      <c r="L12" s="9">
        <v>6134</v>
      </c>
      <c r="M12" s="9">
        <v>6409</v>
      </c>
      <c r="N12" s="9">
        <v>6911</v>
      </c>
      <c r="O12">
        <f>SUM(K12:N12)</f>
        <v>25087</v>
      </c>
      <c r="P12" s="13">
        <f>O12*(1+P13)</f>
        <v>30104.399999999998</v>
      </c>
      <c r="Q12" s="13">
        <f>P12*(1+Q13)</f>
        <v>35523.191999999995</v>
      </c>
      <c r="R12" s="13">
        <f>Q12*(1+R13)</f>
        <v>40851.670799999993</v>
      </c>
      <c r="S12" s="13">
        <f>R12*(1+S13)</f>
        <v>44936.837879999992</v>
      </c>
      <c r="T12" s="4">
        <f>K12/G12-1</f>
        <v>0.30092378752886839</v>
      </c>
    </row>
    <row r="13" spans="1:20">
      <c r="A13" t="s">
        <v>7</v>
      </c>
      <c r="C13" s="37"/>
      <c r="D13" s="37">
        <f>D12/C12-1</f>
        <v>0.14189522089012985</v>
      </c>
      <c r="E13" s="37">
        <f>E12/D12-1</f>
        <v>1.0176902056666188</v>
      </c>
      <c r="F13" s="37">
        <f>F12/E12-1</f>
        <v>0.41364316772400023</v>
      </c>
      <c r="G13" s="34"/>
      <c r="H13" s="34"/>
      <c r="I13" s="34"/>
      <c r="J13" s="34">
        <f>J12/I12-1</f>
        <v>9.1895089725892332E-2</v>
      </c>
      <c r="K13" s="38">
        <f>K12/G12-1</f>
        <v>0.30092378752886839</v>
      </c>
      <c r="L13" s="39">
        <f>L12/K12-1</f>
        <v>8.8940173974791481E-2</v>
      </c>
      <c r="M13" s="39">
        <f>M12/I12-1</f>
        <v>0.26385328337605984</v>
      </c>
      <c r="N13" s="40">
        <f>N12/J12-1</f>
        <v>0.24814881704894343</v>
      </c>
      <c r="O13" s="7">
        <f>AVERAGE( K13:N13)</f>
        <v>0.22546651548216579</v>
      </c>
      <c r="P13" s="7">
        <v>0.2</v>
      </c>
      <c r="Q13" s="7">
        <v>0.18</v>
      </c>
      <c r="R13" s="7">
        <v>0.15</v>
      </c>
      <c r="S13" s="7">
        <v>0.1</v>
      </c>
      <c r="T13" s="4">
        <f>L16/G16-1</f>
        <v>6.4662140316844585E-2</v>
      </c>
    </row>
    <row r="14" spans="1:20">
      <c r="B14" s="5"/>
      <c r="C14" s="5"/>
      <c r="D14" s="5"/>
      <c r="E14" s="5"/>
      <c r="F14" s="5"/>
      <c r="G14" s="35"/>
      <c r="H14" s="35"/>
      <c r="I14" s="35"/>
      <c r="J14" s="35"/>
      <c r="K14" s="9"/>
      <c r="L14" s="9"/>
      <c r="M14" s="9"/>
      <c r="N14" s="9"/>
      <c r="T14" s="4">
        <f>K20/G20-1</f>
        <v>-8.2857142857142851E-2</v>
      </c>
    </row>
    <row r="15" spans="1:20">
      <c r="G15" s="33"/>
      <c r="H15" s="33"/>
      <c r="I15" s="33"/>
      <c r="J15" s="33"/>
      <c r="K15" s="9"/>
      <c r="L15" s="9"/>
      <c r="M15" s="9"/>
      <c r="N15" s="9"/>
    </row>
    <row r="16" spans="1:20">
      <c r="A16" s="3" t="s">
        <v>14</v>
      </c>
      <c r="C16">
        <v>3904</v>
      </c>
      <c r="D16" s="6">
        <v>8362</v>
      </c>
      <c r="E16">
        <v>10901</v>
      </c>
      <c r="F16">
        <v>12204</v>
      </c>
      <c r="G16" s="33">
        <v>3093</v>
      </c>
      <c r="H16" s="33">
        <v>3057</v>
      </c>
      <c r="I16" s="33">
        <v>2935</v>
      </c>
      <c r="J16" s="33">
        <f>F16-G16-H16-I16</f>
        <v>3119</v>
      </c>
      <c r="K16" s="9">
        <v>3214</v>
      </c>
      <c r="L16" s="9">
        <v>3293</v>
      </c>
      <c r="M16" s="9">
        <v>3470</v>
      </c>
      <c r="N16" s="9">
        <v>3733</v>
      </c>
      <c r="O16">
        <f>SUM(K16:N16)</f>
        <v>13710</v>
      </c>
      <c r="P16" s="12">
        <f>O16*(1+P17)</f>
        <v>15081.000000000002</v>
      </c>
      <c r="Q16" s="12">
        <f>P16*(1+Q17)</f>
        <v>16287.480000000003</v>
      </c>
      <c r="R16" s="12">
        <f>Q16*(1+R17)</f>
        <v>17264.728800000004</v>
      </c>
      <c r="S16" s="12">
        <f>R16*(1+S17)</f>
        <v>17955.317952000005</v>
      </c>
    </row>
    <row r="17" spans="1:19">
      <c r="A17" t="s">
        <v>7</v>
      </c>
      <c r="C17" s="4"/>
      <c r="D17" s="4">
        <f>D16/C16-1</f>
        <v>1.141905737704918</v>
      </c>
      <c r="E17" s="4">
        <f>E16/D16-1</f>
        <v>0.30363549390098066</v>
      </c>
      <c r="F17" s="4">
        <f>F16/E16-1</f>
        <v>0.11953031831942029</v>
      </c>
      <c r="G17" s="34"/>
      <c r="H17" s="34"/>
      <c r="I17" s="34"/>
      <c r="J17" s="34"/>
      <c r="K17" s="38">
        <f>K16/G16-1</f>
        <v>3.9120594891690841E-2</v>
      </c>
      <c r="L17" s="38">
        <f>L16/K16-1</f>
        <v>2.4579962663347832E-2</v>
      </c>
      <c r="M17" s="39">
        <f>M16/I16-1</f>
        <v>0.18228279386712098</v>
      </c>
      <c r="N17" s="40">
        <f>N16/J16-1</f>
        <v>0.19685796729721061</v>
      </c>
      <c r="O17" s="7">
        <f>AVERAGE(K17:N17)</f>
        <v>0.11071032967984257</v>
      </c>
      <c r="P17" s="7">
        <v>0.1</v>
      </c>
      <c r="Q17" s="7">
        <v>0.08</v>
      </c>
      <c r="R17" s="7">
        <v>0.06</v>
      </c>
      <c r="S17" s="7">
        <v>0.04</v>
      </c>
    </row>
    <row r="18" spans="1:19">
      <c r="B18" s="5"/>
      <c r="C18" s="5"/>
      <c r="D18" s="5"/>
      <c r="E18" s="5"/>
      <c r="F18" s="5"/>
      <c r="G18" s="35"/>
      <c r="H18" s="35"/>
      <c r="I18" s="35"/>
      <c r="J18" s="35"/>
      <c r="K18" s="9"/>
      <c r="L18" s="9"/>
      <c r="M18" s="9"/>
      <c r="N18" s="9"/>
    </row>
    <row r="19" spans="1:19">
      <c r="G19" s="33"/>
      <c r="H19" s="33"/>
      <c r="I19" s="33"/>
      <c r="J19" s="33"/>
      <c r="K19" s="9"/>
      <c r="L19" s="9"/>
      <c r="M19" s="9"/>
      <c r="N19" s="9"/>
    </row>
    <row r="20" spans="1:19">
      <c r="A20" s="3" t="s">
        <v>15</v>
      </c>
      <c r="C20">
        <v>1011</v>
      </c>
      <c r="D20" s="6">
        <v>2132</v>
      </c>
      <c r="E20">
        <v>6947</v>
      </c>
      <c r="F20">
        <v>5245</v>
      </c>
      <c r="G20" s="33">
        <v>1400</v>
      </c>
      <c r="H20" s="33">
        <v>1279</v>
      </c>
      <c r="I20" s="33">
        <v>1286</v>
      </c>
      <c r="J20" s="33">
        <f>F20-G20-H20-I20</f>
        <v>1280</v>
      </c>
      <c r="K20" s="9">
        <v>1284</v>
      </c>
      <c r="L20" s="9">
        <v>1273</v>
      </c>
      <c r="M20" s="9">
        <v>1309</v>
      </c>
      <c r="N20" s="41">
        <v>1275</v>
      </c>
      <c r="O20">
        <f>SUM(K20:N20)</f>
        <v>5141</v>
      </c>
      <c r="P20" s="12">
        <f>O20*(1+P21)</f>
        <v>5243.82</v>
      </c>
      <c r="Q20" s="12">
        <f>P20*(1+Q21)</f>
        <v>5296.2581999999993</v>
      </c>
      <c r="R20" s="12">
        <f>Q20*(1+R21)</f>
        <v>5349.2207819999994</v>
      </c>
      <c r="S20" s="12">
        <f>R20*(1+S21)</f>
        <v>5402.7129898199992</v>
      </c>
    </row>
    <row r="21" spans="1:19">
      <c r="A21" t="s">
        <v>7</v>
      </c>
      <c r="C21" s="5"/>
      <c r="D21" s="5">
        <f>D20/C20-1</f>
        <v>1.1088031651829873</v>
      </c>
      <c r="E21" s="5">
        <f>E20/D20-1</f>
        <v>2.2584427767354596</v>
      </c>
      <c r="F21" s="5">
        <f>F20/E20-1</f>
        <v>-0.24499784079458764</v>
      </c>
      <c r="G21" s="35"/>
      <c r="H21" s="35"/>
      <c r="I21" s="35"/>
      <c r="J21" s="35"/>
      <c r="K21" s="38">
        <f>K20/G20-1</f>
        <v>-8.2857142857142851E-2</v>
      </c>
      <c r="L21" s="38">
        <f>L20/K20-1</f>
        <v>-8.5669781931464462E-3</v>
      </c>
      <c r="M21" s="38">
        <f>M20/L20-1</f>
        <v>2.8279654359780082E-2</v>
      </c>
      <c r="N21" s="38">
        <f>N20/M20-1</f>
        <v>-2.5974025974025983E-2</v>
      </c>
      <c r="O21" s="7">
        <v>0.02</v>
      </c>
      <c r="P21" s="7">
        <f>O21</f>
        <v>0.02</v>
      </c>
      <c r="Q21" s="7">
        <v>0.01</v>
      </c>
      <c r="R21" s="7">
        <v>0.01</v>
      </c>
      <c r="S21" s="7">
        <v>0.01</v>
      </c>
    </row>
    <row r="22" spans="1:19">
      <c r="B22" s="5"/>
      <c r="C22" s="5"/>
      <c r="D22" s="5"/>
      <c r="E22" s="5"/>
      <c r="F22" s="5"/>
      <c r="G22" s="35"/>
      <c r="H22" s="35"/>
      <c r="I22" s="35"/>
      <c r="J22" s="35"/>
      <c r="K22" s="9"/>
      <c r="L22" s="9"/>
      <c r="M22" s="9"/>
      <c r="N22" s="9"/>
    </row>
    <row r="23" spans="1:19">
      <c r="G23" s="33"/>
      <c r="H23" s="33"/>
      <c r="I23" s="33"/>
      <c r="J23" s="33"/>
      <c r="K23" s="9"/>
      <c r="L23" s="9"/>
      <c r="M23" s="9"/>
      <c r="N23" s="9"/>
    </row>
    <row r="24" spans="1:19">
      <c r="A24" s="3" t="s">
        <v>16</v>
      </c>
      <c r="C24">
        <f>100+35</f>
        <v>135</v>
      </c>
      <c r="D24">
        <v>8</v>
      </c>
      <c r="E24">
        <v>0</v>
      </c>
      <c r="F24">
        <v>0</v>
      </c>
      <c r="G24" s="33">
        <v>0</v>
      </c>
      <c r="H24" s="33">
        <v>0</v>
      </c>
      <c r="I24" s="33">
        <v>0</v>
      </c>
      <c r="J24" s="33">
        <f>F24-G24-H24-I24</f>
        <v>0</v>
      </c>
      <c r="K24" s="9">
        <v>0</v>
      </c>
      <c r="L24" s="9">
        <v>0</v>
      </c>
      <c r="M24" s="9"/>
      <c r="N24" s="9"/>
    </row>
    <row r="25" spans="1:19">
      <c r="A25" t="s">
        <v>7</v>
      </c>
      <c r="C25" s="4"/>
      <c r="D25" s="4">
        <f>D24/C24-1</f>
        <v>-0.94074074074074077</v>
      </c>
      <c r="E25" s="4">
        <f>E24/D24-1</f>
        <v>-1</v>
      </c>
      <c r="F25" s="4">
        <f>E25</f>
        <v>-1</v>
      </c>
      <c r="G25" s="34"/>
      <c r="H25" s="34"/>
      <c r="I25" s="34"/>
      <c r="J25" s="34"/>
      <c r="K25" s="9"/>
      <c r="L25" s="9"/>
      <c r="M25" s="9"/>
      <c r="N25" s="9"/>
    </row>
    <row r="26" spans="1:19">
      <c r="B26" s="5"/>
      <c r="C26" s="10"/>
      <c r="D26" s="5"/>
      <c r="E26" s="5"/>
      <c r="F26" s="5"/>
      <c r="G26" s="35"/>
      <c r="H26" s="35"/>
      <c r="I26" s="35"/>
      <c r="J26" s="35"/>
      <c r="K26" s="9"/>
      <c r="L26" s="9"/>
      <c r="M26" s="9"/>
      <c r="N26" s="9"/>
    </row>
    <row r="27" spans="1:19">
      <c r="G27" s="33"/>
      <c r="H27" s="33"/>
      <c r="I27" s="33"/>
      <c r="J27" s="33"/>
    </row>
    <row r="28" spans="1:19">
      <c r="A28" s="3" t="s">
        <v>25</v>
      </c>
      <c r="C28">
        <f t="shared" ref="C28:S28" si="0">C12+C16+C20+C24</f>
        <v>11139</v>
      </c>
      <c r="D28" s="14">
        <f t="shared" si="0"/>
        <v>17455</v>
      </c>
      <c r="E28">
        <f t="shared" si="0"/>
        <v>31877</v>
      </c>
      <c r="F28">
        <f t="shared" si="0"/>
        <v>37281</v>
      </c>
      <c r="G28">
        <f t="shared" si="0"/>
        <v>8823</v>
      </c>
      <c r="H28">
        <f t="shared" si="0"/>
        <v>9230</v>
      </c>
      <c r="I28">
        <f t="shared" si="0"/>
        <v>9292</v>
      </c>
      <c r="J28">
        <f t="shared" si="0"/>
        <v>9936</v>
      </c>
      <c r="K28">
        <f t="shared" si="0"/>
        <v>10131</v>
      </c>
      <c r="L28">
        <f t="shared" si="0"/>
        <v>10700</v>
      </c>
      <c r="M28">
        <f t="shared" si="0"/>
        <v>11188</v>
      </c>
      <c r="N28">
        <f t="shared" si="0"/>
        <v>11919</v>
      </c>
      <c r="O28" s="12">
        <f t="shared" si="0"/>
        <v>43938</v>
      </c>
      <c r="P28" s="12">
        <f t="shared" si="0"/>
        <v>50429.22</v>
      </c>
      <c r="Q28" s="12">
        <f t="shared" si="0"/>
        <v>57106.930199999995</v>
      </c>
      <c r="R28" s="12">
        <f t="shared" si="0"/>
        <v>63465.620381999994</v>
      </c>
      <c r="S28" s="12">
        <f t="shared" si="0"/>
        <v>68294.868821819997</v>
      </c>
    </row>
    <row r="29" spans="1:19">
      <c r="C29" s="8"/>
      <c r="D29" s="8">
        <f>D28/C28-1</f>
        <v>0.56701678786246523</v>
      </c>
      <c r="E29" s="8">
        <f>E28/D28-1</f>
        <v>0.8262389000286452</v>
      </c>
      <c r="F29" s="8">
        <f>F28/E28-1</f>
        <v>0.16952661793769797</v>
      </c>
      <c r="G29" s="8"/>
      <c r="H29" s="8">
        <f>H28/G28-1</f>
        <v>4.6129434432732541E-2</v>
      </c>
      <c r="I29" s="8">
        <f>I28/H28-1</f>
        <v>6.7172264355364053E-3</v>
      </c>
      <c r="J29" s="8">
        <f>J28/I28-1</f>
        <v>6.9306930693069368E-2</v>
      </c>
      <c r="K29" s="8"/>
      <c r="O29" s="8">
        <f>O28/F28-1</f>
        <v>0.17856280679166336</v>
      </c>
      <c r="P29" s="8">
        <f>P28/O28-1</f>
        <v>0.14773590058719099</v>
      </c>
      <c r="Q29" s="8">
        <f>Q28/P28-1</f>
        <v>0.1324174793899251</v>
      </c>
      <c r="R29" s="8">
        <f>R28/Q28-1</f>
        <v>0.11134708449098185</v>
      </c>
      <c r="S29" s="8">
        <f>S28/R28-1</f>
        <v>7.6092353793325129E-2</v>
      </c>
    </row>
    <row r="31" spans="1:19" ht="57.6">
      <c r="B31" s="24"/>
      <c r="C31" s="24" t="s">
        <v>288</v>
      </c>
      <c r="D31" s="24" t="s">
        <v>288</v>
      </c>
      <c r="E31" s="24" t="s">
        <v>289</v>
      </c>
      <c r="F31" s="24" t="s">
        <v>290</v>
      </c>
      <c r="G31" s="24" t="s">
        <v>1393</v>
      </c>
      <c r="H31" s="24" t="s">
        <v>1394</v>
      </c>
      <c r="I31" s="24" t="s">
        <v>1395</v>
      </c>
      <c r="J31" s="24" t="s">
        <v>1396</v>
      </c>
      <c r="K31" s="24" t="s">
        <v>1397</v>
      </c>
      <c r="L31" s="24" t="s">
        <v>1398</v>
      </c>
      <c r="M31" s="24" t="s">
        <v>1399</v>
      </c>
      <c r="N31" s="24" t="s">
        <v>274</v>
      </c>
      <c r="P31" s="562"/>
    </row>
    <row r="34" spans="2:2">
      <c r="B34" t="s">
        <v>17</v>
      </c>
    </row>
    <row r="35" spans="2:2">
      <c r="B35" t="s">
        <v>18</v>
      </c>
    </row>
    <row r="36" spans="2:2">
      <c r="B36" t="s">
        <v>23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EDB4B-2F77-4CFC-AEF1-30E4B10701AF}">
  <dimension ref="A1:X74"/>
  <sheetViews>
    <sheetView zoomScale="107" zoomScaleNormal="107" workbookViewId="0">
      <pane xSplit="1" ySplit="2" topLeftCell="N3" activePane="bottomRight" state="frozen"/>
      <selection pane="topRight" activeCell="B1" sqref="B1"/>
      <selection pane="bottomLeft" activeCell="A3" sqref="A3"/>
      <selection pane="bottomRight" activeCell="T12" sqref="T12"/>
    </sheetView>
  </sheetViews>
  <sheetFormatPr defaultRowHeight="14.4"/>
  <cols>
    <col min="1" max="1" width="45.109375" customWidth="1"/>
    <col min="2" max="2" width="15.109375" bestFit="1" customWidth="1"/>
    <col min="3" max="3" width="15.44140625" bestFit="1" customWidth="1"/>
    <col min="4" max="4" width="19.77734375" bestFit="1" customWidth="1"/>
    <col min="5" max="5" width="14.5546875" bestFit="1" customWidth="1"/>
    <col min="6" max="6" width="15.109375" style="60" customWidth="1"/>
    <col min="7" max="7" width="15.109375" style="60" bestFit="1" customWidth="1"/>
    <col min="8" max="8" width="14.5546875" style="60" bestFit="1" customWidth="1"/>
    <col min="9" max="9" width="14.5546875" style="60" customWidth="1"/>
    <col min="10" max="10" width="25.77734375" bestFit="1" customWidth="1"/>
    <col min="11" max="11" width="25.77734375" customWidth="1"/>
    <col min="12" max="13" width="14.44140625" style="60" bestFit="1" customWidth="1"/>
    <col min="14" max="14" width="16.109375" style="60" bestFit="1" customWidth="1"/>
    <col min="15" max="15" width="10.88671875" style="60" bestFit="1" customWidth="1"/>
    <col min="16" max="16" width="26.109375" bestFit="1" customWidth="1"/>
    <col min="17" max="17" width="34.33203125" bestFit="1" customWidth="1"/>
    <col min="18" max="20" width="15.6640625" bestFit="1" customWidth="1"/>
  </cols>
  <sheetData>
    <row r="1" spans="1:20">
      <c r="N1" s="60">
        <f>1000</f>
        <v>1000</v>
      </c>
      <c r="O1" s="60">
        <v>-200</v>
      </c>
      <c r="P1" s="14">
        <f>P3/J4-1</f>
        <v>0.17856280679166336</v>
      </c>
    </row>
    <row r="2" spans="1:20">
      <c r="A2" s="22" t="s">
        <v>26</v>
      </c>
      <c r="B2" s="22" t="s">
        <v>27</v>
      </c>
      <c r="C2" s="22" t="s">
        <v>3</v>
      </c>
      <c r="D2" s="22" t="s">
        <v>28</v>
      </c>
      <c r="E2" s="22" t="s">
        <v>5</v>
      </c>
      <c r="F2" s="2" t="s">
        <v>52</v>
      </c>
      <c r="G2" s="2" t="s">
        <v>53</v>
      </c>
      <c r="H2" s="2" t="s">
        <v>55</v>
      </c>
      <c r="I2" s="2" t="s">
        <v>109</v>
      </c>
      <c r="J2" s="22" t="s">
        <v>6</v>
      </c>
      <c r="K2" s="22"/>
      <c r="L2" s="77" t="s">
        <v>51</v>
      </c>
      <c r="M2" s="77" t="s">
        <v>54</v>
      </c>
      <c r="N2" s="77" t="s">
        <v>56</v>
      </c>
      <c r="O2" s="77" t="s">
        <v>11</v>
      </c>
      <c r="P2" s="22">
        <v>2024</v>
      </c>
      <c r="Q2" s="22" t="s">
        <v>189</v>
      </c>
      <c r="R2" s="22" t="s">
        <v>20</v>
      </c>
      <c r="S2" s="22" t="s">
        <v>21</v>
      </c>
      <c r="T2" s="22" t="s">
        <v>22</v>
      </c>
    </row>
    <row r="3" spans="1:20">
      <c r="B3" t="s">
        <v>50</v>
      </c>
      <c r="C3" s="6" t="str">
        <f>B3</f>
        <v>(in Million $)</v>
      </c>
      <c r="D3" s="14" t="str">
        <f>C3</f>
        <v>(in Million $)</v>
      </c>
      <c r="E3" s="14" t="str">
        <f>D3</f>
        <v>(in Million $)</v>
      </c>
      <c r="F3" s="61"/>
      <c r="J3" s="14" t="s">
        <v>50</v>
      </c>
      <c r="K3" s="14"/>
      <c r="L3" s="62"/>
      <c r="P3">
        <f>'Revenue Segment'!O12+'Revenue Segment'!O16+'Revenue Segment'!O20</f>
        <v>43938</v>
      </c>
      <c r="Q3" s="12">
        <f>'Revenue Segment'!P12+'Revenue Segment'!P16+'Revenue Segment'!P20</f>
        <v>50429.22</v>
      </c>
      <c r="R3" s="12">
        <f>'Revenue Segment'!Q12+'Revenue Segment'!Q16+'Revenue Segment'!Q20</f>
        <v>57106.930199999995</v>
      </c>
      <c r="S3" s="12">
        <f>'Revenue Segment'!R12+'Revenue Segment'!R16+'Revenue Segment'!R20</f>
        <v>63465.620381999994</v>
      </c>
      <c r="T3" s="12">
        <f>'Revenue Segment'!S12+'Revenue Segment'!S16+'Revenue Segment'!S20</f>
        <v>68294.868821819997</v>
      </c>
    </row>
    <row r="4" spans="1:20">
      <c r="A4" s="21" t="s">
        <v>29</v>
      </c>
      <c r="B4">
        <v>13000</v>
      </c>
      <c r="C4" s="6">
        <v>11139</v>
      </c>
      <c r="D4">
        <v>17455</v>
      </c>
      <c r="E4">
        <v>31877</v>
      </c>
      <c r="F4" s="62">
        <v>8823</v>
      </c>
      <c r="G4" s="62">
        <v>9230</v>
      </c>
      <c r="H4" s="62">
        <v>9292</v>
      </c>
      <c r="I4" s="62">
        <f>J4-H4-G4-F4</f>
        <v>9936</v>
      </c>
      <c r="J4" s="6">
        <v>37281</v>
      </c>
      <c r="K4" s="6"/>
      <c r="L4" s="62">
        <v>10131</v>
      </c>
      <c r="M4" s="62">
        <v>10700</v>
      </c>
      <c r="N4" s="62">
        <v>11188</v>
      </c>
      <c r="O4" s="61">
        <f>'Revenue Segment'!N28</f>
        <v>11919</v>
      </c>
      <c r="P4">
        <f>P3</f>
        <v>43938</v>
      </c>
      <c r="Q4" s="12">
        <f>Q3</f>
        <v>50429.22</v>
      </c>
      <c r="R4" s="12">
        <f>R3</f>
        <v>57106.930199999995</v>
      </c>
      <c r="S4" s="12">
        <f>S3</f>
        <v>63465.620381999994</v>
      </c>
      <c r="T4" s="12">
        <f>T3</f>
        <v>68294.868821819997</v>
      </c>
    </row>
    <row r="5" spans="1:20">
      <c r="A5" s="28" t="s">
        <v>110</v>
      </c>
      <c r="C5" s="4">
        <f>C4/B4-1</f>
        <v>-0.14315384615384619</v>
      </c>
      <c r="D5" s="4">
        <f>D4/C4-1</f>
        <v>0.56701678786246523</v>
      </c>
      <c r="E5" s="4">
        <f>E4/D4-1</f>
        <v>0.8262389000286452</v>
      </c>
      <c r="F5" s="62"/>
      <c r="G5" s="63"/>
      <c r="H5" s="63"/>
      <c r="I5" s="62"/>
      <c r="J5" s="4">
        <f>J4/E4-1</f>
        <v>0.16952661793769797</v>
      </c>
      <c r="K5" s="4"/>
      <c r="L5" s="63">
        <f>L4/F4-1</f>
        <v>0.14824889493369597</v>
      </c>
      <c r="M5" s="63">
        <f>M4/G4-1</f>
        <v>0.15926327193932832</v>
      </c>
      <c r="N5" s="63">
        <f>N4/H4-1</f>
        <v>0.20404649160568233</v>
      </c>
      <c r="O5" s="63">
        <f>P5/N5-1</f>
        <v>-0.12489156080794528</v>
      </c>
      <c r="P5" s="4">
        <f>P4/J4-1</f>
        <v>0.17856280679166336</v>
      </c>
      <c r="Q5" s="4">
        <f>Q4/P4-1</f>
        <v>0.14773590058719099</v>
      </c>
      <c r="R5" s="4">
        <f>R4/Q4-1</f>
        <v>0.1324174793899251</v>
      </c>
      <c r="S5" s="4">
        <f>S4/R4-1</f>
        <v>0.11134708449098185</v>
      </c>
      <c r="T5" s="4">
        <f>T4/S4-1</f>
        <v>7.6092353793325129E-2</v>
      </c>
    </row>
    <row r="6" spans="1:20">
      <c r="A6" s="21"/>
      <c r="C6" s="4"/>
      <c r="D6" s="4"/>
      <c r="E6" s="4"/>
      <c r="F6" s="62"/>
      <c r="G6" s="63"/>
      <c r="H6" s="63"/>
      <c r="I6" s="62"/>
      <c r="J6" s="6"/>
      <c r="K6" s="6"/>
      <c r="L6" s="63"/>
      <c r="M6" s="63"/>
      <c r="N6" s="62"/>
      <c r="Q6" s="12"/>
      <c r="R6" s="12"/>
      <c r="S6" s="12"/>
      <c r="T6" s="12"/>
    </row>
    <row r="7" spans="1:20">
      <c r="A7" t="s">
        <v>30</v>
      </c>
      <c r="B7">
        <v>6061</v>
      </c>
      <c r="C7">
        <v>5154</v>
      </c>
      <c r="D7">
        <v>9351</v>
      </c>
      <c r="E7">
        <v>19659</v>
      </c>
      <c r="F7" s="62">
        <v>5259</v>
      </c>
      <c r="G7" s="60">
        <v>5515</v>
      </c>
      <c r="H7" s="60">
        <v>5626</v>
      </c>
      <c r="I7" s="62">
        <f t="shared" ref="I7:I12" si="0">J7-H7-G7-F7</f>
        <v>6057</v>
      </c>
      <c r="J7" s="6">
        <v>22457</v>
      </c>
      <c r="K7" s="6"/>
      <c r="L7" s="60">
        <v>6168</v>
      </c>
      <c r="M7" s="60">
        <v>6488</v>
      </c>
      <c r="N7" s="60">
        <v>6761</v>
      </c>
      <c r="O7" s="61">
        <v>7234</v>
      </c>
      <c r="P7" s="12">
        <f>P4*L67</f>
        <v>24111.414290530502</v>
      </c>
      <c r="Q7" s="12">
        <f>Q4*Q67</f>
        <v>27736.071000000004</v>
      </c>
      <c r="R7" s="12">
        <f>R4*R67</f>
        <v>31408.811610000001</v>
      </c>
      <c r="S7" s="12">
        <f>S4*S67</f>
        <v>34906.091210099999</v>
      </c>
      <c r="T7" s="12">
        <f>T4*T67</f>
        <v>37562.177852001005</v>
      </c>
    </row>
    <row r="8" spans="1:20">
      <c r="A8" t="s">
        <v>31</v>
      </c>
      <c r="B8">
        <v>2302</v>
      </c>
      <c r="C8">
        <v>1819</v>
      </c>
      <c r="D8">
        <v>1877</v>
      </c>
      <c r="E8">
        <v>2413</v>
      </c>
      <c r="F8" s="62">
        <v>640</v>
      </c>
      <c r="G8" s="60">
        <v>664</v>
      </c>
      <c r="H8" s="60">
        <v>683</v>
      </c>
      <c r="I8" s="62">
        <f t="shared" si="0"/>
        <v>702</v>
      </c>
      <c r="J8" s="6">
        <v>2689</v>
      </c>
      <c r="K8" s="6"/>
      <c r="L8" s="60">
        <v>685</v>
      </c>
      <c r="M8" s="60">
        <v>682</v>
      </c>
      <c r="N8" s="60">
        <v>687</v>
      </c>
      <c r="O8" s="61">
        <v>678</v>
      </c>
      <c r="P8" s="10">
        <f>SUM(L8:O8)</f>
        <v>2732</v>
      </c>
      <c r="Q8" s="12">
        <f>Q3*Q68</f>
        <v>3530.0454000000004</v>
      </c>
      <c r="R8" s="12">
        <f>R3*R68</f>
        <v>3997.4851140000001</v>
      </c>
      <c r="S8" s="12">
        <f>S3*S68</f>
        <v>4442.5934267399998</v>
      </c>
      <c r="T8" s="12">
        <f>T3*T68</f>
        <v>4780.6408175274</v>
      </c>
    </row>
    <row r="9" spans="1:20">
      <c r="A9" t="s">
        <v>32</v>
      </c>
      <c r="B9">
        <v>4626</v>
      </c>
      <c r="C9">
        <v>3583</v>
      </c>
      <c r="D9">
        <v>4789</v>
      </c>
      <c r="E9">
        <v>4756</v>
      </c>
      <c r="F9" s="62">
        <v>1262</v>
      </c>
      <c r="G9" s="60">
        <v>1218</v>
      </c>
      <c r="H9" s="60">
        <v>941</v>
      </c>
      <c r="I9" s="62">
        <f t="shared" si="0"/>
        <v>935</v>
      </c>
      <c r="J9" s="6">
        <v>4356</v>
      </c>
      <c r="K9" s="6"/>
      <c r="L9" s="60">
        <v>917</v>
      </c>
      <c r="M9" s="60">
        <v>1115</v>
      </c>
      <c r="N9" s="60">
        <v>1096</v>
      </c>
      <c r="O9" s="61">
        <v>1209</v>
      </c>
      <c r="P9" s="10">
        <f>SUM(L9:O9)</f>
        <v>4337</v>
      </c>
      <c r="Q9" s="85">
        <f>Q4*Q59</f>
        <v>6051.5064000000002</v>
      </c>
      <c r="R9" s="85">
        <f t="shared" ref="R9:T9" si="1">R4*R59</f>
        <v>6852.8316239999995</v>
      </c>
      <c r="S9" s="85">
        <f t="shared" si="1"/>
        <v>7615.8744458399988</v>
      </c>
      <c r="T9" s="85">
        <f t="shared" si="1"/>
        <v>8195.3842586184001</v>
      </c>
    </row>
    <row r="10" spans="1:20">
      <c r="A10" t="s">
        <v>33</v>
      </c>
      <c r="B10">
        <v>4836</v>
      </c>
      <c r="C10">
        <v>2205</v>
      </c>
      <c r="D10">
        <v>2054</v>
      </c>
      <c r="E10">
        <v>2798</v>
      </c>
      <c r="F10" s="62">
        <v>775</v>
      </c>
      <c r="G10" s="60">
        <v>808</v>
      </c>
      <c r="H10" s="60">
        <v>797</v>
      </c>
      <c r="I10" s="62">
        <f t="shared" si="0"/>
        <v>784</v>
      </c>
      <c r="J10" s="6">
        <v>3164</v>
      </c>
      <c r="K10" s="6"/>
      <c r="L10" s="60">
        <v>790</v>
      </c>
      <c r="M10" s="60">
        <v>760</v>
      </c>
      <c r="N10" s="60">
        <v>774</v>
      </c>
      <c r="O10" s="61">
        <v>785</v>
      </c>
      <c r="P10" s="12">
        <f>SUM(L10:O10)</f>
        <v>3109</v>
      </c>
      <c r="Q10" s="12">
        <f t="shared" ref="Q10:T11" si="2">Q3*Q70</f>
        <v>4034.3376000000003</v>
      </c>
      <c r="R10" s="12">
        <f t="shared" si="2"/>
        <v>4568.5544159999999</v>
      </c>
      <c r="S10" s="12">
        <f t="shared" si="2"/>
        <v>5077.2496305599998</v>
      </c>
      <c r="T10" s="12">
        <f t="shared" si="2"/>
        <v>5463.5895057456</v>
      </c>
    </row>
    <row r="11" spans="1:20">
      <c r="A11" t="s">
        <v>34</v>
      </c>
      <c r="B11">
        <v>3299</v>
      </c>
      <c r="C11">
        <v>2666</v>
      </c>
      <c r="D11">
        <v>2316</v>
      </c>
      <c r="E11">
        <v>3136</v>
      </c>
      <c r="F11" s="62">
        <v>942</v>
      </c>
      <c r="G11" s="60">
        <v>491</v>
      </c>
      <c r="H11" s="60">
        <v>646</v>
      </c>
      <c r="I11" s="62">
        <f t="shared" si="0"/>
        <v>603</v>
      </c>
      <c r="J11" s="6">
        <v>2682</v>
      </c>
      <c r="K11" s="6"/>
      <c r="L11" s="60">
        <v>1209</v>
      </c>
      <c r="M11" s="60">
        <v>686</v>
      </c>
      <c r="N11" s="60">
        <v>630</v>
      </c>
      <c r="O11" s="61">
        <v>1114</v>
      </c>
      <c r="P11" s="12">
        <f>SUM(L11:O11)</f>
        <v>3639</v>
      </c>
      <c r="Q11" s="12">
        <f t="shared" si="2"/>
        <v>851.94706690777787</v>
      </c>
      <c r="R11" s="12">
        <f t="shared" si="2"/>
        <v>964.7597500813456</v>
      </c>
      <c r="S11" s="12">
        <f t="shared" si="2"/>
        <v>1072.1829354871516</v>
      </c>
      <c r="T11" s="12">
        <f t="shared" si="2"/>
        <v>1153.7678587454056</v>
      </c>
    </row>
    <row r="12" spans="1:20">
      <c r="A12" t="s">
        <v>35</v>
      </c>
      <c r="B12">
        <v>472</v>
      </c>
      <c r="C12">
        <v>575</v>
      </c>
      <c r="D12">
        <v>902</v>
      </c>
      <c r="E12">
        <v>947</v>
      </c>
      <c r="F12" s="62">
        <v>207</v>
      </c>
      <c r="G12" s="60">
        <v>208</v>
      </c>
      <c r="H12" s="60">
        <v>205</v>
      </c>
      <c r="I12" s="62">
        <f t="shared" si="0"/>
        <v>203</v>
      </c>
      <c r="J12" s="6">
        <v>823</v>
      </c>
      <c r="K12" s="6"/>
      <c r="L12" s="60">
        <v>190</v>
      </c>
      <c r="M12" s="60">
        <v>173</v>
      </c>
      <c r="N12" s="60">
        <v>179</v>
      </c>
      <c r="O12" s="61">
        <v>169</v>
      </c>
      <c r="P12" s="12">
        <f>711</f>
        <v>711</v>
      </c>
      <c r="Q12" s="12">
        <f>'Fixed Asset schdeule'!J8*'Fixed Asset schdeule'!J13</f>
        <v>853.76689256173097</v>
      </c>
      <c r="R12" s="12">
        <f>'Fixed Asset schdeule'!K8*'Fixed Asset schdeule'!K13</f>
        <v>979.89891332586603</v>
      </c>
      <c r="S12" s="12">
        <f>'Fixed Asset schdeule'!L8*'Fixed Asset schdeule'!L13</f>
        <v>1109.6546574854037</v>
      </c>
      <c r="T12" s="12">
        <f>'Fixed Asset schdeule'!M8*'Fixed Asset schdeule'!M13</f>
        <v>1233.2114683882426</v>
      </c>
    </row>
    <row r="13" spans="1:20" ht="15" thickBot="1">
      <c r="A13" s="3" t="s">
        <v>36</v>
      </c>
      <c r="B13" s="19">
        <v>21596</v>
      </c>
      <c r="C13" s="19">
        <v>16002</v>
      </c>
      <c r="D13" s="19">
        <v>21289</v>
      </c>
      <c r="E13" s="19">
        <v>33709</v>
      </c>
      <c r="F13" s="64">
        <f>F7+F8+F9+F10+F11+F12</f>
        <v>9085</v>
      </c>
      <c r="G13" s="64">
        <f>SUM(G7:G12)</f>
        <v>8904</v>
      </c>
      <c r="H13" s="64">
        <f>SUM(H7:H12)</f>
        <v>8898</v>
      </c>
      <c r="I13" s="64">
        <f>SUM(I7:I12)</f>
        <v>9284</v>
      </c>
      <c r="J13" s="19">
        <v>36171</v>
      </c>
      <c r="K13" s="19"/>
      <c r="L13" s="64">
        <v>9959</v>
      </c>
      <c r="M13" s="64">
        <f t="shared" ref="M13:P13" si="3">SUM(M7:M12)</f>
        <v>9904</v>
      </c>
      <c r="N13" s="64">
        <f t="shared" si="3"/>
        <v>10127</v>
      </c>
      <c r="O13" s="64">
        <f>SUM(O7:O12)</f>
        <v>11189</v>
      </c>
      <c r="P13" s="19">
        <f t="shared" si="3"/>
        <v>38639.414290530505</v>
      </c>
      <c r="Q13" s="86">
        <f>SUM(Q7:Q12)</f>
        <v>43057.674359469514</v>
      </c>
      <c r="R13" s="86">
        <f>SUM(R7:R12)</f>
        <v>48772.341427407206</v>
      </c>
      <c r="S13" s="86">
        <f>SUM(S7:S12)</f>
        <v>54223.646306212555</v>
      </c>
      <c r="T13" s="86">
        <f>SUM(T7:T12)</f>
        <v>58388.771761026044</v>
      </c>
    </row>
    <row r="14" spans="1:20" ht="15" thickTop="1">
      <c r="A14" s="3" t="s">
        <v>37</v>
      </c>
      <c r="B14">
        <v>-8596</v>
      </c>
      <c r="C14">
        <v>-4863</v>
      </c>
      <c r="D14">
        <v>-3834</v>
      </c>
      <c r="E14">
        <f>-1832</f>
        <v>-1832</v>
      </c>
      <c r="F14" s="62">
        <v>-262</v>
      </c>
      <c r="G14" s="60">
        <v>326</v>
      </c>
      <c r="H14" s="60">
        <v>394</v>
      </c>
      <c r="I14" s="62">
        <f>J14-H14-G14-F14</f>
        <v>652</v>
      </c>
      <c r="J14" s="6">
        <v>1110</v>
      </c>
      <c r="K14" s="6"/>
      <c r="L14" s="60">
        <v>172</v>
      </c>
      <c r="M14" s="60">
        <v>796</v>
      </c>
      <c r="N14" s="60">
        <v>1061</v>
      </c>
      <c r="O14" s="87">
        <v>770</v>
      </c>
      <c r="P14" s="14">
        <f>P4-P13</f>
        <v>5298.5857094694948</v>
      </c>
      <c r="Q14" s="12">
        <f>Q4-Q13</f>
        <v>7371.5456405304867</v>
      </c>
      <c r="R14" s="12">
        <f>R4-R13</f>
        <v>8334.5887725927896</v>
      </c>
      <c r="S14" s="12">
        <f>S4-S13</f>
        <v>9241.9740757874388</v>
      </c>
      <c r="T14" s="12">
        <f>T4-T13</f>
        <v>9906.0970607939526</v>
      </c>
    </row>
    <row r="15" spans="1:20">
      <c r="A15" s="31" t="s">
        <v>110</v>
      </c>
      <c r="C15" s="4">
        <f>C14/B14-1</f>
        <v>-0.43427175430432763</v>
      </c>
      <c r="D15" s="4">
        <f>D14/C14-1</f>
        <v>-0.21159777914867361</v>
      </c>
      <c r="E15" s="4">
        <f>E14/D14-1</f>
        <v>-0.52217005738132505</v>
      </c>
      <c r="F15" s="62"/>
      <c r="J15" s="4"/>
      <c r="K15" s="6"/>
    </row>
    <row r="16" spans="1:20">
      <c r="A16" s="31" t="s">
        <v>111</v>
      </c>
      <c r="B16" s="4"/>
      <c r="C16" s="4">
        <f t="shared" ref="C16:J16" si="4">C14/C4</f>
        <v>-0.43657419876110959</v>
      </c>
      <c r="D16" s="29">
        <f t="shared" si="4"/>
        <v>-0.2196505299341163</v>
      </c>
      <c r="E16" s="4">
        <f t="shared" si="4"/>
        <v>-5.7470903786429085E-2</v>
      </c>
      <c r="F16" s="63">
        <f t="shared" si="4"/>
        <v>-2.9695115040235746E-2</v>
      </c>
      <c r="G16" s="63">
        <f t="shared" si="4"/>
        <v>3.5319609967497292E-2</v>
      </c>
      <c r="H16" s="63">
        <f t="shared" si="4"/>
        <v>4.240206629358588E-2</v>
      </c>
      <c r="I16" s="63">
        <f t="shared" si="4"/>
        <v>6.5619967793880837E-2</v>
      </c>
      <c r="J16" s="4">
        <f t="shared" si="4"/>
        <v>2.9773879456023174E-2</v>
      </c>
      <c r="K16" s="4"/>
      <c r="P16" s="4">
        <f t="shared" ref="P16:T16" si="5">P14/P4</f>
        <v>0.12059232804109188</v>
      </c>
      <c r="Q16" s="4">
        <f t="shared" si="5"/>
        <v>0.14617607887908016</v>
      </c>
      <c r="R16" s="4">
        <f t="shared" si="5"/>
        <v>0.14594706357710663</v>
      </c>
      <c r="S16" s="4">
        <f t="shared" si="5"/>
        <v>0.14562174008793949</v>
      </c>
      <c r="T16" s="4">
        <f t="shared" si="5"/>
        <v>0.14504892141514716</v>
      </c>
    </row>
    <row r="17" spans="1:23">
      <c r="A17" s="31"/>
      <c r="B17" s="4"/>
      <c r="C17" s="4"/>
      <c r="D17" s="4"/>
      <c r="E17" s="4"/>
      <c r="F17" s="63"/>
      <c r="G17" s="63"/>
      <c r="H17" s="63"/>
      <c r="I17" s="63"/>
      <c r="J17" s="4"/>
      <c r="K17" s="4"/>
      <c r="L17" s="63"/>
      <c r="M17" s="63"/>
      <c r="N17" s="63"/>
      <c r="O17" s="63"/>
      <c r="P17" s="49"/>
      <c r="Q17" s="49"/>
    </row>
    <row r="18" spans="1:23">
      <c r="A18" t="s">
        <v>38</v>
      </c>
      <c r="B18">
        <v>-559</v>
      </c>
      <c r="C18">
        <f>-458</f>
        <v>-458</v>
      </c>
      <c r="D18">
        <v>-483</v>
      </c>
      <c r="E18">
        <f>-565</f>
        <v>-565</v>
      </c>
      <c r="F18" s="62">
        <v>-168</v>
      </c>
      <c r="G18" s="60">
        <v>-144</v>
      </c>
      <c r="H18" s="60">
        <v>-166</v>
      </c>
      <c r="I18" s="62"/>
      <c r="J18" s="6">
        <v>-633</v>
      </c>
      <c r="K18" s="6"/>
      <c r="L18" s="60">
        <v>-124</v>
      </c>
      <c r="M18" s="60">
        <v>-139</v>
      </c>
      <c r="N18" s="60">
        <v>-143</v>
      </c>
      <c r="O18" s="87">
        <f>-117</f>
        <v>-117</v>
      </c>
      <c r="P18" s="12">
        <f>'Debt Schedule'!B26</f>
        <v>610.39434285116613</v>
      </c>
      <c r="Q18" s="12">
        <f>'Debt Schedule'!C26</f>
        <v>609.08155391695425</v>
      </c>
      <c r="R18" s="12">
        <f>'Debt Schedule'!D26</f>
        <v>547.38047400899484</v>
      </c>
      <c r="S18" s="12">
        <f>'Debt Schedule'!E26</f>
        <v>467.30034902206881</v>
      </c>
      <c r="T18" s="12">
        <f>'Debt Schedule'!F26</f>
        <v>402.97369124568559</v>
      </c>
    </row>
    <row r="19" spans="1:23">
      <c r="A19" t="s">
        <v>39</v>
      </c>
      <c r="B19">
        <v>722</v>
      </c>
      <c r="C19">
        <f>(-1625)</f>
        <v>-1625</v>
      </c>
      <c r="D19">
        <v>3292</v>
      </c>
      <c r="E19">
        <v>-7029</v>
      </c>
      <c r="F19" s="62">
        <v>292</v>
      </c>
      <c r="G19" s="60">
        <v>273</v>
      </c>
      <c r="H19" s="60">
        <v>-52</v>
      </c>
      <c r="I19" s="62">
        <f t="shared" ref="I19:I27" si="6">J19-H19-G19-F19</f>
        <v>1331</v>
      </c>
      <c r="J19" s="6">
        <v>1844</v>
      </c>
      <c r="K19" s="6"/>
      <c r="L19" s="60">
        <v>-678</v>
      </c>
      <c r="M19" s="60">
        <v>420</v>
      </c>
      <c r="N19" s="60">
        <v>1851</v>
      </c>
      <c r="O19" s="90">
        <v>256</v>
      </c>
      <c r="P19" s="13">
        <f>P3*Q52</f>
        <v>4393.8</v>
      </c>
      <c r="Q19" s="13">
        <f>Q3*R52</f>
        <v>5042.9220000000005</v>
      </c>
      <c r="R19" s="13">
        <f>R3*S52</f>
        <v>5710.6930199999997</v>
      </c>
      <c r="S19" s="13">
        <f>S3*T52</f>
        <v>6346.5620381999997</v>
      </c>
      <c r="T19" s="13">
        <f>T3*T52</f>
        <v>6829.486882182</v>
      </c>
    </row>
    <row r="20" spans="1:23" s="57" customFormat="1">
      <c r="A20" s="57" t="s">
        <v>40</v>
      </c>
      <c r="B20" s="57">
        <f t="shared" ref="B20:J20" si="7">B14+B18+B19</f>
        <v>-8433</v>
      </c>
      <c r="C20" s="57">
        <f t="shared" si="7"/>
        <v>-6946</v>
      </c>
      <c r="D20" s="57">
        <f t="shared" si="7"/>
        <v>-1025</v>
      </c>
      <c r="E20" s="57">
        <f t="shared" si="7"/>
        <v>-9426</v>
      </c>
      <c r="F20" s="65">
        <f t="shared" si="7"/>
        <v>-138</v>
      </c>
      <c r="G20" s="65">
        <f t="shared" si="7"/>
        <v>455</v>
      </c>
      <c r="H20" s="65">
        <f t="shared" si="7"/>
        <v>176</v>
      </c>
      <c r="I20" s="65">
        <f t="shared" si="7"/>
        <v>1983</v>
      </c>
      <c r="J20" s="91">
        <f t="shared" si="7"/>
        <v>2321</v>
      </c>
      <c r="L20" s="65">
        <f>L14+L18+L19</f>
        <v>-630</v>
      </c>
      <c r="M20" s="65">
        <f>M14+M18+M19</f>
        <v>1077</v>
      </c>
      <c r="N20" s="65">
        <f t="shared" ref="N20:T20" si="8">N14+N18+N19</f>
        <v>2769</v>
      </c>
      <c r="O20" s="65">
        <f t="shared" si="8"/>
        <v>909</v>
      </c>
      <c r="P20" s="58">
        <f>P14+P18+P19</f>
        <v>10302.780052320661</v>
      </c>
      <c r="Q20" s="58">
        <f t="shared" si="8"/>
        <v>13023.549194447442</v>
      </c>
      <c r="R20" s="58">
        <f t="shared" si="8"/>
        <v>14592.662266601783</v>
      </c>
      <c r="S20" s="58">
        <f t="shared" si="8"/>
        <v>16055.836463009507</v>
      </c>
      <c r="T20" s="58">
        <f t="shared" si="8"/>
        <v>17138.557634221637</v>
      </c>
      <c r="W20" s="516"/>
    </row>
    <row r="21" spans="1:23" s="3" customFormat="1">
      <c r="C21" s="82"/>
      <c r="F21" s="80"/>
      <c r="G21" s="80"/>
      <c r="H21" s="80"/>
      <c r="I21" s="80"/>
      <c r="L21" s="80"/>
      <c r="M21" s="80"/>
      <c r="N21" s="80"/>
      <c r="O21" s="80"/>
      <c r="P21" s="81"/>
    </row>
    <row r="22" spans="1:23">
      <c r="A22" s="3" t="s">
        <v>41</v>
      </c>
      <c r="B22">
        <v>-45</v>
      </c>
      <c r="C22">
        <v>-192</v>
      </c>
      <c r="D22">
        <v>-492</v>
      </c>
      <c r="E22">
        <f>-181</f>
        <v>-181</v>
      </c>
      <c r="F22" s="62">
        <v>-55</v>
      </c>
      <c r="G22" s="60">
        <v>-65</v>
      </c>
      <c r="H22" s="60">
        <v>-40</v>
      </c>
      <c r="I22" s="62">
        <f>J22-H22-G22-F22</f>
        <v>373</v>
      </c>
      <c r="J22" s="6">
        <v>213</v>
      </c>
      <c r="K22" s="6"/>
      <c r="L22" s="60">
        <v>29</v>
      </c>
      <c r="M22" s="60">
        <v>57</v>
      </c>
      <c r="N22" s="60">
        <v>158</v>
      </c>
      <c r="O22" s="87">
        <f>-6002</f>
        <v>-6002</v>
      </c>
      <c r="P22" s="12">
        <f>P4*Q53</f>
        <v>6471.6366551022356</v>
      </c>
      <c r="Q22" s="12">
        <f>Q4*Q53</f>
        <v>7427.7297246168418</v>
      </c>
      <c r="R22" s="12">
        <f>R4*R53</f>
        <v>9696.1969018402269</v>
      </c>
      <c r="S22" s="12">
        <f>S4*S53</f>
        <v>12203.816616105627</v>
      </c>
      <c r="T22" s="12">
        <f>T4*T53</f>
        <v>14669.068296178146</v>
      </c>
    </row>
    <row r="23" spans="1:23">
      <c r="A23" s="3" t="s">
        <v>249</v>
      </c>
      <c r="B23" s="4">
        <f t="shared" ref="B23:J23" si="9">B22/B20</f>
        <v>5.3361792956243331E-3</v>
      </c>
      <c r="C23" s="4">
        <f>C22/C20</f>
        <v>2.7641808234955371E-2</v>
      </c>
      <c r="D23" s="4">
        <f t="shared" si="9"/>
        <v>0.48</v>
      </c>
      <c r="E23" s="4">
        <f t="shared" si="9"/>
        <v>1.9202206662423085E-2</v>
      </c>
      <c r="F23" s="63">
        <f t="shared" si="9"/>
        <v>0.39855072463768115</v>
      </c>
      <c r="G23" s="63">
        <f t="shared" si="9"/>
        <v>-0.14285714285714285</v>
      </c>
      <c r="H23" s="63">
        <f t="shared" si="9"/>
        <v>-0.22727272727272727</v>
      </c>
      <c r="I23" s="63">
        <f t="shared" si="9"/>
        <v>0.18809884014120021</v>
      </c>
      <c r="J23" s="48">
        <f t="shared" si="9"/>
        <v>9.1770788453252913E-2</v>
      </c>
      <c r="K23" s="4"/>
      <c r="P23" s="48">
        <f t="shared" ref="P23" si="10">P22/P20</f>
        <v>0.6281446970853779</v>
      </c>
    </row>
    <row r="24" spans="1:23">
      <c r="A24" s="3" t="s">
        <v>1353</v>
      </c>
      <c r="B24">
        <v>-34</v>
      </c>
      <c r="C24">
        <v>-34</v>
      </c>
      <c r="D24">
        <v>-37</v>
      </c>
      <c r="E24">
        <v>107</v>
      </c>
      <c r="F24" s="62">
        <v>36</v>
      </c>
      <c r="G24" s="60">
        <v>4</v>
      </c>
      <c r="H24" s="60">
        <v>3</v>
      </c>
      <c r="I24" s="62">
        <f t="shared" si="6"/>
        <v>5</v>
      </c>
      <c r="J24" s="6">
        <v>48</v>
      </c>
      <c r="K24" s="6"/>
      <c r="L24" s="60">
        <v>-4</v>
      </c>
      <c r="M24" s="60">
        <v>-12</v>
      </c>
      <c r="N24" s="60">
        <v>-12</v>
      </c>
      <c r="O24" s="87">
        <v>-10</v>
      </c>
      <c r="P24" s="61">
        <f>K25*P14</f>
        <v>5.7590564626407676</v>
      </c>
      <c r="Q24" s="61">
        <f>Q14*Q25</f>
        <v>8.0121658662381012</v>
      </c>
      <c r="R24" s="61">
        <f>R14*R25</f>
        <v>9.0589017458886172</v>
      </c>
      <c r="S24" s="61">
        <f>S14*S25</f>
        <v>10.04514288286394</v>
      </c>
      <c r="T24" s="61">
        <f>T14*T25</f>
        <v>10.766981120179722</v>
      </c>
    </row>
    <row r="25" spans="1:23">
      <c r="A25" s="3" t="s">
        <v>251</v>
      </c>
      <c r="B25" s="29">
        <f>B24/B14</f>
        <v>3.9553280595625876E-3</v>
      </c>
      <c r="C25" s="29">
        <f>C24/C14</f>
        <v>6.9915689903351837E-3</v>
      </c>
      <c r="D25" s="29">
        <f>D24/D14</f>
        <v>9.6504955659885237E-3</v>
      </c>
      <c r="E25" s="29">
        <f>E24/E14</f>
        <v>-5.8406113537117901E-2</v>
      </c>
      <c r="F25" s="62"/>
      <c r="I25" s="62"/>
      <c r="J25" s="29">
        <f>J24/J14</f>
        <v>4.3243243243243246E-2</v>
      </c>
      <c r="K25" s="83">
        <f>AVERAGE(J25,B25:E25)</f>
        <v>1.0869044644023274E-3</v>
      </c>
      <c r="O25" s="89"/>
      <c r="P25" s="76">
        <f>K25</f>
        <v>1.0869044644023274E-3</v>
      </c>
      <c r="Q25" s="76">
        <f>P25</f>
        <v>1.0869044644023274E-3</v>
      </c>
      <c r="R25" s="5">
        <f>Q25</f>
        <v>1.0869044644023274E-3</v>
      </c>
      <c r="S25" s="5">
        <f>R25</f>
        <v>1.0869044644023274E-3</v>
      </c>
      <c r="T25" s="5">
        <f>S25</f>
        <v>1.0869044644023274E-3</v>
      </c>
    </row>
    <row r="26" spans="1:23" s="57" customFormat="1">
      <c r="A26" s="57" t="s">
        <v>42</v>
      </c>
      <c r="B26" s="57">
        <f>B20+B22+B24</f>
        <v>-8512</v>
      </c>
      <c r="C26" s="57">
        <v>-6788</v>
      </c>
      <c r="D26" s="57">
        <v>-570</v>
      </c>
      <c r="E26" s="57">
        <f>-9138</f>
        <v>-9138</v>
      </c>
      <c r="F26" s="66">
        <v>-157</v>
      </c>
      <c r="G26" s="65">
        <v>394</v>
      </c>
      <c r="H26" s="65">
        <f>H20-H22+H24</f>
        <v>219</v>
      </c>
      <c r="I26" s="66">
        <f t="shared" si="6"/>
        <v>1700</v>
      </c>
      <c r="J26" s="59">
        <v>2156</v>
      </c>
      <c r="K26" s="59"/>
      <c r="L26" s="65">
        <v>-663</v>
      </c>
      <c r="M26" s="65">
        <v>1008</v>
      </c>
      <c r="N26" s="65">
        <f>N20-N22+N24</f>
        <v>2599</v>
      </c>
      <c r="O26" s="65">
        <f>O20-O22+O24</f>
        <v>6901</v>
      </c>
      <c r="P26" s="78">
        <f>P20-P22</f>
        <v>3831.143397218425</v>
      </c>
      <c r="Q26" s="78">
        <f>Q20-Q22</f>
        <v>5595.8194698305997</v>
      </c>
      <c r="R26" s="78">
        <f>R20-R22</f>
        <v>4896.465364761556</v>
      </c>
      <c r="S26" s="78">
        <f>S20-S22</f>
        <v>3852.0198469038805</v>
      </c>
      <c r="T26" s="78">
        <f>T20-T22</f>
        <v>2469.4893380434914</v>
      </c>
    </row>
    <row r="27" spans="1:23">
      <c r="A27" t="s">
        <v>43</v>
      </c>
      <c r="B27">
        <v>-6</v>
      </c>
      <c r="C27">
        <v>-20</v>
      </c>
      <c r="D27">
        <v>-74</v>
      </c>
      <c r="E27">
        <v>3</v>
      </c>
      <c r="F27" s="62">
        <v>0</v>
      </c>
      <c r="G27" s="60">
        <v>0</v>
      </c>
      <c r="H27" s="60">
        <v>-2</v>
      </c>
      <c r="I27" s="62">
        <f t="shared" si="6"/>
        <v>271</v>
      </c>
      <c r="J27" s="6">
        <v>269</v>
      </c>
      <c r="K27" s="6"/>
      <c r="L27" s="60">
        <v>-9</v>
      </c>
      <c r="M27" s="60">
        <v>-7</v>
      </c>
      <c r="N27" s="60">
        <v>-13</v>
      </c>
      <c r="O27" s="87">
        <v>18</v>
      </c>
      <c r="P27" s="53">
        <f>P14*Q62</f>
        <v>-968.51066703209142</v>
      </c>
      <c r="Q27" s="53">
        <f>Q14*R62</f>
        <v>-1347.4200431651602</v>
      </c>
      <c r="R27" s="53">
        <f>R14*S62</f>
        <v>-1523.4514593499371</v>
      </c>
      <c r="S27" s="53">
        <f>S14*T62</f>
        <v>-1689.3093681276653</v>
      </c>
      <c r="T27" s="14">
        <f>T14*T62</f>
        <v>-1810.7021756556201</v>
      </c>
    </row>
    <row r="28" spans="1:23">
      <c r="A28" s="3" t="s">
        <v>44</v>
      </c>
      <c r="B28">
        <f>B26-B27</f>
        <v>-8506</v>
      </c>
      <c r="C28">
        <f>C26-C27</f>
        <v>-6768</v>
      </c>
      <c r="D28">
        <f>D26-D27</f>
        <v>-496</v>
      </c>
      <c r="E28">
        <f>E26-E27</f>
        <v>-9141</v>
      </c>
      <c r="F28">
        <f>F26-F27</f>
        <v>-157</v>
      </c>
      <c r="J28">
        <f>J26-J27</f>
        <v>1887</v>
      </c>
      <c r="K28" s="4"/>
      <c r="L28" s="72"/>
      <c r="M28" s="72"/>
      <c r="N28" s="72">
        <f>N27/H27-1</f>
        <v>5.5</v>
      </c>
      <c r="O28" s="88">
        <f>O27/I27-1</f>
        <v>-0.93357933579335795</v>
      </c>
      <c r="P28" s="53">
        <f>P26-P27</f>
        <v>4799.6540642505161</v>
      </c>
      <c r="Q28" s="53">
        <f>Q26-Q27</f>
        <v>6943.2395129957604</v>
      </c>
      <c r="R28" s="53">
        <f>R26-R27</f>
        <v>6419.916824111493</v>
      </c>
      <c r="S28" s="53">
        <f>S26-S27</f>
        <v>5541.3292150315456</v>
      </c>
      <c r="T28" s="14">
        <f>T26-T27</f>
        <v>4280.191513699112</v>
      </c>
    </row>
    <row r="29" spans="1:23">
      <c r="A29" s="31" t="s">
        <v>110</v>
      </c>
      <c r="C29" s="4">
        <f>C27/B27-1</f>
        <v>2.3333333333333335</v>
      </c>
      <c r="D29" s="4">
        <f>D27/C27-1</f>
        <v>2.7</v>
      </c>
      <c r="E29" s="4">
        <f>E27/D27-1</f>
        <v>-1.0405405405405406</v>
      </c>
      <c r="F29" s="62"/>
      <c r="J29" s="29">
        <f>J27/I27-1</f>
        <v>-7.3800738007380184E-3</v>
      </c>
      <c r="K29" s="30"/>
      <c r="L29" s="73">
        <f>L27/L4</f>
        <v>-8.8836245188036718E-4</v>
      </c>
      <c r="M29" s="71">
        <f>M27/M4</f>
        <v>-6.5420560747663555E-4</v>
      </c>
      <c r="N29" s="71">
        <f>N27/N4</f>
        <v>-1.1619592420450482E-3</v>
      </c>
      <c r="O29" s="71">
        <f>O27/O4</f>
        <v>1.5101938082053865E-3</v>
      </c>
      <c r="P29" s="71">
        <f>P27/P4</f>
        <v>-2.204266618945085E-2</v>
      </c>
    </row>
    <row r="30" spans="1:23">
      <c r="A30" s="31" t="s">
        <v>112</v>
      </c>
      <c r="B30" s="30">
        <f>B27/B4</f>
        <v>-4.6153846153846153E-4</v>
      </c>
      <c r="C30" s="30">
        <f>C27/C4</f>
        <v>-1.7954933117874136E-3</v>
      </c>
      <c r="D30" s="30">
        <f>D27/D4</f>
        <v>-4.2394729303924378E-3</v>
      </c>
      <c r="E30" s="30">
        <f>E27/E4</f>
        <v>9.4111742008344573E-5</v>
      </c>
      <c r="F30" s="62"/>
      <c r="J30" s="29">
        <f>J27/J4</f>
        <v>7.2154716879912015E-3</v>
      </c>
      <c r="K30" s="6"/>
      <c r="L30" s="60">
        <f>L26-L27</f>
        <v>-654</v>
      </c>
      <c r="M30" s="60">
        <v>1015</v>
      </c>
      <c r="N30" s="60">
        <f>N26-N27</f>
        <v>2612</v>
      </c>
      <c r="O30" s="84">
        <f>O26-O27</f>
        <v>6883</v>
      </c>
      <c r="P30" s="84">
        <f>P26-P27</f>
        <v>4799.6540642505161</v>
      </c>
    </row>
    <row r="31" spans="1:23">
      <c r="A31" s="3" t="s">
        <v>45</v>
      </c>
      <c r="B31">
        <f>B26-B27</f>
        <v>-8506</v>
      </c>
      <c r="C31">
        <v>-6768</v>
      </c>
      <c r="D31">
        <v>-494</v>
      </c>
      <c r="E31">
        <f>-9141</f>
        <v>-9141</v>
      </c>
      <c r="F31" s="62">
        <f>F26</f>
        <v>-157</v>
      </c>
      <c r="G31" s="60">
        <f>G26</f>
        <v>394</v>
      </c>
      <c r="H31" s="60">
        <f>H26-H27</f>
        <v>221</v>
      </c>
      <c r="I31" s="62">
        <f>J31-H31-G31-F31</f>
        <v>1429</v>
      </c>
      <c r="J31" s="6">
        <v>1887</v>
      </c>
      <c r="K31" s="6"/>
    </row>
    <row r="32" spans="1:23">
      <c r="A32" t="s">
        <v>46</v>
      </c>
      <c r="F32" s="62"/>
      <c r="I32" s="62">
        <f>J32-H32-G32-F32</f>
        <v>0</v>
      </c>
      <c r="J32" s="6"/>
      <c r="K32" s="6"/>
      <c r="L32" s="60">
        <v>-0.31</v>
      </c>
      <c r="M32" s="60">
        <v>0.49</v>
      </c>
      <c r="N32" s="60">
        <v>1.24</v>
      </c>
      <c r="O32" s="67">
        <v>3.27</v>
      </c>
      <c r="P32" s="60">
        <v>1.24</v>
      </c>
    </row>
    <row r="33" spans="1:20">
      <c r="A33" t="s">
        <v>47</v>
      </c>
      <c r="B33">
        <v>-6.81</v>
      </c>
      <c r="C33">
        <v>-3.86</v>
      </c>
      <c r="D33">
        <v>-0.26</v>
      </c>
      <c r="E33">
        <f xml:space="preserve"> -4.64</f>
        <v>-4.6399999999999997</v>
      </c>
      <c r="F33" s="62">
        <v>-0.08</v>
      </c>
      <c r="G33" s="60">
        <v>0.19</v>
      </c>
      <c r="H33" s="60">
        <v>0.11</v>
      </c>
      <c r="I33" s="62">
        <f>J33-H33-G33-F33</f>
        <v>0.71000000000000008</v>
      </c>
      <c r="J33" s="6">
        <v>0.93</v>
      </c>
      <c r="K33" s="6"/>
      <c r="L33" s="60">
        <v>-0.32</v>
      </c>
      <c r="M33" s="60">
        <v>0.47</v>
      </c>
      <c r="N33" s="67">
        <v>1.2</v>
      </c>
      <c r="O33" s="60">
        <v>3.21</v>
      </c>
      <c r="P33" s="67">
        <v>1.2</v>
      </c>
    </row>
    <row r="34" spans="1:20">
      <c r="B34">
        <f>B33</f>
        <v>-6.81</v>
      </c>
      <c r="C34">
        <f>C33</f>
        <v>-3.86</v>
      </c>
      <c r="D34">
        <v>-0.28999999999999998</v>
      </c>
      <c r="E34">
        <f>-4.65</f>
        <v>-4.6500000000000004</v>
      </c>
      <c r="F34" s="62">
        <f>F33</f>
        <v>-0.08</v>
      </c>
      <c r="G34" s="60">
        <v>0.18</v>
      </c>
      <c r="H34" s="67">
        <v>0.1</v>
      </c>
      <c r="I34" s="62">
        <f>J34-H34-G34-F34</f>
        <v>0.67</v>
      </c>
      <c r="J34" s="6">
        <v>0.87</v>
      </c>
    </row>
    <row r="35" spans="1:20">
      <c r="A35" s="3" t="s">
        <v>48</v>
      </c>
      <c r="K35" s="16"/>
    </row>
    <row r="36" spans="1:20">
      <c r="A36" t="s">
        <v>46</v>
      </c>
      <c r="F36" s="68"/>
      <c r="J36" s="16"/>
      <c r="K36" s="15"/>
    </row>
    <row r="37" spans="1:20">
      <c r="A37" t="s">
        <v>47</v>
      </c>
      <c r="F37" s="68"/>
      <c r="J37" s="16"/>
      <c r="K37" s="15"/>
    </row>
    <row r="38" spans="1:20">
      <c r="F38" s="68"/>
      <c r="J38" s="16"/>
      <c r="K38" s="15"/>
    </row>
    <row r="39" spans="1:20">
      <c r="F39" s="68"/>
      <c r="J39" s="16"/>
      <c r="K39" s="15"/>
    </row>
    <row r="40" spans="1:20">
      <c r="F40" s="68"/>
      <c r="J40" s="16"/>
      <c r="K40" s="15"/>
    </row>
    <row r="41" spans="1:20" ht="15" thickBot="1">
      <c r="B41" s="6">
        <v>1248353</v>
      </c>
      <c r="C41" s="6">
        <v>1752960</v>
      </c>
      <c r="D41" s="6">
        <v>1892546</v>
      </c>
      <c r="E41" s="18">
        <v>197231</v>
      </c>
      <c r="F41" s="69">
        <v>2009557</v>
      </c>
      <c r="G41" s="69">
        <v>2026813</v>
      </c>
      <c r="H41" s="69">
        <v>2044688</v>
      </c>
      <c r="I41" s="69"/>
      <c r="J41" s="15">
        <v>2035651</v>
      </c>
      <c r="K41" s="20"/>
      <c r="L41" s="62">
        <v>2078467</v>
      </c>
      <c r="M41" s="69">
        <v>2092180</v>
      </c>
      <c r="N41" s="69">
        <v>20101660</v>
      </c>
      <c r="O41" s="60">
        <f>2105899</f>
        <v>2105899</v>
      </c>
      <c r="P41" s="15">
        <f>O41</f>
        <v>2105899</v>
      </c>
      <c r="Q41" s="15">
        <f t="shared" ref="Q41:T42" si="11">P41</f>
        <v>2105899</v>
      </c>
      <c r="R41" s="15">
        <f t="shared" si="11"/>
        <v>2105899</v>
      </c>
      <c r="S41" s="15">
        <f t="shared" si="11"/>
        <v>2105899</v>
      </c>
      <c r="T41" s="15">
        <f t="shared" si="11"/>
        <v>2105899</v>
      </c>
    </row>
    <row r="42" spans="1:20" ht="15.6" thickTop="1" thickBot="1">
      <c r="B42" s="19">
        <f>B41</f>
        <v>1248353</v>
      </c>
      <c r="C42" s="19">
        <f>C41</f>
        <v>1752960</v>
      </c>
      <c r="D42" s="19">
        <v>1895519</v>
      </c>
      <c r="E42" s="17">
        <v>1974928</v>
      </c>
      <c r="F42" s="70">
        <f>F41</f>
        <v>2009557</v>
      </c>
      <c r="G42" s="70">
        <v>2079265</v>
      </c>
      <c r="H42" s="70">
        <v>2108479</v>
      </c>
      <c r="J42" s="20">
        <v>2091782</v>
      </c>
      <c r="L42" s="70">
        <v>2080168</v>
      </c>
      <c r="M42" s="70">
        <v>2150019</v>
      </c>
      <c r="N42" s="70">
        <v>2154466</v>
      </c>
      <c r="O42" s="60">
        <f>2141426</f>
        <v>2141426</v>
      </c>
      <c r="P42" s="70">
        <f>N42</f>
        <v>2154466</v>
      </c>
      <c r="Q42" s="70">
        <f t="shared" si="11"/>
        <v>2154466</v>
      </c>
      <c r="R42" s="70">
        <f t="shared" si="11"/>
        <v>2154466</v>
      </c>
      <c r="S42" s="70">
        <f t="shared" si="11"/>
        <v>2154466</v>
      </c>
      <c r="T42" s="70">
        <f t="shared" si="11"/>
        <v>2154466</v>
      </c>
    </row>
    <row r="43" spans="1:20" ht="15" thickTop="1">
      <c r="K43" s="23"/>
    </row>
    <row r="44" spans="1:20">
      <c r="F44" s="60" t="s">
        <v>59</v>
      </c>
      <c r="J44" s="23" t="s">
        <v>58</v>
      </c>
      <c r="M44" s="74" t="s">
        <v>57</v>
      </c>
    </row>
    <row r="46" spans="1:20" ht="28.8">
      <c r="B46" s="24" t="s">
        <v>61</v>
      </c>
      <c r="C46" s="24" t="s">
        <v>60</v>
      </c>
      <c r="D46" s="24" t="s">
        <v>49</v>
      </c>
    </row>
    <row r="51" spans="1:24">
      <c r="W51" s="7">
        <f>AVERAGE(B23:E23,J23,P23)</f>
        <v>0.2086826132886056</v>
      </c>
    </row>
    <row r="52" spans="1:24">
      <c r="A52" s="217" t="s">
        <v>274</v>
      </c>
      <c r="I52" s="62">
        <f>J53-H53-G53-F53</f>
        <v>0</v>
      </c>
      <c r="P52" s="4"/>
      <c r="Q52" s="7">
        <v>0.1</v>
      </c>
      <c r="R52" s="7">
        <f t="shared" ref="R52:T52" si="12">Q52</f>
        <v>0.1</v>
      </c>
      <c r="S52" s="7">
        <f t="shared" si="12"/>
        <v>0.1</v>
      </c>
      <c r="T52" s="7">
        <f t="shared" si="12"/>
        <v>0.1</v>
      </c>
    </row>
    <row r="53" spans="1:24">
      <c r="A53" s="4" t="s">
        <v>250</v>
      </c>
      <c r="O53" s="63"/>
      <c r="P53" s="4" t="s">
        <v>1344</v>
      </c>
      <c r="Q53" s="503">
        <f>AVERAGE(B23:E23,J23)+(X53)</f>
        <v>0.14729019652925113</v>
      </c>
      <c r="R53" s="4">
        <f>Q53+$X$53</f>
        <v>0.16979019652925115</v>
      </c>
      <c r="S53" s="4">
        <f>R53+$X$53</f>
        <v>0.19229019652925117</v>
      </c>
      <c r="T53" s="4">
        <f>S53+$X$53</f>
        <v>0.21479019652925119</v>
      </c>
      <c r="V53" s="4">
        <f>27%</f>
        <v>0.27</v>
      </c>
      <c r="W53" s="7">
        <v>0.18</v>
      </c>
      <c r="X53" s="504">
        <f>(V53-W53)/4</f>
        <v>2.2500000000000006E-2</v>
      </c>
    </row>
    <row r="54" spans="1:24">
      <c r="A54" t="s">
        <v>1352</v>
      </c>
      <c r="I54" s="63">
        <f>I7/I4</f>
        <v>0.60960144927536231</v>
      </c>
      <c r="K54" s="4"/>
      <c r="L54" s="72"/>
      <c r="P54" s="4"/>
      <c r="Q54" s="4"/>
      <c r="R54" s="4"/>
      <c r="S54" s="4"/>
      <c r="T54" s="4"/>
      <c r="U54" s="4"/>
      <c r="V54" s="4"/>
    </row>
    <row r="55" spans="1:24">
      <c r="A55" s="3" t="s">
        <v>187</v>
      </c>
      <c r="B55" s="4">
        <f>B13/B4</f>
        <v>1.6612307692307693</v>
      </c>
      <c r="C55" s="4">
        <f t="shared" ref="C55:J55" si="13">C13/C4</f>
        <v>1.4365741987611096</v>
      </c>
      <c r="D55" s="4">
        <f t="shared" si="13"/>
        <v>1.2196505299341163</v>
      </c>
      <c r="E55" s="4">
        <f t="shared" si="13"/>
        <v>1.0574709037864292</v>
      </c>
      <c r="F55" s="4">
        <f t="shared" si="13"/>
        <v>1.0296951150402358</v>
      </c>
      <c r="G55" s="4">
        <f t="shared" si="13"/>
        <v>0.96468039003250272</v>
      </c>
      <c r="H55" s="4">
        <f t="shared" si="13"/>
        <v>0.95759793370641411</v>
      </c>
      <c r="I55" s="4">
        <f t="shared" si="13"/>
        <v>0.9343800322061192</v>
      </c>
      <c r="J55" s="4">
        <f t="shared" si="13"/>
        <v>0.97022612054397683</v>
      </c>
      <c r="K55" s="4"/>
      <c r="L55" s="4">
        <f>L13/L4</f>
        <v>0.98302240647517525</v>
      </c>
      <c r="M55" s="4">
        <f>M13/M4</f>
        <v>0.92560747663551401</v>
      </c>
      <c r="N55" s="4">
        <f>N13/N4</f>
        <v>0.90516624955309255</v>
      </c>
      <c r="O55" s="4">
        <f>O13/O4</f>
        <v>0.93875325111167041</v>
      </c>
      <c r="P55" s="4">
        <f>AVERAGE(L55:O55)</f>
        <v>0.93813734594386311</v>
      </c>
      <c r="Q55" s="4">
        <f>AVERAGE(M55:P55)</f>
        <v>0.92691608081103505</v>
      </c>
      <c r="R55" s="4">
        <f>AVERAGE(N55:Q55)</f>
        <v>0.92724323185491531</v>
      </c>
      <c r="S55" s="4">
        <f>AVERAGE(O55:R55)</f>
        <v>0.93276247743037088</v>
      </c>
      <c r="T55" s="4">
        <f>AVERAGE(P55:S55)</f>
        <v>0.93126478401004609</v>
      </c>
    </row>
    <row r="56" spans="1:24">
      <c r="A56" t="s">
        <v>188</v>
      </c>
      <c r="B56" s="4">
        <f>B7/B4</f>
        <v>0.46623076923076923</v>
      </c>
      <c r="C56" s="4">
        <f t="shared" ref="C56:J56" si="14">C7/C4</f>
        <v>0.4626986264476165</v>
      </c>
      <c r="D56" s="4">
        <f t="shared" si="14"/>
        <v>0.53572042394729302</v>
      </c>
      <c r="E56" s="4">
        <f t="shared" si="14"/>
        <v>0.61671424538068198</v>
      </c>
      <c r="F56" s="4">
        <f t="shared" si="14"/>
        <v>0.59605576334580079</v>
      </c>
      <c r="G56" s="4">
        <f t="shared" si="14"/>
        <v>0.59750812567713973</v>
      </c>
      <c r="H56" s="4">
        <f t="shared" si="14"/>
        <v>0.60546706844597509</v>
      </c>
      <c r="I56" s="4">
        <f t="shared" si="14"/>
        <v>0.60960144927536231</v>
      </c>
      <c r="J56" s="4">
        <f t="shared" si="14"/>
        <v>0.60237118103055176</v>
      </c>
      <c r="K56" s="4"/>
      <c r="L56" s="4">
        <f>L7/L4</f>
        <v>0.60882440035534502</v>
      </c>
      <c r="M56" s="4">
        <f>M7/M4</f>
        <v>0.60635514018691594</v>
      </c>
      <c r="N56" s="4">
        <f>N7/N4</f>
        <v>0.60430818734358238</v>
      </c>
      <c r="O56" s="4">
        <f>O7/O4</f>
        <v>0.60693011158654253</v>
      </c>
      <c r="P56" s="4">
        <f>P7/P4</f>
        <v>0.54875994106537629</v>
      </c>
      <c r="Q56" s="7"/>
      <c r="R56" s="7"/>
      <c r="S56" s="7"/>
      <c r="T56" s="7"/>
      <c r="U56" s="7"/>
      <c r="V56" s="7"/>
    </row>
    <row r="57" spans="1:24">
      <c r="A57" s="3" t="s">
        <v>1404</v>
      </c>
      <c r="B57" s="4"/>
      <c r="C57" s="4"/>
      <c r="D57" s="4"/>
      <c r="E57" s="4"/>
      <c r="F57" s="63"/>
      <c r="G57" s="63"/>
      <c r="H57" s="63"/>
      <c r="I57" s="63"/>
      <c r="J57" s="4"/>
      <c r="K57" s="4"/>
      <c r="L57" s="63"/>
      <c r="M57" s="63"/>
      <c r="N57" s="63"/>
      <c r="O57" s="63"/>
      <c r="P57" s="4"/>
    </row>
    <row r="58" spans="1:24">
      <c r="A58" t="s">
        <v>199</v>
      </c>
      <c r="B58" s="4">
        <f>B8/B4</f>
        <v>0.17707692307692308</v>
      </c>
      <c r="C58" s="4">
        <f t="shared" ref="C58:H58" si="15">C8/C4</f>
        <v>0.16330011670706526</v>
      </c>
      <c r="D58" s="4">
        <f t="shared" si="15"/>
        <v>0.10753365797765684</v>
      </c>
      <c r="E58" s="4">
        <f t="shared" si="15"/>
        <v>7.5697211155378488E-2</v>
      </c>
      <c r="F58" s="63">
        <f t="shared" si="15"/>
        <v>7.2537685594469006E-2</v>
      </c>
      <c r="G58" s="63">
        <f t="shared" si="15"/>
        <v>7.193932827735644E-2</v>
      </c>
      <c r="H58" s="63">
        <f t="shared" si="15"/>
        <v>7.3504089539388723E-2</v>
      </c>
      <c r="I58" s="63">
        <f>I10/I4</f>
        <v>7.8904991948470213E-2</v>
      </c>
      <c r="J58" s="4">
        <f>J8/J4</f>
        <v>7.2127893565086768E-2</v>
      </c>
      <c r="K58" s="4"/>
      <c r="L58" s="4">
        <f t="shared" ref="L58:T58" si="16">L8/L4</f>
        <v>6.7614253282005723E-2</v>
      </c>
      <c r="M58" s="4">
        <f t="shared" si="16"/>
        <v>6.3738317757009347E-2</v>
      </c>
      <c r="N58" s="4">
        <f t="shared" si="16"/>
        <v>6.1405076868072936E-2</v>
      </c>
      <c r="O58" s="4">
        <f t="shared" si="16"/>
        <v>5.6883966775736219E-2</v>
      </c>
      <c r="P58" s="4">
        <f t="shared" si="16"/>
        <v>6.2178524284218668E-2</v>
      </c>
      <c r="Q58" s="4">
        <f t="shared" si="16"/>
        <v>7.0000000000000007E-2</v>
      </c>
      <c r="R58" s="4">
        <f t="shared" si="16"/>
        <v>7.0000000000000007E-2</v>
      </c>
      <c r="S58" s="4">
        <f t="shared" si="16"/>
        <v>7.0000000000000007E-2</v>
      </c>
      <c r="T58" s="4">
        <f t="shared" si="16"/>
        <v>7.0000000000000007E-2</v>
      </c>
    </row>
    <row r="59" spans="1:24">
      <c r="A59" s="3" t="s">
        <v>32</v>
      </c>
      <c r="B59" s="4"/>
      <c r="C59" s="4"/>
      <c r="D59" s="4"/>
      <c r="E59" s="4"/>
      <c r="F59" s="63"/>
      <c r="G59" s="63"/>
      <c r="H59" s="63"/>
      <c r="I59" s="63"/>
      <c r="J59" s="4"/>
      <c r="K59" s="4"/>
      <c r="L59" s="4"/>
      <c r="M59" s="4"/>
      <c r="N59" s="4"/>
      <c r="O59" s="4"/>
      <c r="P59" s="4">
        <f>P9/P4</f>
        <v>9.8707269334061626E-2</v>
      </c>
      <c r="Q59" s="7">
        <v>0.12</v>
      </c>
      <c r="R59" s="7">
        <f>Q59</f>
        <v>0.12</v>
      </c>
      <c r="S59" s="7">
        <f>R59</f>
        <v>0.12</v>
      </c>
      <c r="T59" s="7">
        <f>S59</f>
        <v>0.12</v>
      </c>
    </row>
    <row r="60" spans="1:24">
      <c r="A60" t="s">
        <v>33</v>
      </c>
      <c r="B60" s="4">
        <f t="shared" ref="B60:H60" si="17">B10/B4</f>
        <v>0.372</v>
      </c>
      <c r="C60" s="4">
        <f t="shared" si="17"/>
        <v>0.19795313762456235</v>
      </c>
      <c r="D60" s="4">
        <f t="shared" si="17"/>
        <v>0.11767401890575767</v>
      </c>
      <c r="E60" s="4">
        <f t="shared" si="17"/>
        <v>8.7774884713116036E-2</v>
      </c>
      <c r="F60" s="63">
        <f t="shared" si="17"/>
        <v>8.7838603649552302E-2</v>
      </c>
      <c r="G60" s="63">
        <f t="shared" si="17"/>
        <v>8.7540628385698802E-2</v>
      </c>
      <c r="H60" s="63">
        <f t="shared" si="17"/>
        <v>8.5772707705553161E-2</v>
      </c>
      <c r="I60" s="63"/>
      <c r="J60" s="4">
        <f>J10/J4</f>
        <v>8.4868968107078668E-2</v>
      </c>
      <c r="K60" s="4"/>
      <c r="L60" s="4">
        <f t="shared" ref="L60:T60" si="18">L10/L4</f>
        <v>7.7978481887276671E-2</v>
      </c>
      <c r="M60" s="4">
        <f t="shared" si="18"/>
        <v>7.1028037383177575E-2</v>
      </c>
      <c r="N60" s="4">
        <f t="shared" si="18"/>
        <v>6.9181265641759027E-2</v>
      </c>
      <c r="O60" s="4">
        <f t="shared" si="18"/>
        <v>6.586122996895713E-2</v>
      </c>
      <c r="P60" s="4">
        <f t="shared" si="18"/>
        <v>7.0758796485957481E-2</v>
      </c>
      <c r="Q60" s="4">
        <f t="shared" si="18"/>
        <v>0.08</v>
      </c>
      <c r="R60" s="4">
        <f t="shared" si="18"/>
        <v>0.08</v>
      </c>
      <c r="S60" s="4">
        <f t="shared" si="18"/>
        <v>0.08</v>
      </c>
      <c r="T60" s="4">
        <f t="shared" si="18"/>
        <v>0.08</v>
      </c>
    </row>
    <row r="61" spans="1:24">
      <c r="B61" s="4"/>
      <c r="C61" s="4"/>
      <c r="D61" s="4"/>
      <c r="E61" s="4"/>
      <c r="F61" s="63"/>
      <c r="G61" s="63"/>
      <c r="H61" s="63"/>
      <c r="I61" s="63">
        <f>I19/I20</f>
        <v>0.67120524457892083</v>
      </c>
      <c r="J61" s="4"/>
      <c r="K61" s="4"/>
      <c r="L61" s="63"/>
      <c r="M61" s="63"/>
      <c r="N61" s="63"/>
      <c r="P61" s="4"/>
    </row>
    <row r="62" spans="1:24">
      <c r="A62" s="44" t="s">
        <v>190</v>
      </c>
      <c r="B62" s="4">
        <f>B19/B20</f>
        <v>-8.5616032254239305E-2</v>
      </c>
      <c r="C62" s="4">
        <f t="shared" ref="C62:H62" si="19">C19/C20</f>
        <v>0.23394759573855456</v>
      </c>
      <c r="D62" s="4">
        <f>D19/D20</f>
        <v>-3.2117073170731709</v>
      </c>
      <c r="E62" s="4">
        <f>E19/E20</f>
        <v>0.74570337364735839</v>
      </c>
      <c r="F62" s="63">
        <f t="shared" si="19"/>
        <v>-2.1159420289855073</v>
      </c>
      <c r="G62" s="63">
        <f t="shared" si="19"/>
        <v>0.6</v>
      </c>
      <c r="H62" s="63">
        <f t="shared" si="19"/>
        <v>-0.29545454545454547</v>
      </c>
      <c r="I62" s="71">
        <f>I24/I14</f>
        <v>7.6687116564417178E-3</v>
      </c>
      <c r="J62" s="4">
        <f>J19/J20</f>
        <v>0.79448513571736323</v>
      </c>
      <c r="K62" s="29"/>
      <c r="L62" s="63"/>
      <c r="M62" s="63"/>
      <c r="N62" s="71"/>
      <c r="P62" s="4">
        <f>P19/P20</f>
        <v>0.42646741730745907</v>
      </c>
      <c r="Q62" s="7">
        <f>AVERAGE(B62:E62,J62,P62)</f>
        <v>-0.18278663781944574</v>
      </c>
      <c r="R62" s="7">
        <f>Q62</f>
        <v>-0.18278663781944574</v>
      </c>
      <c r="S62" s="7">
        <f>R62</f>
        <v>-0.18278663781944574</v>
      </c>
      <c r="T62" s="7">
        <f>S62</f>
        <v>-0.18278663781944574</v>
      </c>
    </row>
    <row r="63" spans="1:24">
      <c r="A63" t="s">
        <v>191</v>
      </c>
      <c r="B63" s="29">
        <f>B24/B26</f>
        <v>3.9943609022556389E-3</v>
      </c>
      <c r="C63" s="29">
        <f t="shared" ref="C63:J63" si="20">C24/C26</f>
        <v>5.0088391278727169E-3</v>
      </c>
      <c r="D63" s="29">
        <f t="shared" si="20"/>
        <v>6.491228070175438E-2</v>
      </c>
      <c r="E63" s="29">
        <f t="shared" si="20"/>
        <v>-1.1709345589844605E-2</v>
      </c>
      <c r="F63" s="29">
        <f t="shared" si="20"/>
        <v>-0.22929936305732485</v>
      </c>
      <c r="G63" s="29">
        <f t="shared" si="20"/>
        <v>1.015228426395939E-2</v>
      </c>
      <c r="H63" s="29">
        <f t="shared" si="20"/>
        <v>1.3698630136986301E-2</v>
      </c>
      <c r="I63" s="29">
        <f>I24/I26</f>
        <v>2.9411764705882353E-3</v>
      </c>
      <c r="J63" s="29">
        <f t="shared" si="20"/>
        <v>2.2263450834879406E-2</v>
      </c>
      <c r="L63" s="71"/>
      <c r="M63" s="71"/>
      <c r="N63" s="71"/>
      <c r="P63" s="49">
        <f>P64*(P9+P11)</f>
        <v>2233.2800000000002</v>
      </c>
      <c r="Q63" s="49">
        <f>Q64*(Q9+Q11)</f>
        <v>1903.692892180499</v>
      </c>
      <c r="R63" s="49">
        <f>R64*(R9+R11)</f>
        <v>2155.7751064955569</v>
      </c>
      <c r="S63" s="49">
        <f>S64*(S9+S11)</f>
        <v>2395.8143794220732</v>
      </c>
      <c r="T63" s="49">
        <f>T64*(T9+T11)</f>
        <v>2578.1175348041929</v>
      </c>
    </row>
    <row r="64" spans="1:24">
      <c r="A64" t="s">
        <v>119</v>
      </c>
      <c r="B64">
        <v>4596</v>
      </c>
      <c r="C64">
        <v>827</v>
      </c>
      <c r="D64">
        <v>1168</v>
      </c>
      <c r="E64">
        <v>1793</v>
      </c>
      <c r="J64">
        <v>1935</v>
      </c>
      <c r="K64" s="4"/>
      <c r="L64" s="72"/>
      <c r="P64" s="79">
        <v>0.28000000000000003</v>
      </c>
      <c r="Q64" s="79">
        <f>AVERAGE(B65:E65,J65)</f>
        <v>0.27575950229924684</v>
      </c>
      <c r="R64" s="79">
        <f>Q64</f>
        <v>0.27575950229924684</v>
      </c>
      <c r="S64" s="79">
        <f>R64</f>
        <v>0.27575950229924684</v>
      </c>
      <c r="T64" s="79">
        <f>S64</f>
        <v>0.27575950229924684</v>
      </c>
    </row>
    <row r="65" spans="1:20">
      <c r="A65" t="s">
        <v>192</v>
      </c>
      <c r="B65" s="4">
        <f>B64/(B11+B9)</f>
        <v>0.57993690851735014</v>
      </c>
      <c r="C65" s="4">
        <f>C64/(C11+C9)</f>
        <v>0.13234117458793407</v>
      </c>
      <c r="D65" s="4">
        <f>D64/(D11+D9)</f>
        <v>0.16439127375087967</v>
      </c>
      <c r="E65" s="4">
        <f>E64/(E11+E9)</f>
        <v>0.22719209325899645</v>
      </c>
      <c r="F65" s="63"/>
      <c r="G65" s="63"/>
      <c r="J65" s="4">
        <f>J64/(J11+J9)</f>
        <v>0.27493606138107418</v>
      </c>
      <c r="L65" s="63"/>
      <c r="P65" s="4"/>
    </row>
    <row r="66" spans="1:20">
      <c r="L66" s="75">
        <f>AVERAGE(B55:E55,J55)</f>
        <v>1.2690305044512802</v>
      </c>
      <c r="P66" s="4"/>
    </row>
    <row r="67" spans="1:20">
      <c r="L67" s="75">
        <f>AVERAGE(B56:E56,J56,L56)</f>
        <v>0.54875994106537629</v>
      </c>
      <c r="P67" s="7">
        <v>0.55000000000000004</v>
      </c>
      <c r="Q67" s="7">
        <v>0.55000000000000004</v>
      </c>
      <c r="R67" s="7">
        <v>0.55000000000000004</v>
      </c>
      <c r="S67" s="7">
        <v>0.55000000000000004</v>
      </c>
      <c r="T67" s="7">
        <f>S67</f>
        <v>0.55000000000000004</v>
      </c>
    </row>
    <row r="68" spans="1:20">
      <c r="L68" s="75"/>
      <c r="P68" s="7">
        <f>P58</f>
        <v>6.2178524284218668E-2</v>
      </c>
      <c r="Q68" s="7">
        <v>7.0000000000000007E-2</v>
      </c>
      <c r="R68" s="7">
        <f t="shared" ref="R68:S69" si="21">Q68</f>
        <v>7.0000000000000007E-2</v>
      </c>
      <c r="S68" s="7">
        <f t="shared" si="21"/>
        <v>7.0000000000000007E-2</v>
      </c>
      <c r="T68" s="7">
        <f>S68</f>
        <v>7.0000000000000007E-2</v>
      </c>
    </row>
    <row r="69" spans="1:20">
      <c r="L69" s="75"/>
      <c r="P69" s="7">
        <f>P60</f>
        <v>7.0758796485957481E-2</v>
      </c>
      <c r="Q69" s="7">
        <v>0.08</v>
      </c>
      <c r="R69" s="7">
        <f t="shared" si="21"/>
        <v>0.08</v>
      </c>
      <c r="S69" s="7">
        <f t="shared" si="21"/>
        <v>0.08</v>
      </c>
      <c r="T69" s="7">
        <f>S69</f>
        <v>0.08</v>
      </c>
    </row>
    <row r="70" spans="1:20">
      <c r="L70" s="75">
        <f>AVERAGE(B60:E60,J60)</f>
        <v>0.17205420187010295</v>
      </c>
      <c r="P70" s="7">
        <f>P60</f>
        <v>7.0758796485957481E-2</v>
      </c>
      <c r="Q70" s="7">
        <v>0.08</v>
      </c>
      <c r="R70" s="7">
        <f>Q70</f>
        <v>0.08</v>
      </c>
      <c r="S70" s="7">
        <f>R70</f>
        <v>0.08</v>
      </c>
      <c r="T70" s="7">
        <f>S70</f>
        <v>0.08</v>
      </c>
    </row>
    <row r="71" spans="1:20">
      <c r="L71" s="75"/>
      <c r="P71" s="43">
        <f>L72</f>
        <v>1.6893917195383506E-2</v>
      </c>
      <c r="Q71" s="43">
        <f t="shared" ref="Q71:T71" si="22">P71</f>
        <v>1.6893917195383506E-2</v>
      </c>
      <c r="R71" s="43">
        <f t="shared" si="22"/>
        <v>1.6893917195383506E-2</v>
      </c>
      <c r="S71" s="43">
        <f t="shared" si="22"/>
        <v>1.6893917195383506E-2</v>
      </c>
      <c r="T71" s="43">
        <f t="shared" si="22"/>
        <v>1.6893917195383506E-2</v>
      </c>
    </row>
    <row r="72" spans="1:20">
      <c r="L72" s="76">
        <f>AVERAGE(B63:E63,J63)</f>
        <v>1.6893917195383506E-2</v>
      </c>
    </row>
    <row r="74" spans="1:20">
      <c r="L74" s="76">
        <f>AVERAGE(B65:E65,J65)</f>
        <v>0.27575950229924684</v>
      </c>
      <c r="P74" s="5">
        <f>L74</f>
        <v>0.27575950229924684</v>
      </c>
      <c r="Q74" s="5">
        <f>P74</f>
        <v>0.27575950229924684</v>
      </c>
      <c r="R74" s="5">
        <f>Q74</f>
        <v>0.27575950229924684</v>
      </c>
      <c r="S74" s="5">
        <f>R74</f>
        <v>0.27575950229924684</v>
      </c>
      <c r="T74" s="5">
        <f>S74</f>
        <v>0.27575950229924684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AAF22-E9EE-4DBB-9725-CEE46E8CA7E1}">
  <dimension ref="A1:M64"/>
  <sheetViews>
    <sheetView topLeftCell="A3" workbookViewId="0">
      <selection activeCell="I67" sqref="I67"/>
    </sheetView>
  </sheetViews>
  <sheetFormatPr defaultRowHeight="14.4"/>
  <cols>
    <col min="1" max="1" width="55.6640625" bestFit="1" customWidth="1"/>
    <col min="2" max="2" width="29.33203125" bestFit="1" customWidth="1"/>
    <col min="3" max="3" width="12.33203125" bestFit="1" customWidth="1"/>
    <col min="4" max="6" width="11.44140625" bestFit="1" customWidth="1"/>
    <col min="7" max="7" width="25.77734375" bestFit="1" customWidth="1"/>
    <col min="8" max="8" width="12.44140625" bestFit="1" customWidth="1"/>
    <col min="9" max="9" width="47.88671875" bestFit="1" customWidth="1"/>
    <col min="10" max="11" width="10.5546875" bestFit="1" customWidth="1"/>
    <col min="12" max="12" width="11.109375" customWidth="1"/>
    <col min="13" max="13" width="10.5546875" bestFit="1" customWidth="1"/>
  </cols>
  <sheetData>
    <row r="1" spans="1:13">
      <c r="A1" s="25"/>
    </row>
    <row r="2" spans="1:13">
      <c r="A2" s="25"/>
    </row>
    <row r="3" spans="1:13">
      <c r="A3" s="25"/>
    </row>
    <row r="4" spans="1:13">
      <c r="A4" s="25"/>
    </row>
    <row r="5" spans="1:13" ht="18">
      <c r="A5" s="25"/>
      <c r="G5" t="s">
        <v>253</v>
      </c>
      <c r="H5" s="158" t="s">
        <v>274</v>
      </c>
      <c r="I5" s="101" t="s">
        <v>275</v>
      </c>
      <c r="J5" s="133"/>
      <c r="K5" s="137"/>
      <c r="L5" s="136"/>
      <c r="M5" s="138"/>
    </row>
    <row r="6" spans="1:13" ht="21">
      <c r="A6" s="100" t="s">
        <v>62</v>
      </c>
      <c r="B6" s="26" t="s">
        <v>63</v>
      </c>
      <c r="C6" s="27" t="s">
        <v>64</v>
      </c>
      <c r="D6" s="26" t="s">
        <v>65</v>
      </c>
      <c r="E6" s="26" t="s">
        <v>66</v>
      </c>
      <c r="F6" s="26" t="s">
        <v>67</v>
      </c>
      <c r="G6" s="26" t="s">
        <v>254</v>
      </c>
      <c r="H6" s="139">
        <v>2024</v>
      </c>
      <c r="I6" s="95"/>
      <c r="J6" s="134">
        <v>2025</v>
      </c>
      <c r="K6" s="121">
        <v>2026</v>
      </c>
      <c r="L6" s="135">
        <v>2027</v>
      </c>
      <c r="M6" s="138">
        <v>2028</v>
      </c>
    </row>
    <row r="7" spans="1:13">
      <c r="A7" s="159" t="s">
        <v>68</v>
      </c>
      <c r="B7" s="160"/>
      <c r="C7" s="175"/>
      <c r="D7" s="175"/>
      <c r="E7" s="175"/>
      <c r="F7" s="175"/>
      <c r="G7" s="175"/>
      <c r="H7" s="189"/>
      <c r="I7" s="99"/>
      <c r="J7" s="124"/>
      <c r="K7" s="145"/>
      <c r="L7" s="124"/>
      <c r="M7" s="93"/>
    </row>
    <row r="8" spans="1:13">
      <c r="A8" s="160" t="s">
        <v>69</v>
      </c>
      <c r="B8" s="167">
        <v>10873</v>
      </c>
      <c r="C8" s="176">
        <v>5647</v>
      </c>
      <c r="D8" s="176">
        <v>4295</v>
      </c>
      <c r="E8" s="176">
        <v>4208</v>
      </c>
      <c r="F8" s="176">
        <v>4680</v>
      </c>
      <c r="G8" s="176">
        <v>6150</v>
      </c>
      <c r="H8" s="190">
        <f>CFS!K38</f>
        <v>10079.121995884219</v>
      </c>
      <c r="I8" s="95" t="s">
        <v>264</v>
      </c>
      <c r="J8" s="125">
        <f>CFS!M38</f>
        <v>16698.693229238357</v>
      </c>
      <c r="K8" s="146">
        <f>CFS!N38</f>
        <v>22617.44872729198</v>
      </c>
      <c r="L8" s="125">
        <f>CFS!O38</f>
        <v>28226.543578316472</v>
      </c>
      <c r="M8" s="98">
        <f>CFS!P38</f>
        <v>32498.522871210815</v>
      </c>
    </row>
    <row r="9" spans="1:13">
      <c r="A9" s="160" t="s">
        <v>70</v>
      </c>
      <c r="B9" s="167">
        <v>440</v>
      </c>
      <c r="C9" s="176">
        <v>1180</v>
      </c>
      <c r="D9" s="176">
        <v>0</v>
      </c>
      <c r="E9" s="176">
        <v>103</v>
      </c>
      <c r="F9" s="176">
        <v>727</v>
      </c>
      <c r="G9" s="176">
        <v>2913</v>
      </c>
      <c r="H9" s="190">
        <v>2913</v>
      </c>
      <c r="I9" s="95" t="s">
        <v>265</v>
      </c>
      <c r="J9" s="141">
        <f>H9</f>
        <v>2913</v>
      </c>
      <c r="K9" s="147">
        <f t="shared" ref="K9:M10" si="0">J9</f>
        <v>2913</v>
      </c>
      <c r="L9" s="128">
        <f t="shared" si="0"/>
        <v>2913</v>
      </c>
      <c r="M9" s="98">
        <f t="shared" si="0"/>
        <v>2913</v>
      </c>
    </row>
    <row r="10" spans="1:13">
      <c r="A10" s="160" t="s">
        <v>71</v>
      </c>
      <c r="B10" s="167">
        <v>99</v>
      </c>
      <c r="C10" s="176">
        <v>250</v>
      </c>
      <c r="D10" s="176">
        <v>631</v>
      </c>
      <c r="E10" s="176">
        <v>680</v>
      </c>
      <c r="F10" s="176">
        <v>805</v>
      </c>
      <c r="G10" s="176">
        <v>933</v>
      </c>
      <c r="H10" s="190">
        <v>933</v>
      </c>
      <c r="I10" s="95" t="s">
        <v>265</v>
      </c>
      <c r="J10" s="128">
        <f>H10</f>
        <v>933</v>
      </c>
      <c r="K10" s="148">
        <f t="shared" si="0"/>
        <v>933</v>
      </c>
      <c r="L10" s="128">
        <f t="shared" si="0"/>
        <v>933</v>
      </c>
      <c r="M10" s="98">
        <f t="shared" si="0"/>
        <v>933</v>
      </c>
    </row>
    <row r="11" spans="1:13">
      <c r="A11" s="160" t="s">
        <v>72</v>
      </c>
      <c r="B11" s="167">
        <v>1214</v>
      </c>
      <c r="C11" s="176">
        <v>1073</v>
      </c>
      <c r="D11" s="176">
        <v>2439</v>
      </c>
      <c r="E11" s="176">
        <v>2779</v>
      </c>
      <c r="F11" s="176">
        <v>3404</v>
      </c>
      <c r="G11" s="176">
        <v>3719</v>
      </c>
      <c r="H11" s="190">
        <f>H62</f>
        <v>4463.4766614682794</v>
      </c>
      <c r="I11" s="95" t="s">
        <v>266</v>
      </c>
      <c r="J11" s="128">
        <f>J62</f>
        <v>5122.892405800204</v>
      </c>
      <c r="K11" s="148">
        <f>K62</f>
        <v>5801.2529053620565</v>
      </c>
      <c r="L11" s="128">
        <f>L62</f>
        <v>6447.2055027689594</v>
      </c>
      <c r="M11" s="98">
        <f>M62</f>
        <v>6937.7885448639272</v>
      </c>
    </row>
    <row r="12" spans="1:13">
      <c r="A12" s="160" t="s">
        <v>73</v>
      </c>
      <c r="B12" s="167">
        <v>1299</v>
      </c>
      <c r="C12" s="176">
        <v>1215</v>
      </c>
      <c r="D12" s="176">
        <v>1454</v>
      </c>
      <c r="E12" s="176">
        <v>1479</v>
      </c>
      <c r="F12" s="176">
        <v>1681</v>
      </c>
      <c r="G12" s="176">
        <v>1616</v>
      </c>
      <c r="H12" s="190">
        <v>1616</v>
      </c>
      <c r="I12" s="95" t="s">
        <v>265</v>
      </c>
      <c r="J12" s="128">
        <f>H12</f>
        <v>1616</v>
      </c>
      <c r="K12" s="148">
        <f>J12</f>
        <v>1616</v>
      </c>
      <c r="L12" s="128">
        <f>K12</f>
        <v>1616</v>
      </c>
      <c r="M12" s="98">
        <f>L12</f>
        <v>1616</v>
      </c>
    </row>
    <row r="13" spans="1:13">
      <c r="A13" s="160" t="s">
        <v>74</v>
      </c>
      <c r="B13" s="167">
        <v>0</v>
      </c>
      <c r="C13" s="176">
        <v>517</v>
      </c>
      <c r="D13" s="176">
        <v>0</v>
      </c>
      <c r="E13" s="176">
        <v>0</v>
      </c>
      <c r="F13" s="176">
        <v>0</v>
      </c>
      <c r="G13" s="203">
        <v>0</v>
      </c>
      <c r="H13" s="143">
        <v>0</v>
      </c>
      <c r="I13" s="95"/>
      <c r="J13" s="141">
        <v>0</v>
      </c>
      <c r="K13" s="147">
        <v>0</v>
      </c>
      <c r="L13" s="128">
        <v>0</v>
      </c>
      <c r="M13" s="98">
        <v>0</v>
      </c>
    </row>
    <row r="14" spans="1:13" ht="15" thickBot="1">
      <c r="A14" s="165" t="s">
        <v>75</v>
      </c>
      <c r="B14" s="165">
        <v>13925</v>
      </c>
      <c r="C14" s="177">
        <v>9882</v>
      </c>
      <c r="D14" s="177">
        <f>SUM(D8:D13)</f>
        <v>8819</v>
      </c>
      <c r="E14" s="177">
        <f>SUM(E8:E13)</f>
        <v>9249</v>
      </c>
      <c r="F14" s="177">
        <f>SUM(F8:F13)</f>
        <v>11297</v>
      </c>
      <c r="G14" s="177">
        <f>SUM(G8:G13)</f>
        <v>15331</v>
      </c>
      <c r="H14" s="204">
        <f>SUM(H8:H13)</f>
        <v>20004.598657352501</v>
      </c>
      <c r="I14" s="95"/>
      <c r="J14" s="127">
        <f>SUM(J8:J13)</f>
        <v>27283.585635038562</v>
      </c>
      <c r="K14" s="149">
        <f>SUM(K8:K13)</f>
        <v>33880.701632654032</v>
      </c>
      <c r="L14" s="127">
        <f>SUM(L8:L13)</f>
        <v>40135.749081085429</v>
      </c>
      <c r="M14" s="127">
        <f>SUM(M8:M13)</f>
        <v>44898.311416074743</v>
      </c>
    </row>
    <row r="15" spans="1:13" ht="15" thickTop="1">
      <c r="A15" s="160" t="s">
        <v>71</v>
      </c>
      <c r="B15" s="167">
        <v>1095</v>
      </c>
      <c r="C15" s="176">
        <v>1494</v>
      </c>
      <c r="D15" s="176">
        <v>2879</v>
      </c>
      <c r="E15" s="176">
        <v>1789</v>
      </c>
      <c r="F15" s="176">
        <v>1519</v>
      </c>
      <c r="G15" s="176">
        <v>1920</v>
      </c>
      <c r="H15" s="190">
        <v>1920</v>
      </c>
      <c r="I15" s="95" t="s">
        <v>265</v>
      </c>
      <c r="J15" s="128">
        <f>H15</f>
        <v>1920</v>
      </c>
      <c r="K15" s="148">
        <f t="shared" ref="K15:L18" si="1">J15</f>
        <v>1920</v>
      </c>
      <c r="L15" s="128">
        <f t="shared" si="1"/>
        <v>1920</v>
      </c>
      <c r="M15" s="98">
        <f>L15</f>
        <v>1920</v>
      </c>
    </row>
    <row r="16" spans="1:13">
      <c r="A16" s="160" t="s">
        <v>77</v>
      </c>
      <c r="B16" s="167">
        <v>1199</v>
      </c>
      <c r="C16" s="176">
        <v>860</v>
      </c>
      <c r="D16" s="176">
        <v>0</v>
      </c>
      <c r="E16" s="176">
        <v>1614</v>
      </c>
      <c r="F16" s="176">
        <v>4779</v>
      </c>
      <c r="G16" s="176">
        <v>6552</v>
      </c>
      <c r="H16" s="190">
        <v>6552</v>
      </c>
      <c r="I16" s="95" t="s">
        <v>265</v>
      </c>
      <c r="J16" s="128">
        <f>H16</f>
        <v>6552</v>
      </c>
      <c r="K16" s="148">
        <f t="shared" si="1"/>
        <v>6552</v>
      </c>
      <c r="L16" s="128">
        <f t="shared" si="1"/>
        <v>6552</v>
      </c>
      <c r="M16" s="98">
        <f>L16</f>
        <v>6552</v>
      </c>
    </row>
    <row r="17" spans="1:13">
      <c r="A17" s="160" t="s">
        <v>76</v>
      </c>
      <c r="B17" s="167">
        <v>10527</v>
      </c>
      <c r="C17" s="176">
        <v>9052</v>
      </c>
      <c r="D17" s="176">
        <v>11806</v>
      </c>
      <c r="E17" s="176">
        <v>4401</v>
      </c>
      <c r="F17" s="176">
        <v>6101</v>
      </c>
      <c r="G17" s="176">
        <v>7921</v>
      </c>
      <c r="H17" s="190">
        <v>7921</v>
      </c>
      <c r="I17" s="95" t="s">
        <v>265</v>
      </c>
      <c r="J17" s="128">
        <f>H17</f>
        <v>7921</v>
      </c>
      <c r="K17" s="148">
        <f t="shared" si="1"/>
        <v>7921</v>
      </c>
      <c r="L17" s="128">
        <f t="shared" si="1"/>
        <v>7921</v>
      </c>
      <c r="M17" s="98">
        <f>L17</f>
        <v>7921</v>
      </c>
    </row>
    <row r="18" spans="1:13">
      <c r="A18" s="160" t="s">
        <v>78</v>
      </c>
      <c r="B18" s="167">
        <v>1364</v>
      </c>
      <c r="C18" s="176">
        <v>1079</v>
      </c>
      <c r="D18" s="176">
        <v>800</v>
      </c>
      <c r="E18" s="176">
        <v>870</v>
      </c>
      <c r="F18" s="176">
        <v>353</v>
      </c>
      <c r="G18" s="176">
        <v>314</v>
      </c>
      <c r="H18" s="190">
        <v>314</v>
      </c>
      <c r="I18" s="95" t="s">
        <v>265</v>
      </c>
      <c r="J18" s="128">
        <f>H18</f>
        <v>314</v>
      </c>
      <c r="K18" s="148">
        <f t="shared" si="1"/>
        <v>314</v>
      </c>
      <c r="L18" s="128">
        <f t="shared" si="1"/>
        <v>314</v>
      </c>
      <c r="M18" s="98">
        <f>L18</f>
        <v>314</v>
      </c>
    </row>
    <row r="19" spans="1:13">
      <c r="A19" s="160" t="s">
        <v>107</v>
      </c>
      <c r="B19" s="167">
        <v>1731</v>
      </c>
      <c r="C19" s="176">
        <v>1814</v>
      </c>
      <c r="D19" s="176">
        <v>1853</v>
      </c>
      <c r="E19" s="176">
        <v>2082</v>
      </c>
      <c r="F19" s="176">
        <v>2073</v>
      </c>
      <c r="G19" s="176">
        <v>1982</v>
      </c>
      <c r="H19" s="190">
        <f>'Fixed Asset schdeule'!J8</f>
        <v>5137.1629621666289</v>
      </c>
      <c r="I19" s="95" t="s">
        <v>267</v>
      </c>
      <c r="J19" s="128">
        <f>'Fixed Asset schdeule'!K8</f>
        <v>5896.1063588454781</v>
      </c>
      <c r="K19" s="148">
        <f>'Fixed Asset schdeule'!L8</f>
        <v>6676.8539010987051</v>
      </c>
      <c r="L19" s="128">
        <f>'Fixed Asset schdeule'!M8</f>
        <v>7420.3021165582841</v>
      </c>
      <c r="M19" s="98">
        <f>'Fixed Asset schdeule'!N8</f>
        <v>7984.9303704647946</v>
      </c>
    </row>
    <row r="20" spans="1:13">
      <c r="A20" s="160" t="s">
        <v>79</v>
      </c>
      <c r="B20" s="167">
        <v>1594</v>
      </c>
      <c r="C20" s="176">
        <v>1274</v>
      </c>
      <c r="D20" s="176">
        <v>1388</v>
      </c>
      <c r="E20" s="176">
        <v>1449</v>
      </c>
      <c r="F20" s="176">
        <v>1241</v>
      </c>
      <c r="G20" s="176">
        <v>1190</v>
      </c>
      <c r="H20" s="190">
        <v>1190</v>
      </c>
      <c r="I20" s="95" t="s">
        <v>265</v>
      </c>
      <c r="J20" s="128">
        <f>H20</f>
        <v>1190</v>
      </c>
      <c r="K20" s="148">
        <f>J20</f>
        <v>1190</v>
      </c>
      <c r="L20" s="128">
        <f>K20</f>
        <v>1190</v>
      </c>
      <c r="M20" s="98">
        <f>L20</f>
        <v>1190</v>
      </c>
    </row>
    <row r="21" spans="1:13">
      <c r="A21" s="160" t="s">
        <v>80</v>
      </c>
      <c r="B21" s="167">
        <v>71</v>
      </c>
      <c r="C21" s="176">
        <v>1564</v>
      </c>
      <c r="D21" s="176">
        <v>2412</v>
      </c>
      <c r="E21" s="176">
        <v>1874</v>
      </c>
      <c r="F21" s="176">
        <v>1425</v>
      </c>
      <c r="G21" s="176">
        <v>1192</v>
      </c>
      <c r="H21" s="190">
        <f>'Fixed Asset schdeule'!J22</f>
        <v>797.17273580246592</v>
      </c>
      <c r="I21" s="95" t="s">
        <v>267</v>
      </c>
      <c r="J21" s="128">
        <f>'Fixed Asset schdeule'!K22</f>
        <v>615.77942897944581</v>
      </c>
      <c r="K21" s="148">
        <f>'Fixed Asset schdeule'!L22</f>
        <v>475.66140702560568</v>
      </c>
      <c r="L21" s="128">
        <f>'Fixed Asset schdeule'!M22</f>
        <v>367.42665228125225</v>
      </c>
      <c r="M21" s="98">
        <f>'Fixed Asset schdeule'!N22</f>
        <v>283.82026124591783</v>
      </c>
    </row>
    <row r="22" spans="1:13">
      <c r="A22" s="160" t="s">
        <v>81</v>
      </c>
      <c r="B22" s="167">
        <v>167</v>
      </c>
      <c r="C22" s="176">
        <v>6109</v>
      </c>
      <c r="D22" s="176">
        <v>8420</v>
      </c>
      <c r="E22" s="176">
        <v>8263</v>
      </c>
      <c r="F22" s="176">
        <v>8151</v>
      </c>
      <c r="G22" s="176">
        <v>8086</v>
      </c>
      <c r="H22" s="190">
        <v>8086</v>
      </c>
      <c r="I22" s="95" t="s">
        <v>265</v>
      </c>
      <c r="J22" s="128">
        <f>H22</f>
        <v>8086</v>
      </c>
      <c r="K22" s="148">
        <f t="shared" ref="K22:M23" si="2">J22</f>
        <v>8086</v>
      </c>
      <c r="L22" s="128">
        <f t="shared" si="2"/>
        <v>8086</v>
      </c>
      <c r="M22" s="98">
        <f t="shared" si="2"/>
        <v>8086</v>
      </c>
    </row>
    <row r="23" spans="1:13">
      <c r="A23" s="160" t="s">
        <v>82</v>
      </c>
      <c r="B23" s="167">
        <v>88</v>
      </c>
      <c r="C23" s="176">
        <v>124</v>
      </c>
      <c r="D23" s="176">
        <v>397</v>
      </c>
      <c r="E23" s="176">
        <v>518</v>
      </c>
      <c r="F23" s="176">
        <v>1760</v>
      </c>
      <c r="G23" s="176">
        <v>2629</v>
      </c>
      <c r="H23" s="192">
        <v>2629</v>
      </c>
      <c r="I23" s="95" t="s">
        <v>265</v>
      </c>
      <c r="J23" s="128">
        <f>H23</f>
        <v>2629</v>
      </c>
      <c r="K23" s="148">
        <f t="shared" si="2"/>
        <v>2629</v>
      </c>
      <c r="L23" s="128">
        <f t="shared" si="2"/>
        <v>2629</v>
      </c>
      <c r="M23" s="98">
        <f t="shared" si="2"/>
        <v>2629</v>
      </c>
    </row>
    <row r="24" spans="1:13" ht="15" thickBot="1">
      <c r="A24" s="165" t="s">
        <v>83</v>
      </c>
      <c r="B24" s="168">
        <v>31761</v>
      </c>
      <c r="C24" s="178">
        <f t="shared" ref="C24:H24" si="3">SUM(C15:C23)+C14</f>
        <v>33252</v>
      </c>
      <c r="D24" s="177">
        <f t="shared" si="3"/>
        <v>38774</v>
      </c>
      <c r="E24" s="177">
        <f t="shared" si="3"/>
        <v>32109</v>
      </c>
      <c r="F24" s="177">
        <f t="shared" si="3"/>
        <v>38699</v>
      </c>
      <c r="G24" s="177">
        <f t="shared" si="3"/>
        <v>47117</v>
      </c>
      <c r="H24" s="191">
        <f t="shared" si="3"/>
        <v>54550.934355321595</v>
      </c>
      <c r="I24" s="95"/>
      <c r="J24" s="129">
        <f>SUM(J15:J23)+J14</f>
        <v>62407.471422863484</v>
      </c>
      <c r="K24" s="94">
        <f>SUM(K14:K23)</f>
        <v>69645.216940778337</v>
      </c>
      <c r="L24" s="153">
        <f>SUM(L14:L23)</f>
        <v>76535.477849924966</v>
      </c>
      <c r="M24" s="153">
        <f>SUM(M14:M23)</f>
        <v>81779.062047785454</v>
      </c>
    </row>
    <row r="25" spans="1:13" ht="15" thickTop="1">
      <c r="A25" s="159"/>
      <c r="B25" s="167"/>
      <c r="C25" s="176"/>
      <c r="D25" s="176"/>
      <c r="E25" s="176"/>
      <c r="F25" s="176"/>
      <c r="G25" s="176"/>
      <c r="H25" s="190"/>
      <c r="I25" s="95"/>
      <c r="J25" s="124"/>
      <c r="K25" s="145"/>
      <c r="L25" s="124"/>
      <c r="M25" s="98"/>
    </row>
    <row r="26" spans="1:13">
      <c r="A26" s="159" t="s">
        <v>84</v>
      </c>
      <c r="B26" s="167"/>
      <c r="C26" s="176"/>
      <c r="D26" s="176"/>
      <c r="E26" s="176"/>
      <c r="F26" s="176"/>
      <c r="G26" s="176"/>
      <c r="H26" s="190"/>
      <c r="I26" s="95"/>
      <c r="J26" s="124"/>
      <c r="K26" s="145"/>
      <c r="L26" s="124"/>
      <c r="M26" s="98"/>
    </row>
    <row r="27" spans="1:13">
      <c r="A27" s="160" t="s">
        <v>85</v>
      </c>
      <c r="B27" s="167">
        <v>272</v>
      </c>
      <c r="C27" s="176">
        <v>235</v>
      </c>
      <c r="D27" s="176">
        <v>860</v>
      </c>
      <c r="E27" s="176">
        <v>728</v>
      </c>
      <c r="F27" s="176">
        <v>790</v>
      </c>
      <c r="G27" s="176">
        <v>802</v>
      </c>
      <c r="H27" s="190">
        <f>I54</f>
        <v>1228.000291071075</v>
      </c>
      <c r="I27" s="95" t="s">
        <v>268</v>
      </c>
      <c r="J27" s="128">
        <f>J54</f>
        <v>1412.6049534367078</v>
      </c>
      <c r="K27" s="148">
        <f>K54</f>
        <v>1599.6585407445189</v>
      </c>
      <c r="L27" s="125">
        <f>L54</f>
        <v>1777.7758554375196</v>
      </c>
      <c r="M27" s="98">
        <f>M54</f>
        <v>1913.0510047947025</v>
      </c>
    </row>
    <row r="28" spans="1:13">
      <c r="A28" s="160" t="s">
        <v>86</v>
      </c>
      <c r="B28" s="167">
        <v>1121</v>
      </c>
      <c r="C28" s="176">
        <v>1243</v>
      </c>
      <c r="D28" s="176">
        <v>1442</v>
      </c>
      <c r="E28" s="176">
        <v>1692</v>
      </c>
      <c r="F28" s="176">
        <v>2016</v>
      </c>
      <c r="G28" s="176">
        <v>2523</v>
      </c>
      <c r="H28" s="190">
        <v>2523</v>
      </c>
      <c r="I28" s="95" t="s">
        <v>265</v>
      </c>
      <c r="J28" s="128">
        <f>H28</f>
        <v>2523</v>
      </c>
      <c r="K28" s="148">
        <f t="shared" ref="K28:L30" si="4">J28</f>
        <v>2523</v>
      </c>
      <c r="L28" s="128">
        <f t="shared" si="4"/>
        <v>2523</v>
      </c>
      <c r="M28" s="98">
        <f>L28</f>
        <v>2523</v>
      </c>
    </row>
    <row r="29" spans="1:13">
      <c r="A29" s="160" t="s">
        <v>87</v>
      </c>
      <c r="B29" s="167">
        <v>196</v>
      </c>
      <c r="C29" s="176">
        <v>175</v>
      </c>
      <c r="D29" s="176">
        <v>185</v>
      </c>
      <c r="E29" s="176">
        <v>201</v>
      </c>
      <c r="F29" s="176">
        <v>190</v>
      </c>
      <c r="G29" s="176">
        <v>178</v>
      </c>
      <c r="H29" s="190">
        <v>178</v>
      </c>
      <c r="I29" s="95" t="s">
        <v>265</v>
      </c>
      <c r="J29" s="128">
        <f>H29</f>
        <v>178</v>
      </c>
      <c r="K29" s="148">
        <f t="shared" si="4"/>
        <v>178</v>
      </c>
      <c r="L29" s="128">
        <f t="shared" si="4"/>
        <v>178</v>
      </c>
      <c r="M29" s="98">
        <f>L29</f>
        <v>178</v>
      </c>
    </row>
    <row r="30" spans="1:13">
      <c r="A30" s="160" t="s">
        <v>88</v>
      </c>
      <c r="B30" s="167">
        <v>4050</v>
      </c>
      <c r="C30" s="176">
        <v>5112</v>
      </c>
      <c r="D30" s="176">
        <v>6537</v>
      </c>
      <c r="E30" s="176">
        <v>6232</v>
      </c>
      <c r="F30" s="176">
        <v>6458</v>
      </c>
      <c r="G30" s="176">
        <v>7332</v>
      </c>
      <c r="H30" s="190">
        <v>7332</v>
      </c>
      <c r="I30" s="95" t="s">
        <v>265</v>
      </c>
      <c r="J30" s="128">
        <f>H30</f>
        <v>7332</v>
      </c>
      <c r="K30" s="148">
        <f t="shared" si="4"/>
        <v>7332</v>
      </c>
      <c r="L30" s="128">
        <f t="shared" si="4"/>
        <v>7332</v>
      </c>
      <c r="M30" s="98">
        <f>L30</f>
        <v>7332</v>
      </c>
    </row>
    <row r="31" spans="1:13">
      <c r="A31" s="160" t="s">
        <v>89</v>
      </c>
      <c r="B31" s="167">
        <v>0</v>
      </c>
      <c r="C31" s="176">
        <v>100</v>
      </c>
      <c r="D31" s="176">
        <v>0</v>
      </c>
      <c r="E31" s="176">
        <v>0</v>
      </c>
      <c r="F31" s="176">
        <v>0</v>
      </c>
      <c r="G31" s="176">
        <v>0</v>
      </c>
      <c r="H31" s="141">
        <v>0</v>
      </c>
      <c r="I31" s="95"/>
      <c r="J31" s="126">
        <v>0</v>
      </c>
      <c r="K31" s="150">
        <v>0</v>
      </c>
      <c r="L31" s="126">
        <v>0</v>
      </c>
      <c r="M31" s="98">
        <v>0</v>
      </c>
    </row>
    <row r="32" spans="1:13" ht="15" thickBot="1">
      <c r="A32" s="165" t="s">
        <v>90</v>
      </c>
      <c r="B32" s="165">
        <v>5639</v>
      </c>
      <c r="C32" s="177">
        <f t="shared" ref="C32:H32" si="5">SUM(C27:C31)</f>
        <v>6865</v>
      </c>
      <c r="D32" s="177">
        <f t="shared" si="5"/>
        <v>9024</v>
      </c>
      <c r="E32" s="177">
        <f t="shared" si="5"/>
        <v>8853</v>
      </c>
      <c r="F32" s="177">
        <f t="shared" si="5"/>
        <v>9454</v>
      </c>
      <c r="G32" s="177">
        <f t="shared" si="5"/>
        <v>10835</v>
      </c>
      <c r="H32" s="129">
        <f t="shared" si="5"/>
        <v>11261.000291071075</v>
      </c>
      <c r="I32" s="95"/>
      <c r="J32" s="129">
        <f>SUM(J27:J31)</f>
        <v>11445.604953436708</v>
      </c>
      <c r="K32" s="94">
        <f>SUM(K27:K31)</f>
        <v>11632.65854074452</v>
      </c>
      <c r="L32" s="153">
        <f>SUM(L27:L31)</f>
        <v>11810.77585543752</v>
      </c>
      <c r="M32" s="153">
        <f>SUM(M27:M31)</f>
        <v>11946.051004794703</v>
      </c>
    </row>
    <row r="33" spans="1:13" ht="15" thickTop="1">
      <c r="A33" s="160" t="s">
        <v>91</v>
      </c>
      <c r="B33" s="167">
        <v>2297</v>
      </c>
      <c r="C33" s="176">
        <v>2223</v>
      </c>
      <c r="D33" s="176">
        <v>2546</v>
      </c>
      <c r="E33" s="176">
        <v>3028</v>
      </c>
      <c r="F33" s="176">
        <v>4722</v>
      </c>
      <c r="G33" s="176">
        <v>6623</v>
      </c>
      <c r="H33" s="190">
        <v>6623</v>
      </c>
      <c r="I33" s="95" t="s">
        <v>265</v>
      </c>
      <c r="J33" s="128">
        <f>H33</f>
        <v>6623</v>
      </c>
      <c r="K33" s="148">
        <f>J33</f>
        <v>6623</v>
      </c>
      <c r="L33" s="128">
        <f>K33</f>
        <v>6623</v>
      </c>
      <c r="M33" s="98">
        <f>L33</f>
        <v>6623</v>
      </c>
    </row>
    <row r="34" spans="1:13">
      <c r="A34" s="160" t="s">
        <v>92</v>
      </c>
      <c r="B34" s="167">
        <v>5707</v>
      </c>
      <c r="C34" s="176">
        <v>7560</v>
      </c>
      <c r="D34" s="176">
        <v>9276</v>
      </c>
      <c r="E34" s="176">
        <v>9265</v>
      </c>
      <c r="F34" s="176">
        <v>9459</v>
      </c>
      <c r="G34" s="176">
        <v>10986</v>
      </c>
      <c r="H34" s="190">
        <f>'Debt Schedule'!B12</f>
        <v>1175</v>
      </c>
      <c r="I34" s="95" t="s">
        <v>269</v>
      </c>
      <c r="J34" s="124">
        <f>'Debt Schedule'!C12</f>
        <v>1525</v>
      </c>
      <c r="K34" s="145">
        <f>'Debt Schedule'!D12</f>
        <v>1225</v>
      </c>
      <c r="L34" s="124">
        <f>'Debt Schedule'!E12</f>
        <v>1750</v>
      </c>
      <c r="M34" s="98">
        <f>'Debt Schedule'!F12</f>
        <v>0</v>
      </c>
    </row>
    <row r="35" spans="1:13">
      <c r="A35" s="160" t="s">
        <v>93</v>
      </c>
      <c r="B35" s="167">
        <v>1523</v>
      </c>
      <c r="C35" s="176">
        <v>1544</v>
      </c>
      <c r="D35" s="176">
        <v>1644</v>
      </c>
      <c r="E35" s="176">
        <v>1673</v>
      </c>
      <c r="F35" s="176">
        <v>1550</v>
      </c>
      <c r="G35" s="176">
        <v>1496</v>
      </c>
      <c r="H35" s="190">
        <v>1496</v>
      </c>
      <c r="I35" s="95" t="s">
        <v>265</v>
      </c>
      <c r="J35" s="128">
        <f>H35</f>
        <v>1496</v>
      </c>
      <c r="K35" s="148">
        <f>J35</f>
        <v>1496</v>
      </c>
      <c r="L35" s="128">
        <f>K35</f>
        <v>1496</v>
      </c>
      <c r="M35" s="98">
        <f>L35</f>
        <v>1496</v>
      </c>
    </row>
    <row r="36" spans="1:13" ht="15" thickBot="1">
      <c r="A36" s="160" t="s">
        <v>94</v>
      </c>
      <c r="B36" s="167">
        <v>1412</v>
      </c>
      <c r="C36" s="176">
        <v>1306</v>
      </c>
      <c r="D36" s="176">
        <v>935</v>
      </c>
      <c r="E36" s="176">
        <v>786</v>
      </c>
      <c r="F36" s="176">
        <v>832</v>
      </c>
      <c r="G36" s="176">
        <v>638</v>
      </c>
      <c r="H36" s="193">
        <f>'Debt Schedule'!B13</f>
        <v>10424</v>
      </c>
      <c r="I36" s="95" t="s">
        <v>270</v>
      </c>
      <c r="J36" s="124">
        <f>'Debt Schedule'!C13</f>
        <v>8899</v>
      </c>
      <c r="K36" s="145">
        <f>'Debt Schedule'!D13</f>
        <v>7674</v>
      </c>
      <c r="L36" s="124">
        <f>'Debt Schedule'!E13</f>
        <v>5924</v>
      </c>
      <c r="M36" s="98">
        <f>'Debt Schedule'!F13</f>
        <v>5924</v>
      </c>
    </row>
    <row r="37" spans="1:13" ht="15.6" thickTop="1" thickBot="1">
      <c r="A37" s="165" t="s">
        <v>95</v>
      </c>
      <c r="B37" s="165">
        <v>16578</v>
      </c>
      <c r="C37" s="178">
        <f t="shared" ref="C37:H37" si="6">SUM(C32:C36)</f>
        <v>19498</v>
      </c>
      <c r="D37" s="178">
        <f t="shared" si="6"/>
        <v>23425</v>
      </c>
      <c r="E37" s="178">
        <f t="shared" si="6"/>
        <v>23605</v>
      </c>
      <c r="F37" s="178">
        <f t="shared" si="6"/>
        <v>26017</v>
      </c>
      <c r="G37" s="178">
        <f t="shared" si="6"/>
        <v>30578</v>
      </c>
      <c r="H37" s="129">
        <f t="shared" si="6"/>
        <v>30979.000291071075</v>
      </c>
      <c r="I37" s="95"/>
      <c r="J37" s="129">
        <f>SUM(J32:J36)</f>
        <v>29988.604953436708</v>
      </c>
      <c r="K37" s="94">
        <f>SUM(K32:K36)</f>
        <v>28650.65854074452</v>
      </c>
      <c r="L37" s="129">
        <f>SUM(L32:L36)</f>
        <v>27603.775855437518</v>
      </c>
      <c r="M37" s="129">
        <f>SUM(M32:M36)</f>
        <v>25989.051004794703</v>
      </c>
    </row>
    <row r="38" spans="1:13" ht="15" thickTop="1">
      <c r="A38" s="159" t="s">
        <v>96</v>
      </c>
      <c r="B38" s="169">
        <v>311</v>
      </c>
      <c r="C38" s="179">
        <v>787</v>
      </c>
      <c r="D38" s="179">
        <v>204</v>
      </c>
      <c r="E38" s="179">
        <v>430</v>
      </c>
      <c r="F38" s="179">
        <v>654</v>
      </c>
      <c r="G38" s="179">
        <v>946</v>
      </c>
      <c r="H38" s="190">
        <v>946</v>
      </c>
      <c r="I38" s="95"/>
      <c r="J38" s="128">
        <f>H38</f>
        <v>946</v>
      </c>
      <c r="K38" s="148">
        <f>J38</f>
        <v>946</v>
      </c>
      <c r="L38" s="128">
        <f>K38</f>
        <v>946</v>
      </c>
      <c r="M38" s="98">
        <f>L38</f>
        <v>946</v>
      </c>
    </row>
    <row r="39" spans="1:13" ht="72">
      <c r="A39" s="161" t="s">
        <v>97</v>
      </c>
      <c r="B39" s="167">
        <v>0</v>
      </c>
      <c r="C39" s="176">
        <v>0</v>
      </c>
      <c r="D39" s="176">
        <v>0</v>
      </c>
      <c r="E39" s="176">
        <v>0</v>
      </c>
      <c r="F39" s="176">
        <v>0</v>
      </c>
      <c r="G39" s="176">
        <v>0</v>
      </c>
      <c r="H39" s="190">
        <v>0</v>
      </c>
      <c r="I39" s="95"/>
      <c r="J39" s="126">
        <v>0</v>
      </c>
      <c r="K39" s="150">
        <v>0</v>
      </c>
      <c r="L39" s="126">
        <v>0</v>
      </c>
      <c r="M39" s="98">
        <v>0</v>
      </c>
    </row>
    <row r="40" spans="1:13">
      <c r="A40" s="160" t="s">
        <v>99</v>
      </c>
      <c r="B40" s="167">
        <v>0</v>
      </c>
      <c r="C40" s="176">
        <v>0</v>
      </c>
      <c r="D40" s="176"/>
      <c r="E40" s="176"/>
      <c r="F40" s="176"/>
      <c r="G40" s="176"/>
      <c r="H40" s="190"/>
      <c r="I40" s="95"/>
      <c r="J40" s="124"/>
      <c r="K40" s="145"/>
      <c r="L40" s="124"/>
      <c r="M40" s="98"/>
    </row>
    <row r="41" spans="1:13" ht="43.2">
      <c r="A41" s="161" t="s">
        <v>98</v>
      </c>
      <c r="B41" s="167"/>
      <c r="C41" s="176"/>
      <c r="D41" s="176"/>
      <c r="E41" s="176">
        <v>0</v>
      </c>
      <c r="F41" s="176"/>
      <c r="G41" s="176">
        <v>0</v>
      </c>
      <c r="H41" s="190">
        <v>0</v>
      </c>
      <c r="I41" s="95"/>
      <c r="J41" s="126">
        <v>0</v>
      </c>
      <c r="K41" s="150">
        <v>0</v>
      </c>
      <c r="L41" s="126">
        <v>0</v>
      </c>
      <c r="M41" s="98">
        <v>0</v>
      </c>
    </row>
    <row r="42" spans="1:13">
      <c r="A42" s="161"/>
      <c r="B42" s="167">
        <v>0</v>
      </c>
      <c r="C42" s="176">
        <v>0</v>
      </c>
      <c r="D42" s="176"/>
      <c r="E42" s="176"/>
      <c r="F42" s="176"/>
      <c r="G42" s="176"/>
      <c r="H42" s="190"/>
      <c r="I42" s="95"/>
      <c r="J42" s="124"/>
      <c r="K42" s="145"/>
      <c r="L42" s="124"/>
      <c r="M42" s="98"/>
    </row>
    <row r="43" spans="1:13">
      <c r="A43" s="160" t="s">
        <v>100</v>
      </c>
      <c r="B43" s="167">
        <v>30739</v>
      </c>
      <c r="C43" s="176">
        <v>35931</v>
      </c>
      <c r="D43" s="176">
        <v>38608</v>
      </c>
      <c r="E43" s="176">
        <v>40550</v>
      </c>
      <c r="F43" s="176">
        <v>42264</v>
      </c>
      <c r="G43" s="176">
        <v>42825</v>
      </c>
      <c r="H43" s="190">
        <f>42825+CFS!K12</f>
        <v>45058.28</v>
      </c>
      <c r="I43" s="95" t="s">
        <v>271</v>
      </c>
      <c r="J43" s="128">
        <f>(H43+CFS!M12)</f>
        <v>46961.9728921805</v>
      </c>
      <c r="K43" s="148">
        <f>J43+CFS!N12</f>
        <v>49117.747998676059</v>
      </c>
      <c r="L43" s="128">
        <f>K43+IS!S63</f>
        <v>51513.562378098133</v>
      </c>
      <c r="M43" s="98">
        <f>L43+IS!T63</f>
        <v>54091.679912902327</v>
      </c>
    </row>
    <row r="44" spans="1:13">
      <c r="A44" s="160" t="s">
        <v>101</v>
      </c>
      <c r="B44" s="167">
        <v>-187</v>
      </c>
      <c r="C44" s="176">
        <v>-535</v>
      </c>
      <c r="D44" s="176">
        <v>-524</v>
      </c>
      <c r="E44" s="176">
        <v>-443</v>
      </c>
      <c r="F44" s="176">
        <v>-421</v>
      </c>
      <c r="G44" s="176">
        <v>-424</v>
      </c>
      <c r="H44" s="190">
        <f>-424+CFS!K10</f>
        <v>4375.6540642505161</v>
      </c>
      <c r="I44" s="95" t="s">
        <v>272</v>
      </c>
      <c r="J44" s="128">
        <f>(H44+CFS!M10)</f>
        <v>11318.893577246276</v>
      </c>
      <c r="K44" s="148">
        <f>J44+CFS!N10</f>
        <v>17738.810401357769</v>
      </c>
      <c r="L44" s="128">
        <f>K44+CFS!O10</f>
        <v>23280.139616389315</v>
      </c>
      <c r="M44" s="98">
        <f>L44+CFS!P10</f>
        <v>27560.331130088427</v>
      </c>
    </row>
    <row r="45" spans="1:13" ht="15" thickBot="1">
      <c r="A45" s="160" t="s">
        <v>102</v>
      </c>
      <c r="B45" s="167">
        <v>-16362</v>
      </c>
      <c r="C45" s="176">
        <v>-23130</v>
      </c>
      <c r="D45" s="176">
        <v>-23626</v>
      </c>
      <c r="E45" s="176">
        <v>-32767</v>
      </c>
      <c r="F45" s="176">
        <v>-30594</v>
      </c>
      <c r="G45" s="176">
        <v>-27621</v>
      </c>
      <c r="H45" s="193">
        <v>-27621</v>
      </c>
      <c r="I45" s="95" t="s">
        <v>265</v>
      </c>
      <c r="J45" s="128">
        <f>H45</f>
        <v>-27621</v>
      </c>
      <c r="K45" s="148">
        <f>J45</f>
        <v>-27621</v>
      </c>
      <c r="L45" s="128">
        <f>K45</f>
        <v>-27621</v>
      </c>
      <c r="M45" s="98">
        <f>L45</f>
        <v>-27621</v>
      </c>
    </row>
    <row r="46" spans="1:13" ht="15.6" thickTop="1" thickBot="1">
      <c r="A46" s="165" t="s">
        <v>103</v>
      </c>
      <c r="B46" s="168">
        <f>B43+B44+B45</f>
        <v>14190</v>
      </c>
      <c r="C46" s="178">
        <f t="shared" ref="C46:H46" si="7">SUM(C43:C45)</f>
        <v>12266</v>
      </c>
      <c r="D46" s="178">
        <f t="shared" si="7"/>
        <v>14458</v>
      </c>
      <c r="E46" s="178">
        <f t="shared" si="7"/>
        <v>7340</v>
      </c>
      <c r="F46" s="178">
        <f t="shared" si="7"/>
        <v>11249</v>
      </c>
      <c r="G46" s="178">
        <f t="shared" si="7"/>
        <v>14780</v>
      </c>
      <c r="H46" s="190">
        <f t="shared" si="7"/>
        <v>21812.934064250512</v>
      </c>
      <c r="I46" s="95"/>
      <c r="J46" s="129">
        <f>SUM(J43:J45)</f>
        <v>30659.866469426779</v>
      </c>
      <c r="K46" s="94">
        <f>SUM(K43:K45)</f>
        <v>39235.558400033828</v>
      </c>
      <c r="L46" s="129">
        <f>SUM(L43:L45)</f>
        <v>47172.701994487448</v>
      </c>
      <c r="M46" s="129">
        <f>SUM(M43:M45)</f>
        <v>54031.011042990751</v>
      </c>
    </row>
    <row r="47" spans="1:13" ht="15" thickTop="1">
      <c r="A47" s="160" t="s">
        <v>104</v>
      </c>
      <c r="B47" s="167">
        <v>-682</v>
      </c>
      <c r="C47" s="176">
        <v>701</v>
      </c>
      <c r="D47" s="176">
        <v>658</v>
      </c>
      <c r="E47" s="176">
        <v>734</v>
      </c>
      <c r="F47" s="176">
        <v>779</v>
      </c>
      <c r="G47" s="176">
        <v>813</v>
      </c>
      <c r="H47" s="194">
        <v>813</v>
      </c>
      <c r="I47" s="95" t="s">
        <v>265</v>
      </c>
      <c r="J47" s="128">
        <f>H47</f>
        <v>813</v>
      </c>
      <c r="K47" s="148">
        <f>J47</f>
        <v>813</v>
      </c>
      <c r="L47" s="128">
        <f>K47</f>
        <v>813</v>
      </c>
      <c r="M47" s="98">
        <f>L47</f>
        <v>813</v>
      </c>
    </row>
    <row r="48" spans="1:13" s="3" customFormat="1" ht="15" thickBot="1">
      <c r="A48" s="166" t="s">
        <v>105</v>
      </c>
      <c r="B48" s="166">
        <f>B46-B47</f>
        <v>14872</v>
      </c>
      <c r="C48" s="180">
        <f t="shared" ref="C48:H48" si="8">C46+C47</f>
        <v>12967</v>
      </c>
      <c r="D48" s="180">
        <f t="shared" si="8"/>
        <v>15116</v>
      </c>
      <c r="E48" s="180">
        <f t="shared" si="8"/>
        <v>8074</v>
      </c>
      <c r="F48" s="180">
        <f t="shared" si="8"/>
        <v>12028</v>
      </c>
      <c r="G48" s="180">
        <f t="shared" si="8"/>
        <v>15593</v>
      </c>
      <c r="H48" s="191">
        <f t="shared" si="8"/>
        <v>22625.934064250512</v>
      </c>
      <c r="I48" s="96"/>
      <c r="J48" s="142">
        <f>J46+J47</f>
        <v>31472.866469426779</v>
      </c>
      <c r="K48" s="151">
        <f>K46+K47</f>
        <v>40048.558400033828</v>
      </c>
      <c r="L48" s="142">
        <f>L46+L47</f>
        <v>47985.701994487448</v>
      </c>
      <c r="M48" s="98">
        <f>M46+M47</f>
        <v>54844.011042990751</v>
      </c>
    </row>
    <row r="49" spans="1:13" ht="15.6" thickTop="1" thickBot="1">
      <c r="A49" s="165" t="s">
        <v>252</v>
      </c>
      <c r="B49" s="165">
        <v>31761</v>
      </c>
      <c r="C49" s="177">
        <v>33252</v>
      </c>
      <c r="D49" s="177">
        <v>38774</v>
      </c>
      <c r="E49" s="177">
        <v>32109</v>
      </c>
      <c r="F49" s="177">
        <f>F37+F48+F38</f>
        <v>38699</v>
      </c>
      <c r="G49" s="177">
        <f>G37+G48+G38</f>
        <v>47117</v>
      </c>
      <c r="H49" s="195">
        <f>H37+H48+H38</f>
        <v>54550.934355321588</v>
      </c>
      <c r="I49" s="95"/>
      <c r="J49" s="131">
        <f>J37+J38+J48</f>
        <v>62407.471422863484</v>
      </c>
      <c r="K49" s="152">
        <f>K37+K38+K48</f>
        <v>69645.216940778351</v>
      </c>
      <c r="L49" s="131">
        <f>L37+L38+L48</f>
        <v>76535.477849924966</v>
      </c>
      <c r="M49" s="131">
        <f>M37+M38+M48</f>
        <v>81779.062047785454</v>
      </c>
    </row>
    <row r="50" spans="1:13" ht="15" thickTop="1">
      <c r="A50" s="162" t="s">
        <v>113</v>
      </c>
      <c r="B50" s="170">
        <f t="shared" ref="B50:H50" si="9">B49-B24</f>
        <v>0</v>
      </c>
      <c r="C50" s="181">
        <f t="shared" si="9"/>
        <v>0</v>
      </c>
      <c r="D50" s="181">
        <f t="shared" si="9"/>
        <v>0</v>
      </c>
      <c r="E50" s="181">
        <f t="shared" si="9"/>
        <v>0</v>
      </c>
      <c r="F50" s="181">
        <f t="shared" si="9"/>
        <v>0</v>
      </c>
      <c r="G50" s="181">
        <f t="shared" si="9"/>
        <v>0</v>
      </c>
      <c r="H50" s="196">
        <f t="shared" si="9"/>
        <v>0</v>
      </c>
      <c r="I50" s="95"/>
      <c r="J50" s="132">
        <f>J49-J24</f>
        <v>0</v>
      </c>
      <c r="K50" s="155">
        <f>K49-K24</f>
        <v>0</v>
      </c>
      <c r="L50" s="130">
        <f>L49-L24</f>
        <v>0</v>
      </c>
      <c r="M50" s="130">
        <f>M49-M24</f>
        <v>0</v>
      </c>
    </row>
    <row r="51" spans="1:13" ht="43.2">
      <c r="A51" s="160"/>
      <c r="B51" s="219" t="s">
        <v>106</v>
      </c>
      <c r="C51" s="218" t="s">
        <v>108</v>
      </c>
      <c r="D51" s="218" t="s">
        <v>291</v>
      </c>
      <c r="E51" s="218" t="s">
        <v>292</v>
      </c>
      <c r="F51" s="218" t="s">
        <v>293</v>
      </c>
      <c r="G51" s="175"/>
      <c r="H51" s="197"/>
      <c r="I51" s="95"/>
    </row>
    <row r="52" spans="1:13">
      <c r="A52" s="160"/>
      <c r="B52" s="160"/>
      <c r="C52" s="175"/>
      <c r="D52" s="175"/>
      <c r="E52" s="175"/>
      <c r="F52" s="175"/>
      <c r="G52" s="182" t="s">
        <v>255</v>
      </c>
      <c r="H52" s="197"/>
      <c r="I52" s="97"/>
    </row>
    <row r="53" spans="1:13">
      <c r="A53" s="160"/>
      <c r="B53" s="160"/>
      <c r="C53" s="175"/>
      <c r="D53" s="175"/>
      <c r="E53" s="175"/>
      <c r="F53" s="175"/>
      <c r="G53" s="175"/>
      <c r="H53" s="197"/>
      <c r="I53" s="97" t="s">
        <v>277</v>
      </c>
    </row>
    <row r="54" spans="1:13">
      <c r="A54" s="160" t="s">
        <v>263</v>
      </c>
      <c r="B54" s="171">
        <f t="shared" ref="B54:G54" si="10">B27</f>
        <v>272</v>
      </c>
      <c r="C54" s="183">
        <f t="shared" si="10"/>
        <v>235</v>
      </c>
      <c r="D54" s="183">
        <f t="shared" si="10"/>
        <v>860</v>
      </c>
      <c r="E54" s="183">
        <f t="shared" si="10"/>
        <v>728</v>
      </c>
      <c r="F54" s="183">
        <f t="shared" si="10"/>
        <v>790</v>
      </c>
      <c r="G54" s="183">
        <f t="shared" si="10"/>
        <v>802</v>
      </c>
      <c r="H54" s="197"/>
      <c r="I54" s="205">
        <f>I55*IS!P7/365</f>
        <v>1228.000291071075</v>
      </c>
      <c r="J54" s="207">
        <f>J55*IS!Q7/365</f>
        <v>1412.6049534367078</v>
      </c>
      <c r="K54" s="208">
        <f>K55*IS!R7/365</f>
        <v>1599.6585407445189</v>
      </c>
      <c r="L54" s="208">
        <f>L55*IS!S7/365</f>
        <v>1777.7758554375196</v>
      </c>
      <c r="M54" s="208">
        <f>M55*IS!T7/365</f>
        <v>1913.0510047947025</v>
      </c>
    </row>
    <row r="55" spans="1:13">
      <c r="A55" s="160" t="s">
        <v>276</v>
      </c>
      <c r="B55" s="172">
        <f>BS!B54/IS!B7*365</f>
        <v>16.38013529120607</v>
      </c>
      <c r="C55" s="184">
        <f>BS!C54/IS!C7*365</f>
        <v>16.642413659293751</v>
      </c>
      <c r="D55" s="184">
        <f>BS!D54/IS!D7*365</f>
        <v>33.568602288525291</v>
      </c>
      <c r="E55" s="184">
        <f>BS!E54/IS!E7*365</f>
        <v>13.51645556742459</v>
      </c>
      <c r="F55" s="184">
        <f>BS!F54/IS!J7*365</f>
        <v>12.840094402636149</v>
      </c>
      <c r="G55" s="184">
        <f>BS!G54/IS!O7*365</f>
        <v>40.46585568150401</v>
      </c>
      <c r="H55" s="198"/>
      <c r="I55" s="206">
        <f>AVERAGE(B55:F55)</f>
        <v>18.589540241817172</v>
      </c>
      <c r="J55" s="206">
        <f>I55</f>
        <v>18.589540241817172</v>
      </c>
      <c r="K55" s="206">
        <f>J55</f>
        <v>18.589540241817172</v>
      </c>
      <c r="L55" s="206">
        <f>K55</f>
        <v>18.589540241817172</v>
      </c>
      <c r="M55" s="206">
        <f>L55</f>
        <v>18.589540241817172</v>
      </c>
    </row>
    <row r="56" spans="1:13">
      <c r="A56" s="163"/>
      <c r="B56" s="163"/>
      <c r="C56" s="154"/>
      <c r="D56" s="154"/>
      <c r="E56" s="154"/>
      <c r="F56" s="154"/>
      <c r="G56" s="154"/>
      <c r="H56" s="199"/>
      <c r="I56" s="25"/>
    </row>
    <row r="57" spans="1:13">
      <c r="A57" s="163"/>
      <c r="B57" s="163"/>
      <c r="C57" s="154"/>
      <c r="D57" s="154"/>
      <c r="E57" s="154"/>
      <c r="F57" s="154"/>
      <c r="G57" s="154"/>
      <c r="H57" s="199"/>
      <c r="I57" s="25"/>
    </row>
    <row r="58" spans="1:13">
      <c r="A58" s="163"/>
      <c r="B58" s="163"/>
      <c r="C58" s="154"/>
      <c r="D58" s="154"/>
      <c r="E58" s="154"/>
      <c r="F58" s="154"/>
      <c r="G58" s="154"/>
      <c r="H58" s="154"/>
      <c r="I58" s="25"/>
    </row>
    <row r="59" spans="1:13">
      <c r="A59" s="163"/>
      <c r="B59" s="163"/>
      <c r="C59" s="154"/>
      <c r="D59" s="154"/>
      <c r="E59" s="154"/>
      <c r="F59" s="154"/>
      <c r="G59" s="154"/>
      <c r="H59" s="154"/>
      <c r="I59" s="25"/>
    </row>
    <row r="60" spans="1:13">
      <c r="A60" s="163"/>
      <c r="B60" s="163"/>
      <c r="C60" s="154"/>
      <c r="D60" s="154"/>
      <c r="E60" s="154"/>
      <c r="F60" s="154"/>
      <c r="G60" s="154"/>
      <c r="H60" s="154"/>
      <c r="I60" s="25"/>
    </row>
    <row r="61" spans="1:13">
      <c r="A61" s="163" t="s">
        <v>261</v>
      </c>
      <c r="B61" s="163"/>
      <c r="C61" s="154"/>
      <c r="D61" s="154"/>
      <c r="E61" s="154"/>
      <c r="F61" s="154"/>
      <c r="G61" s="154"/>
      <c r="H61" s="154"/>
      <c r="I61" s="97" t="s">
        <v>278</v>
      </c>
    </row>
    <row r="62" spans="1:13">
      <c r="A62" s="164" t="s">
        <v>262</v>
      </c>
      <c r="B62" s="173">
        <f t="shared" ref="B62:G62" si="11">B11</f>
        <v>1214</v>
      </c>
      <c r="C62" s="185">
        <f t="shared" si="11"/>
        <v>1073</v>
      </c>
      <c r="D62" s="185">
        <f t="shared" si="11"/>
        <v>2439</v>
      </c>
      <c r="E62" s="185">
        <f t="shared" si="11"/>
        <v>2779</v>
      </c>
      <c r="F62" s="185">
        <f t="shared" si="11"/>
        <v>3404</v>
      </c>
      <c r="G62" s="185">
        <f t="shared" si="11"/>
        <v>3719</v>
      </c>
      <c r="H62" s="200">
        <f>H63*IS!P4/365</f>
        <v>4463.4766614682794</v>
      </c>
      <c r="I62" s="102"/>
      <c r="J62" s="209">
        <f>J63*IS!Q4/365</f>
        <v>5122.892405800204</v>
      </c>
      <c r="K62" s="211">
        <f>K63*IS!R4/365</f>
        <v>5801.2529053620565</v>
      </c>
      <c r="L62" s="211">
        <f>L63*IS!S4/365</f>
        <v>6447.2055027689594</v>
      </c>
      <c r="M62" s="104">
        <f>M63*IS!T4/365</f>
        <v>6937.7885448639272</v>
      </c>
    </row>
    <row r="63" spans="1:13">
      <c r="A63" s="164" t="s">
        <v>287</v>
      </c>
      <c r="B63" s="174">
        <f>BS!B62/IS!B4*365</f>
        <v>34.085384615384619</v>
      </c>
      <c r="C63" s="186">
        <f>BS!C62/IS!C4*365</f>
        <v>35.159798904749081</v>
      </c>
      <c r="D63" s="186">
        <f>BS!D62/IS!D4*365</f>
        <v>51.001718705242048</v>
      </c>
      <c r="E63" s="186">
        <f>BS!E62/IS!E4*365</f>
        <v>31.820277943344731</v>
      </c>
      <c r="F63" s="186">
        <f>BS!F62/IS!J4*365</f>
        <v>33.326895737775274</v>
      </c>
      <c r="G63" s="186">
        <f>365/IS!O4*BS!G62</f>
        <v>113.88832955784882</v>
      </c>
      <c r="H63" s="201">
        <f>AVERAGE(B63:F63)</f>
        <v>37.078815181299149</v>
      </c>
      <c r="I63" s="103"/>
      <c r="J63" s="210">
        <f>H63</f>
        <v>37.078815181299149</v>
      </c>
      <c r="K63" s="201">
        <f>J63</f>
        <v>37.078815181299149</v>
      </c>
      <c r="L63" s="211">
        <f>K63</f>
        <v>37.078815181299149</v>
      </c>
      <c r="M63" s="104">
        <f>L63</f>
        <v>37.078815181299149</v>
      </c>
    </row>
    <row r="64" spans="1:13">
      <c r="A64" s="187"/>
      <c r="B64" s="188"/>
      <c r="C64" s="122"/>
      <c r="D64" s="122"/>
      <c r="E64" s="122"/>
      <c r="F64" s="122"/>
      <c r="G64" s="122"/>
      <c r="H64" s="202"/>
      <c r="I64" s="25"/>
      <c r="J64" s="25"/>
      <c r="K64" s="25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FEB4A-A822-4791-A3A5-89EAF3E7FE7A}">
  <dimension ref="A5:P84"/>
  <sheetViews>
    <sheetView topLeftCell="G16" workbookViewId="0">
      <selection activeCell="L43" sqref="L43"/>
    </sheetView>
  </sheetViews>
  <sheetFormatPr defaultRowHeight="14.4"/>
  <cols>
    <col min="1" max="1" width="86.33203125" bestFit="1" customWidth="1"/>
    <col min="2" max="2" width="14.33203125" customWidth="1"/>
    <col min="3" max="3" width="15.88671875" customWidth="1"/>
    <col min="4" max="4" width="11.88671875" customWidth="1"/>
    <col min="5" max="5" width="15.6640625" customWidth="1"/>
    <col min="6" max="6" width="15.5546875" customWidth="1"/>
    <col min="10" max="10" width="46.88671875" bestFit="1" customWidth="1"/>
    <col min="11" max="11" width="9.5546875" bestFit="1" customWidth="1"/>
    <col min="12" max="12" width="33.21875" bestFit="1" customWidth="1"/>
    <col min="16" max="16" width="10.5546875" bestFit="1" customWidth="1"/>
  </cols>
  <sheetData>
    <row r="5" spans="1:16">
      <c r="B5" t="s">
        <v>114</v>
      </c>
    </row>
    <row r="6" spans="1:16" ht="18">
      <c r="A6" s="32" t="s">
        <v>285</v>
      </c>
      <c r="B6" s="26">
        <v>2019</v>
      </c>
      <c r="C6" s="26">
        <v>2020</v>
      </c>
      <c r="D6" s="26">
        <v>2021</v>
      </c>
      <c r="E6" s="26">
        <v>2022</v>
      </c>
      <c r="F6" s="26">
        <v>2023</v>
      </c>
      <c r="J6" s="157" t="s">
        <v>226</v>
      </c>
      <c r="K6" s="569">
        <v>2024</v>
      </c>
      <c r="L6" s="106" t="s">
        <v>284</v>
      </c>
      <c r="M6" s="123"/>
      <c r="N6" s="140"/>
      <c r="O6" s="121"/>
      <c r="P6" s="121"/>
    </row>
    <row r="7" spans="1:16" ht="15.6">
      <c r="A7" s="212" t="s">
        <v>115</v>
      </c>
      <c r="B7" s="154"/>
      <c r="C7" s="154"/>
      <c r="D7" s="154"/>
      <c r="E7" s="154"/>
      <c r="F7" s="154"/>
      <c r="J7" s="156" t="s">
        <v>286</v>
      </c>
      <c r="K7" s="569"/>
      <c r="L7" s="105"/>
      <c r="M7" s="121">
        <v>2025</v>
      </c>
      <c r="N7" s="121">
        <v>2026</v>
      </c>
      <c r="O7" s="121">
        <v>2027</v>
      </c>
      <c r="P7" s="121">
        <v>2028</v>
      </c>
    </row>
    <row r="8" spans="1:16">
      <c r="A8" s="154"/>
      <c r="B8" s="154"/>
      <c r="C8" s="154"/>
      <c r="D8" s="154"/>
      <c r="E8" s="154"/>
      <c r="F8" s="154"/>
      <c r="J8" s="46"/>
      <c r="M8" s="122"/>
      <c r="N8" s="122"/>
      <c r="O8" s="122"/>
      <c r="P8" s="122"/>
    </row>
    <row r="9" spans="1:16">
      <c r="A9" s="154" t="s">
        <v>116</v>
      </c>
      <c r="B9" s="214">
        <v>-8512</v>
      </c>
      <c r="C9" s="214">
        <v>-6788</v>
      </c>
      <c r="D9" s="154">
        <v>-570</v>
      </c>
      <c r="E9" s="154">
        <v>-9138</v>
      </c>
      <c r="F9" s="154">
        <v>2156</v>
      </c>
      <c r="J9" s="107" t="s">
        <v>227</v>
      </c>
      <c r="K9" s="119"/>
      <c r="L9" s="105"/>
      <c r="M9" s="119"/>
      <c r="N9" s="119"/>
      <c r="O9" s="113"/>
      <c r="P9" s="113"/>
    </row>
    <row r="10" spans="1:16">
      <c r="A10" s="154" t="s">
        <v>117</v>
      </c>
      <c r="B10" s="154"/>
      <c r="C10" s="154"/>
      <c r="D10" s="154"/>
      <c r="E10" s="154"/>
      <c r="F10" s="154"/>
      <c r="J10" s="108" t="s">
        <v>228</v>
      </c>
      <c r="K10" s="114">
        <f>IS!P28</f>
        <v>4799.6540642505161</v>
      </c>
      <c r="L10" s="105" t="s">
        <v>279</v>
      </c>
      <c r="M10" s="113">
        <f>IS!Q28</f>
        <v>6943.2395129957604</v>
      </c>
      <c r="N10" s="113">
        <f>IS!R28</f>
        <v>6419.916824111493</v>
      </c>
      <c r="O10" s="115">
        <f>IS!S28</f>
        <v>5541.3292150315456</v>
      </c>
      <c r="P10" s="115">
        <f>IS!T28</f>
        <v>4280.191513699112</v>
      </c>
    </row>
    <row r="11" spans="1:16">
      <c r="A11" s="154"/>
      <c r="B11" s="154"/>
      <c r="C11" s="154"/>
      <c r="D11" s="154"/>
      <c r="E11" s="154"/>
      <c r="F11" s="154"/>
      <c r="J11" s="108" t="s">
        <v>229</v>
      </c>
      <c r="K11" s="114">
        <f>'Fixed Asset schdeule'!J7+'Fixed Asset schdeule'!J21</f>
        <v>1258.7670511145029</v>
      </c>
      <c r="L11" s="105" t="s">
        <v>280</v>
      </c>
      <c r="M11" s="114">
        <f>'Fixed Asset schdeule'!K7+'Fixed Asset schdeule'!K21</f>
        <v>1356.6057603072236</v>
      </c>
      <c r="N11" s="114">
        <f>'Fixed Asset schdeule'!L7+'Fixed Asset schdeule'!L21</f>
        <v>1470.9491462760714</v>
      </c>
      <c r="O11" s="115">
        <f>'Fixed Asset schdeule'!M7+'Fixed Asset schdeule'!M21</f>
        <v>1587.2500447097204</v>
      </c>
      <c r="P11" s="115">
        <f>'Fixed Asset schdeule'!N7+'Fixed Asset schdeule'!N21</f>
        <v>1675.1634357104833</v>
      </c>
    </row>
    <row r="12" spans="1:16">
      <c r="A12" s="154" t="s">
        <v>35</v>
      </c>
      <c r="B12" s="154">
        <v>472</v>
      </c>
      <c r="C12" s="154">
        <v>575</v>
      </c>
      <c r="D12" s="154">
        <v>902</v>
      </c>
      <c r="E12" s="154">
        <v>947</v>
      </c>
      <c r="F12" s="154">
        <v>823</v>
      </c>
      <c r="J12" s="108" t="s">
        <v>230</v>
      </c>
      <c r="K12" s="114">
        <f>IS!P63</f>
        <v>2233.2800000000002</v>
      </c>
      <c r="L12" s="105" t="s">
        <v>279</v>
      </c>
      <c r="M12" s="114">
        <f>IS!Q63</f>
        <v>1903.692892180499</v>
      </c>
      <c r="N12" s="114">
        <f>IS!R63</f>
        <v>2155.7751064955569</v>
      </c>
      <c r="O12" s="115">
        <f>IS!S63</f>
        <v>2395.8143794220732</v>
      </c>
      <c r="P12" s="115">
        <f>IS!T63</f>
        <v>2578.1175348041929</v>
      </c>
    </row>
    <row r="13" spans="1:16">
      <c r="A13" s="154" t="s">
        <v>118</v>
      </c>
      <c r="B13" s="154">
        <v>92</v>
      </c>
      <c r="C13" s="154">
        <v>76</v>
      </c>
      <c r="D13" s="154">
        <v>109</v>
      </c>
      <c r="E13" s="154">
        <v>114</v>
      </c>
      <c r="F13" s="154">
        <v>92</v>
      </c>
      <c r="J13" s="109" t="s">
        <v>231</v>
      </c>
      <c r="K13" s="113"/>
      <c r="L13" s="105"/>
      <c r="M13" s="113"/>
      <c r="N13" s="113"/>
      <c r="O13" s="113"/>
      <c r="P13" s="113"/>
    </row>
    <row r="14" spans="1:16">
      <c r="A14" s="154" t="s">
        <v>119</v>
      </c>
      <c r="B14" s="154">
        <v>4596</v>
      </c>
      <c r="C14" s="154">
        <v>827</v>
      </c>
      <c r="D14" s="154">
        <v>1168</v>
      </c>
      <c r="E14" s="154">
        <v>1793</v>
      </c>
      <c r="F14" s="154">
        <v>1935</v>
      </c>
      <c r="J14" s="110" t="s">
        <v>232</v>
      </c>
      <c r="K14" s="115">
        <f>BS!G11-BS!H11</f>
        <v>-744.47666146827942</v>
      </c>
      <c r="L14" s="105" t="s">
        <v>273</v>
      </c>
      <c r="M14" s="115">
        <f>BS!H11-BS!J11</f>
        <v>-659.41574433192454</v>
      </c>
      <c r="N14" s="115">
        <f>BS!J11-BS!K11</f>
        <v>-678.36049956185252</v>
      </c>
      <c r="O14" s="115">
        <f>BS!K11-BS!L11</f>
        <v>-645.9525974069029</v>
      </c>
      <c r="P14" s="115">
        <f>BS!L11-BS!M11</f>
        <v>-490.58304209496782</v>
      </c>
    </row>
    <row r="15" spans="1:16">
      <c r="A15" s="154" t="s">
        <v>120</v>
      </c>
      <c r="B15" s="154">
        <v>-444</v>
      </c>
      <c r="C15" s="154">
        <v>0</v>
      </c>
      <c r="D15" s="154">
        <v>0</v>
      </c>
      <c r="E15" s="154"/>
      <c r="F15" s="154"/>
      <c r="J15" s="108" t="s">
        <v>233</v>
      </c>
      <c r="K15" s="113"/>
      <c r="L15" s="105"/>
      <c r="M15" s="113"/>
      <c r="N15" s="113"/>
      <c r="O15" s="113"/>
      <c r="P15" s="113"/>
    </row>
    <row r="16" spans="1:16">
      <c r="A16" s="154" t="s">
        <v>121</v>
      </c>
      <c r="B16" s="154">
        <v>0</v>
      </c>
      <c r="C16" s="154">
        <v>0</v>
      </c>
      <c r="D16" s="154">
        <v>-413</v>
      </c>
      <c r="E16" s="154">
        <v>0</v>
      </c>
      <c r="F16" s="154">
        <v>74</v>
      </c>
      <c r="J16" s="108" t="s">
        <v>234</v>
      </c>
      <c r="K16" s="113"/>
      <c r="L16" s="105"/>
      <c r="M16" s="113"/>
      <c r="N16" s="113"/>
      <c r="O16" s="113"/>
      <c r="P16" s="113"/>
    </row>
    <row r="17" spans="1:16">
      <c r="A17" s="154" t="s">
        <v>122</v>
      </c>
      <c r="B17" s="154">
        <v>0</v>
      </c>
      <c r="C17" s="154">
        <v>-204</v>
      </c>
      <c r="D17" s="154">
        <v>-1684</v>
      </c>
      <c r="E17" s="154">
        <v>-14</v>
      </c>
      <c r="F17" s="154">
        <v>-204</v>
      </c>
      <c r="J17" s="108" t="s">
        <v>235</v>
      </c>
      <c r="K17" s="115">
        <f>-(BS!G27-BS!H27)</f>
        <v>426.00029107107503</v>
      </c>
      <c r="L17" s="105" t="s">
        <v>273</v>
      </c>
      <c r="M17" s="115">
        <f>-(BS!H27-BS!J27)</f>
        <v>184.60466236563275</v>
      </c>
      <c r="N17" s="115">
        <f>-(BS!J27-BS!K27)</f>
        <v>187.05358730781109</v>
      </c>
      <c r="O17" s="144">
        <f>-(BS!K27-BS!L27)</f>
        <v>178.11731469300071</v>
      </c>
      <c r="P17" s="118">
        <f>-(BS!L27-BS!M27)</f>
        <v>135.27514935718295</v>
      </c>
    </row>
    <row r="18" spans="1:16">
      <c r="A18" s="154" t="s">
        <v>123</v>
      </c>
      <c r="B18" s="154">
        <v>-88</v>
      </c>
      <c r="C18" s="154">
        <v>-266</v>
      </c>
      <c r="D18" s="154">
        <v>-692</v>
      </c>
      <c r="E18" s="154">
        <v>-441</v>
      </c>
      <c r="F18" s="154">
        <v>26</v>
      </c>
      <c r="J18" s="111"/>
      <c r="K18" s="113"/>
      <c r="L18" s="105"/>
      <c r="M18" s="113"/>
      <c r="N18" s="113"/>
      <c r="O18" s="113"/>
      <c r="P18" s="113"/>
    </row>
    <row r="19" spans="1:16" ht="15" thickBot="1">
      <c r="A19" s="154" t="s">
        <v>124</v>
      </c>
      <c r="B19" s="154">
        <v>0</v>
      </c>
      <c r="C19" s="154">
        <v>1690</v>
      </c>
      <c r="D19" s="154">
        <v>0</v>
      </c>
      <c r="E19" s="154"/>
      <c r="F19" s="154"/>
      <c r="J19" s="107" t="s">
        <v>236</v>
      </c>
      <c r="K19" s="116">
        <f>SUM(K10:K17)</f>
        <v>7973.2247449678162</v>
      </c>
      <c r="L19" s="105"/>
      <c r="M19" s="116">
        <f>SUM(M10:M17)</f>
        <v>9728.7270835171912</v>
      </c>
      <c r="N19" s="116">
        <f>SUM(N10:N17)</f>
        <v>9555.3341646290792</v>
      </c>
      <c r="O19" s="116">
        <f>SUM(O10:O17)</f>
        <v>9056.5583564494373</v>
      </c>
      <c r="P19" s="116">
        <f>SUM(P10:P17)</f>
        <v>8178.1645914760029</v>
      </c>
    </row>
    <row r="20" spans="1:16" ht="15" thickTop="1">
      <c r="A20" s="154" t="s">
        <v>125</v>
      </c>
      <c r="B20" s="154">
        <v>0</v>
      </c>
      <c r="C20" s="154">
        <v>404</v>
      </c>
      <c r="D20" s="154">
        <v>116</v>
      </c>
      <c r="E20" s="154">
        <v>28</v>
      </c>
      <c r="F20" s="154">
        <v>86</v>
      </c>
      <c r="J20" s="111"/>
      <c r="K20" s="113"/>
      <c r="L20" s="105" t="s">
        <v>281</v>
      </c>
      <c r="M20" s="113"/>
      <c r="N20" s="113"/>
      <c r="O20" s="113"/>
      <c r="P20" s="113"/>
    </row>
    <row r="21" spans="1:16">
      <c r="A21" s="154" t="s">
        <v>126</v>
      </c>
      <c r="B21" s="154">
        <v>34</v>
      </c>
      <c r="C21" s="154">
        <v>34</v>
      </c>
      <c r="D21" s="154">
        <v>37</v>
      </c>
      <c r="E21" s="154">
        <v>182</v>
      </c>
      <c r="F21" s="154">
        <v>0</v>
      </c>
      <c r="J21" s="107" t="s">
        <v>237</v>
      </c>
      <c r="K21" s="113"/>
      <c r="L21" s="105"/>
      <c r="M21" s="113"/>
      <c r="N21" s="113"/>
      <c r="O21" s="113"/>
      <c r="P21" s="113"/>
    </row>
    <row r="22" spans="1:16">
      <c r="A22" s="154" t="s">
        <v>127</v>
      </c>
      <c r="B22" s="154">
        <v>-2</v>
      </c>
      <c r="C22" s="154">
        <v>125</v>
      </c>
      <c r="D22" s="154">
        <v>-1142</v>
      </c>
      <c r="E22" s="154">
        <v>-107</v>
      </c>
      <c r="F22" s="154">
        <v>-48</v>
      </c>
      <c r="J22" s="108" t="s">
        <v>238</v>
      </c>
      <c r="K22" s="115">
        <f>-'Fixed Asset schdeule'!J5-'Fixed Asset schdeule'!J19</f>
        <v>-4019.1027490835977</v>
      </c>
      <c r="L22" s="105"/>
      <c r="M22" s="115">
        <f>-'Fixed Asset schdeule'!K5-'Fixed Asset schdeule'!K19</f>
        <v>-1934.1558501630525</v>
      </c>
      <c r="N22" s="115">
        <f>-'Fixed Asset schdeule'!L5-'Fixed Asset schdeule'!L19</f>
        <v>-2111.5786665754586</v>
      </c>
      <c r="O22" s="115">
        <f>-'Fixed Asset schdeule'!M5-'Fixed Asset schdeule'!M19</f>
        <v>-2222.4635054249457</v>
      </c>
      <c r="P22" s="115">
        <f>-'Fixed Asset schdeule'!N5-'Fixed Asset schdeule'!N19</f>
        <v>-2156.1852985816595</v>
      </c>
    </row>
    <row r="23" spans="1:16">
      <c r="A23" s="154" t="s">
        <v>128</v>
      </c>
      <c r="B23" s="154">
        <v>16</v>
      </c>
      <c r="C23" s="154">
        <v>48</v>
      </c>
      <c r="D23" s="154">
        <v>38</v>
      </c>
      <c r="E23" s="154">
        <v>7045</v>
      </c>
      <c r="F23" s="154">
        <v>-1610</v>
      </c>
      <c r="J23" s="111"/>
      <c r="K23" s="113"/>
      <c r="L23" s="105"/>
      <c r="M23" s="113"/>
      <c r="N23" s="113"/>
      <c r="O23" s="113"/>
      <c r="P23" s="113"/>
    </row>
    <row r="24" spans="1:16" ht="15" thickBot="1">
      <c r="A24" s="154" t="s">
        <v>129</v>
      </c>
      <c r="B24" s="154">
        <v>15</v>
      </c>
      <c r="C24" s="154">
        <v>2</v>
      </c>
      <c r="D24" s="154">
        <v>4</v>
      </c>
      <c r="E24" s="154">
        <v>-7</v>
      </c>
      <c r="F24" s="154">
        <v>-48</v>
      </c>
      <c r="J24" s="107" t="s">
        <v>239</v>
      </c>
      <c r="K24" s="117">
        <f>K22</f>
        <v>-4019.1027490835977</v>
      </c>
      <c r="L24" s="105"/>
      <c r="M24" s="117">
        <f>M22</f>
        <v>-1934.1558501630525</v>
      </c>
      <c r="N24" s="117">
        <f>N22</f>
        <v>-2111.5786665754586</v>
      </c>
      <c r="O24" s="117">
        <f>O22</f>
        <v>-2222.4635054249457</v>
      </c>
      <c r="P24" s="117">
        <f>P22</f>
        <v>-2156.1852985816595</v>
      </c>
    </row>
    <row r="25" spans="1:16" ht="15" thickTop="1">
      <c r="A25" s="154" t="s">
        <v>130</v>
      </c>
      <c r="B25" s="154"/>
      <c r="C25" s="154"/>
      <c r="D25" s="154"/>
      <c r="E25" s="154"/>
      <c r="F25" s="154"/>
      <c r="J25" s="111"/>
      <c r="K25" s="113"/>
      <c r="L25" s="105"/>
      <c r="M25" s="113"/>
      <c r="N25" s="113"/>
      <c r="O25" s="113"/>
      <c r="P25" s="113"/>
    </row>
    <row r="26" spans="1:16">
      <c r="A26" s="154"/>
      <c r="B26" s="154"/>
      <c r="C26" s="154"/>
      <c r="D26" s="154"/>
      <c r="E26" s="154"/>
      <c r="F26" s="154"/>
      <c r="J26" s="107" t="s">
        <v>240</v>
      </c>
      <c r="K26" s="113"/>
      <c r="L26" s="105"/>
      <c r="M26" s="113"/>
      <c r="N26" s="113"/>
      <c r="O26" s="113"/>
      <c r="P26" s="113"/>
    </row>
    <row r="27" spans="1:16">
      <c r="A27" s="154" t="s">
        <v>131</v>
      </c>
      <c r="B27" s="154">
        <v>-407</v>
      </c>
      <c r="C27" s="154">
        <v>142</v>
      </c>
      <c r="D27" s="154">
        <v>-597</v>
      </c>
      <c r="E27" s="154">
        <v>-542</v>
      </c>
      <c r="F27" s="154">
        <v>-758</v>
      </c>
      <c r="J27" s="108" t="s">
        <v>241</v>
      </c>
      <c r="K27" s="113"/>
      <c r="L27" s="105"/>
      <c r="M27" s="113"/>
      <c r="N27" s="113"/>
      <c r="O27" s="113"/>
      <c r="P27" s="113"/>
    </row>
    <row r="28" spans="1:16">
      <c r="A28" s="154" t="s">
        <v>132</v>
      </c>
      <c r="B28" s="154">
        <v>-478</v>
      </c>
      <c r="C28" s="154">
        <v>94</v>
      </c>
      <c r="D28" s="154">
        <v>-236</v>
      </c>
      <c r="E28" s="154">
        <v>-196</v>
      </c>
      <c r="F28" s="154">
        <v>-1462</v>
      </c>
      <c r="J28" s="112" t="s">
        <v>242</v>
      </c>
      <c r="K28" s="118">
        <f>K19+K24+K27</f>
        <v>3954.1219958842184</v>
      </c>
      <c r="L28" s="105"/>
      <c r="M28" s="118">
        <f>M19+M24+M27</f>
        <v>7794.5712333541387</v>
      </c>
      <c r="N28" s="118">
        <f>N19+N24+N27</f>
        <v>7443.7554980536206</v>
      </c>
      <c r="O28" s="115">
        <f>O19+O24+O27</f>
        <v>6834.0948510244916</v>
      </c>
      <c r="P28" s="115">
        <f>P19+P24+P27</f>
        <v>6021.9792928943434</v>
      </c>
    </row>
    <row r="29" spans="1:16">
      <c r="A29" s="154" t="s">
        <v>133</v>
      </c>
      <c r="B29" s="154">
        <v>-1199</v>
      </c>
      <c r="C29" s="154">
        <v>339</v>
      </c>
      <c r="D29" s="154">
        <v>860</v>
      </c>
      <c r="E29" s="154">
        <v>0</v>
      </c>
      <c r="F29" s="154">
        <v>0</v>
      </c>
      <c r="J29" s="107"/>
      <c r="K29" s="113"/>
      <c r="L29" s="105" t="s">
        <v>282</v>
      </c>
      <c r="M29" s="113"/>
      <c r="N29" s="113"/>
      <c r="O29" s="113"/>
      <c r="P29" s="113"/>
    </row>
    <row r="30" spans="1:16">
      <c r="A30" s="154" t="s">
        <v>134</v>
      </c>
      <c r="B30" s="154">
        <v>201</v>
      </c>
      <c r="C30" s="154">
        <v>341</v>
      </c>
      <c r="D30" s="154">
        <v>165</v>
      </c>
      <c r="E30" s="154">
        <v>193</v>
      </c>
      <c r="F30" s="154">
        <v>191</v>
      </c>
      <c r="J30" s="108" t="s">
        <v>243</v>
      </c>
      <c r="K30" s="113"/>
      <c r="L30" s="105"/>
      <c r="M30" s="113"/>
      <c r="N30" s="113"/>
      <c r="O30" s="113"/>
      <c r="P30" s="113"/>
    </row>
    <row r="31" spans="1:16">
      <c r="A31" s="154" t="s">
        <v>135</v>
      </c>
      <c r="B31" s="154">
        <v>95</v>
      </c>
      <c r="C31" s="154">
        <v>-133</v>
      </c>
      <c r="D31" s="154">
        <v>90</v>
      </c>
      <c r="E31" s="154">
        <v>-133</v>
      </c>
      <c r="F31" s="154">
        <v>64</v>
      </c>
      <c r="J31" s="108" t="s">
        <v>244</v>
      </c>
      <c r="K31" s="113">
        <f>-'Debt Schedule'!B8</f>
        <v>-25</v>
      </c>
      <c r="L31" s="105"/>
      <c r="M31" s="113">
        <f>-'Debt Schedule'!C8</f>
        <v>-1175</v>
      </c>
      <c r="N31" s="113">
        <f>-'Debt Schedule'!D8</f>
        <v>-1525</v>
      </c>
      <c r="O31" s="113">
        <f>-'Debt Schedule'!E8</f>
        <v>-1225</v>
      </c>
      <c r="P31" s="113">
        <f>-'Debt Schedule'!F8</f>
        <v>-1750</v>
      </c>
    </row>
    <row r="32" spans="1:16">
      <c r="A32" s="154" t="s">
        <v>136</v>
      </c>
      <c r="B32" s="154">
        <v>481</v>
      </c>
      <c r="C32" s="154">
        <v>-3</v>
      </c>
      <c r="D32" s="154">
        <v>516</v>
      </c>
      <c r="E32" s="154">
        <v>736</v>
      </c>
      <c r="F32" s="154">
        <v>2015</v>
      </c>
      <c r="J32" s="111"/>
      <c r="K32" s="113"/>
      <c r="L32" s="105"/>
      <c r="M32" s="113"/>
      <c r="N32" s="113"/>
      <c r="O32" s="113"/>
      <c r="P32" s="113"/>
    </row>
    <row r="33" spans="1:16">
      <c r="A33" s="154" t="s">
        <v>137</v>
      </c>
      <c r="B33" s="154">
        <v>960</v>
      </c>
      <c r="C33" s="154">
        <v>83</v>
      </c>
      <c r="D33" s="154">
        <v>1068</v>
      </c>
      <c r="E33" s="154">
        <v>492</v>
      </c>
      <c r="F33" s="154">
        <v>295</v>
      </c>
      <c r="J33" s="108"/>
      <c r="K33" s="113"/>
      <c r="L33" s="105"/>
      <c r="M33" s="113"/>
      <c r="N33" s="113"/>
      <c r="O33" s="113"/>
      <c r="P33" s="113"/>
    </row>
    <row r="34" spans="1:16">
      <c r="A34" s="154" t="s">
        <v>138</v>
      </c>
      <c r="B34" s="154">
        <v>-153</v>
      </c>
      <c r="C34" s="154">
        <v>-131</v>
      </c>
      <c r="D34" s="154">
        <v>-184</v>
      </c>
      <c r="E34" s="154">
        <v>-215</v>
      </c>
      <c r="F34" s="154">
        <v>-180</v>
      </c>
      <c r="J34" s="107" t="s">
        <v>245</v>
      </c>
      <c r="K34" s="113">
        <f>K27+K30+K31</f>
        <v>-25</v>
      </c>
      <c r="L34" s="105"/>
      <c r="M34" s="113">
        <f>M27+M30+M31</f>
        <v>-1175</v>
      </c>
      <c r="N34" s="113">
        <f>N27+N30+N31</f>
        <v>-1525</v>
      </c>
      <c r="O34" s="113">
        <f>O31</f>
        <v>-1225</v>
      </c>
      <c r="P34" s="113">
        <f>P31</f>
        <v>-1750</v>
      </c>
    </row>
    <row r="35" spans="1:16" ht="16.2" thickBot="1">
      <c r="A35" s="212" t="s">
        <v>139</v>
      </c>
      <c r="B35" s="215">
        <v>-4321</v>
      </c>
      <c r="C35" s="215">
        <v>-2745</v>
      </c>
      <c r="D35" s="215">
        <v>-445</v>
      </c>
      <c r="E35" s="215">
        <v>642</v>
      </c>
      <c r="F35" s="215">
        <v>3585</v>
      </c>
      <c r="J35" s="111"/>
      <c r="K35" s="113"/>
      <c r="L35" s="105" t="s">
        <v>283</v>
      </c>
      <c r="M35" s="113"/>
      <c r="N35" s="113"/>
      <c r="O35" s="113"/>
      <c r="P35" s="113"/>
    </row>
    <row r="36" spans="1:16" ht="15" thickTop="1">
      <c r="A36" s="154"/>
      <c r="B36" s="154">
        <f>SUM(B9:B34)</f>
        <v>-4321</v>
      </c>
      <c r="C36" s="214">
        <f>SUM(C9:C34)</f>
        <v>-2745</v>
      </c>
      <c r="D36" s="154">
        <f>SUM(D9:D34)</f>
        <v>-445</v>
      </c>
      <c r="E36" s="154">
        <f>SUM(E9:E34)</f>
        <v>737</v>
      </c>
      <c r="F36" s="154">
        <f>SUM(F9:F34)</f>
        <v>3447</v>
      </c>
      <c r="J36" s="107" t="s">
        <v>246</v>
      </c>
      <c r="K36" s="118">
        <f>K19+K24+K34</f>
        <v>3929.1219958842184</v>
      </c>
      <c r="L36" s="105"/>
      <c r="M36" s="118">
        <f>M19+M24+M34</f>
        <v>6619.5712333541387</v>
      </c>
      <c r="N36" s="118">
        <f>N19+N24+N34</f>
        <v>5918.7554980536206</v>
      </c>
      <c r="O36" s="118">
        <f>O19+O24+O34</f>
        <v>5609.0948510244916</v>
      </c>
      <c r="P36" s="115">
        <f>P19+P24+P34</f>
        <v>4271.9792928943434</v>
      </c>
    </row>
    <row r="37" spans="1:16" ht="15.6">
      <c r="A37" s="212" t="s">
        <v>140</v>
      </c>
      <c r="B37" s="154"/>
      <c r="C37" s="154"/>
      <c r="D37" s="154"/>
      <c r="E37" s="154"/>
      <c r="F37" s="154"/>
      <c r="J37" s="107" t="s">
        <v>247</v>
      </c>
      <c r="K37" s="113">
        <f>BS!G8</f>
        <v>6150</v>
      </c>
      <c r="L37" s="105"/>
      <c r="M37" s="113">
        <f>BS!H8</f>
        <v>10079.121995884219</v>
      </c>
      <c r="N37" s="115">
        <f>BS!J8</f>
        <v>16698.693229238357</v>
      </c>
      <c r="O37" s="115">
        <f>BS!K8</f>
        <v>22617.44872729198</v>
      </c>
      <c r="P37" s="115">
        <f>BS!L8</f>
        <v>28226.543578316472</v>
      </c>
    </row>
    <row r="38" spans="1:16">
      <c r="A38" s="154"/>
      <c r="B38" s="154"/>
      <c r="C38" s="154"/>
      <c r="D38" s="154"/>
      <c r="E38" s="154"/>
      <c r="F38" s="154"/>
      <c r="J38" s="107" t="s">
        <v>248</v>
      </c>
      <c r="K38" s="120">
        <f>K36+K37</f>
        <v>10079.121995884219</v>
      </c>
      <c r="L38" s="105"/>
      <c r="M38" s="120">
        <f>M36+M37</f>
        <v>16698.693229238357</v>
      </c>
      <c r="N38" s="120">
        <f>N36+N37</f>
        <v>22617.44872729198</v>
      </c>
      <c r="O38" s="120">
        <f>O36+O37</f>
        <v>28226.543578316472</v>
      </c>
      <c r="P38" s="120">
        <f>P36+P37</f>
        <v>32498.522871210815</v>
      </c>
    </row>
    <row r="39" spans="1:16">
      <c r="A39" s="154" t="s">
        <v>141</v>
      </c>
      <c r="B39" s="154">
        <v>-588</v>
      </c>
      <c r="C39" s="154">
        <v>-616</v>
      </c>
      <c r="D39" s="154">
        <v>-298</v>
      </c>
      <c r="E39" s="154">
        <v>-252</v>
      </c>
      <c r="F39" s="154">
        <v>-223</v>
      </c>
    </row>
    <row r="40" spans="1:16">
      <c r="A40" s="154" t="s">
        <v>142</v>
      </c>
      <c r="B40" s="154">
        <v>-100</v>
      </c>
      <c r="C40" s="154">
        <v>-10</v>
      </c>
      <c r="D40" s="154">
        <v>-982</v>
      </c>
      <c r="E40" s="154">
        <v>-14</v>
      </c>
      <c r="F40" s="154">
        <v>-52</v>
      </c>
    </row>
    <row r="41" spans="1:16">
      <c r="A41" s="154" t="s">
        <v>182</v>
      </c>
      <c r="B41" s="154">
        <v>-441</v>
      </c>
      <c r="C41" s="154">
        <v>-2101</v>
      </c>
      <c r="D41" s="154">
        <v>-1113</v>
      </c>
      <c r="E41" s="154">
        <v>-1708</v>
      </c>
      <c r="F41" s="154">
        <v>-8774</v>
      </c>
    </row>
    <row r="42" spans="1:16">
      <c r="A42" s="154" t="s">
        <v>143</v>
      </c>
      <c r="B42" s="154">
        <v>2</v>
      </c>
      <c r="C42" s="154">
        <v>1360</v>
      </c>
      <c r="D42" s="154">
        <v>2291</v>
      </c>
      <c r="E42" s="154">
        <v>376</v>
      </c>
      <c r="F42" s="154">
        <v>5069</v>
      </c>
    </row>
    <row r="43" spans="1:16">
      <c r="A43" s="154" t="s">
        <v>144</v>
      </c>
      <c r="B43" s="154">
        <v>0</v>
      </c>
      <c r="C43" s="154">
        <v>0</v>
      </c>
      <c r="D43" s="154">
        <v>500</v>
      </c>
      <c r="E43" s="154">
        <v>0</v>
      </c>
      <c r="F43" s="154">
        <v>0</v>
      </c>
    </row>
    <row r="44" spans="1:16">
      <c r="A44" s="154" t="s">
        <v>145</v>
      </c>
      <c r="B44" s="154">
        <v>0</v>
      </c>
      <c r="C44" s="154">
        <v>0</v>
      </c>
      <c r="D44" s="154">
        <v>1000</v>
      </c>
      <c r="E44" s="154">
        <v>0</v>
      </c>
      <c r="F44" s="154">
        <v>721</v>
      </c>
    </row>
    <row r="45" spans="1:16">
      <c r="A45" s="154" t="s">
        <v>146</v>
      </c>
      <c r="B45" s="154">
        <v>293</v>
      </c>
      <c r="C45" s="154">
        <v>0</v>
      </c>
      <c r="D45" s="154">
        <v>0</v>
      </c>
      <c r="E45" s="154">
        <v>26</v>
      </c>
      <c r="F45" s="154">
        <v>0</v>
      </c>
    </row>
    <row r="46" spans="1:16">
      <c r="A46" s="154" t="s">
        <v>147</v>
      </c>
      <c r="B46" s="154">
        <v>-7</v>
      </c>
      <c r="C46" s="154">
        <v>-1471</v>
      </c>
      <c r="D46" s="154">
        <v>-2314</v>
      </c>
      <c r="E46" s="154">
        <v>-59</v>
      </c>
      <c r="F46" s="154">
        <v>0</v>
      </c>
    </row>
    <row r="47" spans="1:16">
      <c r="A47" s="154" t="s">
        <v>148</v>
      </c>
      <c r="B47" s="154">
        <v>0</v>
      </c>
      <c r="C47" s="154">
        <v>91</v>
      </c>
      <c r="D47" s="154">
        <v>0</v>
      </c>
      <c r="E47" s="154">
        <v>0</v>
      </c>
      <c r="F47" s="154">
        <v>0</v>
      </c>
    </row>
    <row r="48" spans="1:16">
      <c r="A48" s="154" t="s">
        <v>149</v>
      </c>
      <c r="B48" s="154">
        <v>0</v>
      </c>
      <c r="C48" s="154">
        <v>-185</v>
      </c>
      <c r="D48" s="154">
        <v>-297</v>
      </c>
      <c r="E48" s="154">
        <v>0</v>
      </c>
      <c r="F48" s="154">
        <v>0</v>
      </c>
    </row>
    <row r="49" spans="1:6">
      <c r="A49" s="154" t="s">
        <v>150</v>
      </c>
      <c r="B49" s="154">
        <v>51</v>
      </c>
      <c r="C49" s="154">
        <v>63</v>
      </c>
      <c r="D49" s="154">
        <v>12</v>
      </c>
      <c r="E49" s="154">
        <v>-6</v>
      </c>
      <c r="F49" s="154">
        <v>33</v>
      </c>
    </row>
    <row r="50" spans="1:6" ht="15" thickBot="1">
      <c r="A50" s="213" t="s">
        <v>151</v>
      </c>
      <c r="B50" s="215">
        <v>-790</v>
      </c>
      <c r="C50" s="215">
        <v>-2869</v>
      </c>
      <c r="D50" s="215">
        <v>-1201</v>
      </c>
      <c r="E50" s="215">
        <f>SUM(E39:E49)</f>
        <v>-1637</v>
      </c>
      <c r="F50" s="215">
        <f>SUM(F39:F49)</f>
        <v>-3226</v>
      </c>
    </row>
    <row r="51" spans="1:6" ht="15" thickTop="1">
      <c r="A51" s="154"/>
      <c r="B51" s="154">
        <f>SUM(B39:B49)</f>
        <v>-790</v>
      </c>
      <c r="C51" s="154">
        <f>SUM(C39:C49)</f>
        <v>-2869</v>
      </c>
      <c r="D51" s="154">
        <f>SUM(D39:D49)</f>
        <v>-1201</v>
      </c>
      <c r="E51" s="154">
        <f>SUM(E39:E49)</f>
        <v>-1637</v>
      </c>
      <c r="F51" s="154">
        <f>SUM(F39:F49)</f>
        <v>-3226</v>
      </c>
    </row>
    <row r="52" spans="1:6">
      <c r="A52" s="213" t="s">
        <v>152</v>
      </c>
      <c r="B52" s="154"/>
      <c r="C52" s="154"/>
      <c r="D52" s="154"/>
      <c r="E52" s="154"/>
      <c r="F52" s="154"/>
    </row>
    <row r="53" spans="1:6">
      <c r="A53" s="154" t="s">
        <v>153</v>
      </c>
      <c r="B53" s="154">
        <v>7973</v>
      </c>
      <c r="C53" s="154">
        <v>0</v>
      </c>
      <c r="D53" s="154">
        <v>0</v>
      </c>
      <c r="E53" s="154">
        <v>0</v>
      </c>
      <c r="F53" s="154">
        <v>0</v>
      </c>
    </row>
    <row r="54" spans="1:6">
      <c r="A54" s="154" t="s">
        <v>154</v>
      </c>
      <c r="B54" s="154">
        <v>-1573</v>
      </c>
      <c r="C54" s="154">
        <v>-17</v>
      </c>
      <c r="D54" s="154">
        <v>-27</v>
      </c>
      <c r="E54" s="154">
        <v>0</v>
      </c>
      <c r="F54" s="154">
        <v>0</v>
      </c>
    </row>
    <row r="55" spans="1:6">
      <c r="A55" s="154" t="s">
        <v>155</v>
      </c>
      <c r="B55" s="154">
        <v>500</v>
      </c>
      <c r="C55" s="154">
        <v>0</v>
      </c>
      <c r="D55" s="154">
        <v>0</v>
      </c>
      <c r="E55" s="154">
        <v>0</v>
      </c>
      <c r="F55" s="154"/>
    </row>
    <row r="56" spans="1:6">
      <c r="A56" s="154" t="s">
        <v>156</v>
      </c>
      <c r="B56" s="154">
        <v>1000</v>
      </c>
      <c r="C56" s="154">
        <v>247</v>
      </c>
      <c r="D56" s="154">
        <v>675</v>
      </c>
      <c r="E56" s="154">
        <v>255</v>
      </c>
      <c r="F56" s="154">
        <v>0</v>
      </c>
    </row>
    <row r="57" spans="1:6">
      <c r="A57" s="154" t="s">
        <v>157</v>
      </c>
      <c r="B57" s="154">
        <v>49</v>
      </c>
      <c r="C57" s="154">
        <v>125</v>
      </c>
      <c r="D57" s="154">
        <v>107</v>
      </c>
      <c r="E57" s="154">
        <v>92</v>
      </c>
      <c r="F57" s="154">
        <v>130</v>
      </c>
    </row>
    <row r="58" spans="1:6">
      <c r="A58" s="154" t="s">
        <v>158</v>
      </c>
      <c r="B58" s="154">
        <v>1189</v>
      </c>
      <c r="C58" s="154">
        <v>2628</v>
      </c>
      <c r="D58" s="154">
        <v>1484</v>
      </c>
      <c r="E58" s="154">
        <v>0</v>
      </c>
      <c r="F58" s="154">
        <v>2824</v>
      </c>
    </row>
    <row r="59" spans="1:6">
      <c r="A59" s="154" t="s">
        <v>224</v>
      </c>
      <c r="B59" s="154"/>
      <c r="C59" s="154"/>
      <c r="D59" s="154"/>
      <c r="E59" s="154">
        <v>0</v>
      </c>
      <c r="F59" s="154">
        <v>-141</v>
      </c>
    </row>
    <row r="60" spans="1:6">
      <c r="A60" s="154" t="s">
        <v>159</v>
      </c>
      <c r="B60" s="154">
        <v>-27</v>
      </c>
      <c r="C60" s="154">
        <v>-527</v>
      </c>
      <c r="D60" s="154">
        <v>-309</v>
      </c>
      <c r="E60" s="154">
        <v>0</v>
      </c>
      <c r="F60" s="154">
        <v>-2675</v>
      </c>
    </row>
    <row r="61" spans="1:6">
      <c r="A61" s="154" t="s">
        <v>160</v>
      </c>
      <c r="B61" s="154">
        <v>0</v>
      </c>
      <c r="C61" s="154">
        <v>-891</v>
      </c>
      <c r="D61" s="154">
        <v>-307</v>
      </c>
      <c r="E61" s="154">
        <v>-80</v>
      </c>
      <c r="F61" s="154">
        <v>-25</v>
      </c>
    </row>
    <row r="62" spans="1:6">
      <c r="A62" s="154" t="s">
        <v>161</v>
      </c>
      <c r="B62" s="154">
        <v>-138</v>
      </c>
      <c r="C62" s="154">
        <f>-224</f>
        <v>-224</v>
      </c>
      <c r="D62" s="154">
        <v>-226</v>
      </c>
      <c r="E62" s="154">
        <v>-184</v>
      </c>
      <c r="F62" s="154">
        <v>-171</v>
      </c>
    </row>
    <row r="63" spans="1:6">
      <c r="A63" s="154" t="s">
        <v>162</v>
      </c>
      <c r="B63" s="154">
        <v>-34</v>
      </c>
      <c r="C63" s="154">
        <v>38</v>
      </c>
      <c r="D63" s="154">
        <v>74</v>
      </c>
      <c r="E63" s="154">
        <v>-68</v>
      </c>
      <c r="F63" s="154">
        <v>-37</v>
      </c>
    </row>
    <row r="64" spans="1:6" ht="15" thickBot="1">
      <c r="A64" s="213" t="s">
        <v>163</v>
      </c>
      <c r="B64" s="216">
        <f>SUM(B53:B63)</f>
        <v>8939</v>
      </c>
      <c r="C64" s="216">
        <f>SUM(C53:C63)</f>
        <v>1379</v>
      </c>
      <c r="D64" s="216">
        <f>SUM(D53:D63)</f>
        <v>1471</v>
      </c>
      <c r="E64" s="216">
        <f>SUM(E53:E63)</f>
        <v>15</v>
      </c>
      <c r="F64" s="216">
        <f>SUM(F53:F63)</f>
        <v>-95</v>
      </c>
    </row>
    <row r="65" spans="1:6" ht="15" thickTop="1">
      <c r="A65" s="154"/>
      <c r="B65" s="154"/>
      <c r="C65" s="154"/>
      <c r="D65" s="154"/>
      <c r="E65" s="154"/>
      <c r="F65" s="154"/>
    </row>
    <row r="66" spans="1:6">
      <c r="A66" s="154" t="s">
        <v>164</v>
      </c>
      <c r="B66" s="154">
        <v>-4</v>
      </c>
      <c r="C66" s="154">
        <v>-92</v>
      </c>
      <c r="D66" s="154">
        <v>-69</v>
      </c>
      <c r="E66" s="154">
        <v>-148</v>
      </c>
      <c r="F66" s="154">
        <v>63</v>
      </c>
    </row>
    <row r="67" spans="1:6">
      <c r="A67" s="154" t="s">
        <v>165</v>
      </c>
      <c r="B67" s="154">
        <v>3924</v>
      </c>
      <c r="C67" s="154">
        <v>4327</v>
      </c>
      <c r="D67" s="154">
        <v>65</v>
      </c>
      <c r="E67" s="154">
        <v>-1128</v>
      </c>
      <c r="F67" s="154">
        <v>327</v>
      </c>
    </row>
    <row r="68" spans="1:6">
      <c r="A68" s="154" t="s">
        <v>166</v>
      </c>
      <c r="B68" s="154"/>
      <c r="C68" s="154"/>
      <c r="D68" s="154"/>
      <c r="E68" s="154"/>
      <c r="F68" s="154"/>
    </row>
    <row r="69" spans="1:6">
      <c r="A69" s="154" t="s">
        <v>167</v>
      </c>
      <c r="B69" s="154">
        <v>8209</v>
      </c>
      <c r="C69" s="154">
        <v>12067</v>
      </c>
      <c r="D69" s="154">
        <v>7391</v>
      </c>
      <c r="E69" s="154">
        <v>7805</v>
      </c>
      <c r="F69" s="154">
        <v>6677</v>
      </c>
    </row>
    <row r="70" spans="1:6">
      <c r="A70" s="154" t="s">
        <v>168</v>
      </c>
      <c r="B70" s="154">
        <v>34</v>
      </c>
      <c r="C70" s="154">
        <v>-349</v>
      </c>
      <c r="D70" s="154">
        <v>349</v>
      </c>
      <c r="E70" s="154">
        <v>0</v>
      </c>
      <c r="F70" s="154">
        <v>0</v>
      </c>
    </row>
    <row r="71" spans="1:6" ht="15" thickBot="1">
      <c r="A71" s="154" t="s">
        <v>169</v>
      </c>
      <c r="B71" s="216">
        <v>12067</v>
      </c>
      <c r="C71" s="216">
        <v>7391</v>
      </c>
      <c r="D71" s="216">
        <v>7805</v>
      </c>
      <c r="E71" s="216">
        <v>6677</v>
      </c>
      <c r="F71" s="216">
        <v>7004</v>
      </c>
    </row>
    <row r="72" spans="1:6" ht="15" thickTop="1"/>
    <row r="73" spans="1:6">
      <c r="A73" s="3" t="s">
        <v>170</v>
      </c>
    </row>
    <row r="74" spans="1:6">
      <c r="A74" t="s">
        <v>171</v>
      </c>
    </row>
    <row r="75" spans="1:6">
      <c r="A75" t="s">
        <v>172</v>
      </c>
      <c r="B75">
        <v>332</v>
      </c>
      <c r="C75">
        <v>412</v>
      </c>
      <c r="D75">
        <v>449</v>
      </c>
    </row>
    <row r="76" spans="1:6">
      <c r="A76" t="s">
        <v>173</v>
      </c>
      <c r="B76">
        <v>133</v>
      </c>
      <c r="C76">
        <v>82</v>
      </c>
      <c r="D76">
        <v>87</v>
      </c>
    </row>
    <row r="77" spans="1:6">
      <c r="A77" t="s">
        <v>174</v>
      </c>
    </row>
    <row r="78" spans="1:6">
      <c r="A78" t="s">
        <v>175</v>
      </c>
      <c r="B78">
        <v>14224</v>
      </c>
      <c r="C78">
        <v>0</v>
      </c>
      <c r="D78">
        <v>0</v>
      </c>
    </row>
    <row r="79" spans="1:6">
      <c r="A79" t="s">
        <v>176</v>
      </c>
      <c r="B79">
        <v>4229</v>
      </c>
      <c r="C79">
        <v>0</v>
      </c>
      <c r="D79">
        <v>0</v>
      </c>
    </row>
    <row r="80" spans="1:6">
      <c r="A80" t="s">
        <v>177</v>
      </c>
      <c r="B80">
        <v>0</v>
      </c>
      <c r="C80">
        <v>0</v>
      </c>
      <c r="D80">
        <v>232</v>
      </c>
    </row>
    <row r="81" spans="1:4">
      <c r="A81" t="s">
        <v>178</v>
      </c>
      <c r="B81">
        <v>251</v>
      </c>
      <c r="C81">
        <v>196</v>
      </c>
      <c r="D81">
        <v>184</v>
      </c>
    </row>
    <row r="82" spans="1:4">
      <c r="A82" t="s">
        <v>179</v>
      </c>
      <c r="B82">
        <v>9</v>
      </c>
      <c r="C82">
        <v>3989</v>
      </c>
      <c r="D82">
        <v>1868</v>
      </c>
    </row>
    <row r="83" spans="1:4">
      <c r="A83" t="s">
        <v>180</v>
      </c>
      <c r="B83">
        <v>0</v>
      </c>
      <c r="C83">
        <v>171</v>
      </c>
      <c r="D83">
        <v>1018</v>
      </c>
    </row>
    <row r="84" spans="1:4">
      <c r="A84" t="s">
        <v>181</v>
      </c>
      <c r="B84">
        <v>0</v>
      </c>
      <c r="C84">
        <v>1634</v>
      </c>
      <c r="D84">
        <v>0</v>
      </c>
    </row>
  </sheetData>
  <mergeCells count="1">
    <mergeCell ref="K6:K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BDBE7-2149-4FCB-8F53-4E80AC06484C}">
  <dimension ref="A2:G26"/>
  <sheetViews>
    <sheetView workbookViewId="0">
      <selection activeCell="B7" sqref="B7"/>
    </sheetView>
  </sheetViews>
  <sheetFormatPr defaultRowHeight="14.4"/>
  <cols>
    <col min="1" max="1" width="37.77734375" bestFit="1" customWidth="1"/>
    <col min="2" max="3" width="14.109375" bestFit="1" customWidth="1"/>
    <col min="4" max="4" width="13.6640625" bestFit="1" customWidth="1"/>
    <col min="5" max="6" width="14.109375" bestFit="1" customWidth="1"/>
  </cols>
  <sheetData>
    <row r="2" spans="1:6">
      <c r="A2" s="56" t="s">
        <v>223</v>
      </c>
      <c r="B2" s="56" t="s">
        <v>198</v>
      </c>
      <c r="C2" s="56" t="s">
        <v>189</v>
      </c>
      <c r="D2" s="56" t="s">
        <v>225</v>
      </c>
      <c r="E2" s="56" t="s">
        <v>21</v>
      </c>
      <c r="F2" s="56" t="s">
        <v>22</v>
      </c>
    </row>
    <row r="4" spans="1:6">
      <c r="A4" s="46" t="s">
        <v>213</v>
      </c>
      <c r="B4">
        <f>BS!G34+BS!G36</f>
        <v>11624</v>
      </c>
      <c r="C4">
        <f>BS!H34+BS!H36</f>
        <v>11599</v>
      </c>
      <c r="D4">
        <f>BS!J34+BS!J36</f>
        <v>10424</v>
      </c>
      <c r="E4">
        <f>BS!K34+BS!K36</f>
        <v>8899</v>
      </c>
      <c r="F4">
        <f>BS!L34+BS!L36</f>
        <v>7674</v>
      </c>
    </row>
    <row r="5" spans="1:6">
      <c r="A5" s="54" t="s">
        <v>214</v>
      </c>
      <c r="B5" s="12">
        <f>CFS!K28</f>
        <v>3954.1219958842184</v>
      </c>
      <c r="C5" s="12">
        <f>CFS!M28</f>
        <v>7794.5712333541387</v>
      </c>
      <c r="D5" s="12">
        <f>CFS!N28</f>
        <v>7443.7554980536206</v>
      </c>
      <c r="E5" s="12">
        <f>CFS!O28</f>
        <v>6834.0948510244916</v>
      </c>
      <c r="F5" s="12">
        <f>CFS!P28</f>
        <v>6021.9792928943434</v>
      </c>
    </row>
    <row r="6" spans="1:6">
      <c r="A6" s="54" t="s">
        <v>215</v>
      </c>
      <c r="B6">
        <f>CFS!K37</f>
        <v>6150</v>
      </c>
      <c r="C6" s="12">
        <f>CFS!M37</f>
        <v>10079.121995884219</v>
      </c>
      <c r="D6" s="12">
        <f>CFS!N37</f>
        <v>16698.693229238357</v>
      </c>
      <c r="E6" s="12">
        <f>CFS!O37</f>
        <v>22617.44872729198</v>
      </c>
      <c r="F6" s="12">
        <f>CFS!P37</f>
        <v>28226.543578316472</v>
      </c>
    </row>
    <row r="7" spans="1:6">
      <c r="A7" s="54" t="s">
        <v>216</v>
      </c>
      <c r="B7" s="12">
        <f>B5+B6</f>
        <v>10104.121995884219</v>
      </c>
      <c r="C7" s="12">
        <f>C5+C6</f>
        <v>17873.693229238357</v>
      </c>
      <c r="D7" s="12">
        <f>D5+D6</f>
        <v>24142.44872729198</v>
      </c>
      <c r="E7" s="12">
        <f>E5+E6</f>
        <v>29451.543578316472</v>
      </c>
      <c r="F7" s="12">
        <f>F5+F6</f>
        <v>34248.522871210815</v>
      </c>
    </row>
    <row r="8" spans="1:6">
      <c r="A8" s="54" t="s">
        <v>217</v>
      </c>
      <c r="B8">
        <v>25</v>
      </c>
      <c r="C8">
        <v>1175</v>
      </c>
      <c r="D8">
        <v>1525</v>
      </c>
      <c r="E8">
        <v>1225</v>
      </c>
      <c r="F8">
        <v>1750</v>
      </c>
    </row>
    <row r="9" spans="1:6">
      <c r="A9" s="54" t="s">
        <v>218</v>
      </c>
      <c r="B9" s="12">
        <f>B7-B8</f>
        <v>10079.121995884219</v>
      </c>
      <c r="C9" s="12">
        <f>C7-C8</f>
        <v>16698.693229238357</v>
      </c>
      <c r="D9" s="12">
        <f>D7-D8</f>
        <v>22617.44872729198</v>
      </c>
      <c r="E9" s="12">
        <f>E7-E8</f>
        <v>28226.543578316472</v>
      </c>
      <c r="F9" s="12">
        <f>F7-F8</f>
        <v>32498.522871210815</v>
      </c>
    </row>
    <row r="10" spans="1:6">
      <c r="A10" s="54" t="s">
        <v>219</v>
      </c>
    </row>
    <row r="11" spans="1:6">
      <c r="A11" s="55" t="s">
        <v>220</v>
      </c>
      <c r="B11">
        <f>B4+B10-B8</f>
        <v>11599</v>
      </c>
      <c r="C11">
        <f>C4+C10-C8</f>
        <v>10424</v>
      </c>
      <c r="D11">
        <f>D4+D10-D8</f>
        <v>8899</v>
      </c>
      <c r="E11">
        <f>E4+E10-E8</f>
        <v>7674</v>
      </c>
      <c r="F11">
        <f>F4+F10-F8</f>
        <v>5924</v>
      </c>
    </row>
    <row r="12" spans="1:6">
      <c r="A12" s="54" t="s">
        <v>221</v>
      </c>
      <c r="B12">
        <f>C8</f>
        <v>1175</v>
      </c>
      <c r="C12">
        <f>D8</f>
        <v>1525</v>
      </c>
      <c r="D12">
        <f>E8</f>
        <v>1225</v>
      </c>
      <c r="E12">
        <f>F8</f>
        <v>1750</v>
      </c>
      <c r="F12">
        <f>G8</f>
        <v>0</v>
      </c>
    </row>
    <row r="13" spans="1:6">
      <c r="A13" s="54" t="s">
        <v>222</v>
      </c>
      <c r="B13">
        <f>B11-B12</f>
        <v>10424</v>
      </c>
      <c r="C13">
        <f>C11-C12</f>
        <v>8899</v>
      </c>
      <c r="D13">
        <f>D11-D12</f>
        <v>7674</v>
      </c>
      <c r="E13">
        <f>E11-E12</f>
        <v>5924</v>
      </c>
      <c r="F13">
        <f>F11-F12</f>
        <v>5924</v>
      </c>
    </row>
    <row r="14" spans="1:6">
      <c r="C14" t="s">
        <v>256</v>
      </c>
      <c r="D14" t="s">
        <v>258</v>
      </c>
    </row>
    <row r="15" spans="1:6">
      <c r="A15" s="54" t="s">
        <v>257</v>
      </c>
      <c r="B15">
        <v>1986</v>
      </c>
      <c r="C15" s="5">
        <v>8.3000000000000004E-2</v>
      </c>
      <c r="D15">
        <f>B15/$B$22</f>
        <v>0.20771885786005648</v>
      </c>
    </row>
    <row r="16" spans="1:6">
      <c r="B16">
        <v>1500</v>
      </c>
      <c r="C16" s="48">
        <v>8.1000000000000003E-2</v>
      </c>
      <c r="D16">
        <f t="shared" ref="D16:D21" si="0">B16/$B$22</f>
        <v>0.15688735487919675</v>
      </c>
    </row>
    <row r="17" spans="1:7">
      <c r="B17">
        <v>1200</v>
      </c>
      <c r="C17" s="5">
        <v>7.6999999999999999E-2</v>
      </c>
      <c r="D17">
        <f t="shared" si="0"/>
        <v>0.12550988390335738</v>
      </c>
    </row>
    <row r="18" spans="1:7">
      <c r="B18">
        <v>500</v>
      </c>
      <c r="C18" s="7">
        <v>7.0000000000000007E-2</v>
      </c>
      <c r="D18">
        <f t="shared" si="0"/>
        <v>5.2295784959732243E-2</v>
      </c>
      <c r="G18">
        <f>BS!J34+BS!J36</f>
        <v>10424</v>
      </c>
    </row>
    <row r="19" spans="1:7">
      <c r="B19">
        <v>1500</v>
      </c>
      <c r="C19" s="5">
        <v>4.7E-2</v>
      </c>
      <c r="D19">
        <f t="shared" si="0"/>
        <v>0.15688735487919675</v>
      </c>
    </row>
    <row r="20" spans="1:7">
      <c r="B20">
        <v>1150</v>
      </c>
      <c r="C20" s="5">
        <v>2E-3</v>
      </c>
      <c r="D20">
        <f t="shared" si="0"/>
        <v>0.12028030540738416</v>
      </c>
    </row>
    <row r="21" spans="1:7">
      <c r="B21">
        <v>1725</v>
      </c>
      <c r="C21" s="48">
        <v>8.9999999999999993E-3</v>
      </c>
      <c r="D21">
        <f t="shared" si="0"/>
        <v>0.18042045811107624</v>
      </c>
    </row>
    <row r="22" spans="1:7">
      <c r="B22" s="3">
        <f>SUM(B15:B21)</f>
        <v>9561</v>
      </c>
      <c r="C22" s="92">
        <f>SUM(C15:C21)</f>
        <v>0.36899999999999999</v>
      </c>
      <c r="D22">
        <f>B22/B22</f>
        <v>1</v>
      </c>
    </row>
    <row r="23" spans="1:7" ht="28.8">
      <c r="B23" s="24" t="s">
        <v>294</v>
      </c>
    </row>
    <row r="24" spans="1:7">
      <c r="B24" t="s">
        <v>259</v>
      </c>
      <c r="D24" s="4">
        <f>SUMPRODUCT(C15:C21,D15:D21)</f>
        <v>5.2511557368476097E-2</v>
      </c>
    </row>
    <row r="26" spans="1:7">
      <c r="A26" t="s">
        <v>260</v>
      </c>
      <c r="B26" s="12">
        <f>B4*$D$24*12/12</f>
        <v>610.39434285116613</v>
      </c>
      <c r="C26" s="12">
        <f>C4*$D$24*12/12</f>
        <v>609.08155391695425</v>
      </c>
      <c r="D26" s="12">
        <f>D4*$D$24*12/12</f>
        <v>547.38047400899484</v>
      </c>
      <c r="E26" s="12">
        <f>E4*$D$24*12/12</f>
        <v>467.30034902206881</v>
      </c>
      <c r="F26" s="12">
        <f>F4*$D$24*12/12</f>
        <v>402.97369124568559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41939-51D2-4E97-AB75-CCA435A1B912}">
  <dimension ref="A1:N30"/>
  <sheetViews>
    <sheetView workbookViewId="0">
      <selection activeCell="J14" sqref="J14"/>
    </sheetView>
  </sheetViews>
  <sheetFormatPr defaultRowHeight="14.4"/>
  <cols>
    <col min="1" max="1" width="34.44140625" bestFit="1" customWidth="1"/>
    <col min="2" max="6" width="14.21875" bestFit="1" customWidth="1"/>
    <col min="7" max="7" width="3.44140625" customWidth="1"/>
    <col min="8" max="9" width="11.6640625" customWidth="1"/>
    <col min="10" max="14" width="14.21875" bestFit="1" customWidth="1"/>
  </cols>
  <sheetData>
    <row r="1" spans="1:14">
      <c r="A1" s="45" t="s">
        <v>193</v>
      </c>
    </row>
    <row r="2" spans="1:14">
      <c r="A2" t="s">
        <v>194</v>
      </c>
    </row>
    <row r="3" spans="1:14">
      <c r="A3" s="2" t="s">
        <v>195</v>
      </c>
      <c r="B3" s="2" t="s">
        <v>27</v>
      </c>
      <c r="C3" s="2" t="s">
        <v>196</v>
      </c>
      <c r="D3" s="2" t="s">
        <v>28</v>
      </c>
      <c r="E3" s="2" t="s">
        <v>197</v>
      </c>
      <c r="F3" s="2" t="s">
        <v>6</v>
      </c>
      <c r="G3" s="2"/>
      <c r="H3" s="2" t="s">
        <v>212</v>
      </c>
      <c r="I3" s="2"/>
      <c r="J3" s="2" t="s">
        <v>198</v>
      </c>
      <c r="K3" s="2" t="s">
        <v>189</v>
      </c>
      <c r="L3" s="2" t="s">
        <v>20</v>
      </c>
      <c r="M3" s="2" t="s">
        <v>21</v>
      </c>
      <c r="N3" s="2" t="s">
        <v>22</v>
      </c>
    </row>
    <row r="4" spans="1:14">
      <c r="A4" s="46" t="s">
        <v>200</v>
      </c>
      <c r="B4">
        <v>1641</v>
      </c>
      <c r="C4">
        <f>B8</f>
        <v>1731</v>
      </c>
      <c r="D4">
        <f>C8</f>
        <v>1814</v>
      </c>
      <c r="E4">
        <f>D8</f>
        <v>1853</v>
      </c>
      <c r="F4">
        <f>E8</f>
        <v>2082</v>
      </c>
      <c r="H4">
        <f>F8</f>
        <v>2072</v>
      </c>
      <c r="J4" s="13">
        <f>H8</f>
        <v>1982</v>
      </c>
      <c r="K4" s="53">
        <f>J8</f>
        <v>5137.1629621666289</v>
      </c>
      <c r="L4" s="53">
        <f>K8</f>
        <v>5896.1063588454781</v>
      </c>
      <c r="M4" s="53">
        <f>L8</f>
        <v>6676.8539010987051</v>
      </c>
      <c r="N4" s="53">
        <f>M8</f>
        <v>7420.3021165582841</v>
      </c>
    </row>
    <row r="5" spans="1:14">
      <c r="A5" s="46" t="s">
        <v>201</v>
      </c>
      <c r="B5">
        <f>B6-B4</f>
        <v>523</v>
      </c>
      <c r="C5">
        <f>C6-C4</f>
        <v>447</v>
      </c>
      <c r="D5">
        <f>D6-D4</f>
        <v>432</v>
      </c>
      <c r="E5">
        <f>E6-E4</f>
        <v>575</v>
      </c>
      <c r="F5">
        <f>F6-F4</f>
        <v>345</v>
      </c>
      <c r="H5">
        <f>H6-H4</f>
        <v>398</v>
      </c>
      <c r="J5" s="13">
        <f>J6-J4</f>
        <v>4179.1027490835977</v>
      </c>
      <c r="K5" s="13">
        <f>K6-K4</f>
        <v>1934.1558501630525</v>
      </c>
      <c r="L5" s="13">
        <f>L6-L4</f>
        <v>2111.5786665754586</v>
      </c>
      <c r="M5" s="13">
        <f>M6-M4</f>
        <v>2222.4635054249457</v>
      </c>
      <c r="N5" s="13">
        <f>N6-N4</f>
        <v>2156.1852985816595</v>
      </c>
    </row>
    <row r="6" spans="1:14">
      <c r="A6" s="46" t="s">
        <v>202</v>
      </c>
      <c r="B6">
        <f>B8+B7</f>
        <v>2164</v>
      </c>
      <c r="C6">
        <f>C7+C8</f>
        <v>2178</v>
      </c>
      <c r="D6">
        <f>D7+D8</f>
        <v>2246</v>
      </c>
      <c r="E6">
        <f>E7+E8</f>
        <v>2428</v>
      </c>
      <c r="F6">
        <f>F7+F8</f>
        <v>2427</v>
      </c>
      <c r="H6">
        <f>H7+H8</f>
        <v>2470</v>
      </c>
      <c r="I6" s="14"/>
      <c r="J6" s="13">
        <f>IS!P4/'Fixed Asset schdeule'!I11</f>
        <v>6161.1027490835977</v>
      </c>
      <c r="K6" s="13">
        <f>IS!Q4/'Fixed Asset schdeule'!I11</f>
        <v>7071.3188123296814</v>
      </c>
      <c r="L6" s="13">
        <f>IS!R4/'Fixed Asset schdeule'!I11</f>
        <v>8007.6850254209367</v>
      </c>
      <c r="M6" s="13">
        <f>IS!S4/'Fixed Asset schdeule'!I11</f>
        <v>8899.3174065236508</v>
      </c>
      <c r="N6" s="13">
        <f>IS!T4/'Fixed Asset schdeule'!I11</f>
        <v>9576.4874151399436</v>
      </c>
    </row>
    <row r="7" spans="1:14">
      <c r="A7" s="46" t="s">
        <v>203</v>
      </c>
      <c r="B7" s="3">
        <v>433</v>
      </c>
      <c r="C7" s="3">
        <v>364</v>
      </c>
      <c r="D7" s="3">
        <v>393</v>
      </c>
      <c r="E7" s="3">
        <v>346</v>
      </c>
      <c r="F7" s="3">
        <v>355</v>
      </c>
      <c r="H7" s="3">
        <f>H30-H21</f>
        <v>488</v>
      </c>
      <c r="I7" s="3"/>
      <c r="J7" s="52">
        <f>J6*I13</f>
        <v>1023.9397869169687</v>
      </c>
      <c r="K7" s="52">
        <f>K6*I13</f>
        <v>1175.2124534842035</v>
      </c>
      <c r="L7" s="52">
        <f>L6*I13</f>
        <v>1330.8311243222313</v>
      </c>
      <c r="M7" s="52">
        <f>M6*I13</f>
        <v>1479.0152899653669</v>
      </c>
      <c r="N7" s="52">
        <f>N6*I13</f>
        <v>1591.557044675149</v>
      </c>
    </row>
    <row r="8" spans="1:14">
      <c r="A8" s="46" t="s">
        <v>204</v>
      </c>
      <c r="B8">
        <v>1731</v>
      </c>
      <c r="C8">
        <v>1814</v>
      </c>
      <c r="D8">
        <v>1853</v>
      </c>
      <c r="E8">
        <v>2082</v>
      </c>
      <c r="F8">
        <v>2072</v>
      </c>
      <c r="H8">
        <v>1982</v>
      </c>
      <c r="I8" s="13"/>
      <c r="J8" s="13">
        <f>J6-J7</f>
        <v>5137.1629621666289</v>
      </c>
      <c r="K8" s="53">
        <f>K6-K7</f>
        <v>5896.1063588454781</v>
      </c>
      <c r="L8" s="53">
        <f>L6-L7</f>
        <v>6676.8539010987051</v>
      </c>
      <c r="M8" s="53">
        <f>M6-M7</f>
        <v>7420.3021165582841</v>
      </c>
      <c r="N8" s="53">
        <f>N6-N7</f>
        <v>7984.9303704647946</v>
      </c>
    </row>
    <row r="11" spans="1:14">
      <c r="A11" s="46" t="s">
        <v>205</v>
      </c>
      <c r="B11" s="49">
        <f>IS!B4/'Fixed Asset schdeule'!B6</f>
        <v>6.0073937153419594</v>
      </c>
      <c r="C11" s="49">
        <f>IS!C4/'Fixed Asset schdeule'!C6</f>
        <v>5.1143250688705235</v>
      </c>
      <c r="D11" s="49">
        <f>IS!D4/'Fixed Asset schdeule'!D6</f>
        <v>7.7715939447907392</v>
      </c>
      <c r="E11" s="49">
        <f>IS!E4/'Fixed Asset schdeule'!E6</f>
        <v>13.128912685337726</v>
      </c>
      <c r="F11" s="49">
        <f>IS!F4/'Fixed Asset schdeule'!F6</f>
        <v>3.6353522867737946</v>
      </c>
      <c r="H11" s="49">
        <f>IS!H4/'Fixed Asset schdeule'!H6</f>
        <v>3.7619433198380565</v>
      </c>
      <c r="I11" s="51">
        <f>AVERAGE(B11:F11)</f>
        <v>7.1315155402229475</v>
      </c>
      <c r="J11" s="10">
        <f>I11</f>
        <v>7.1315155402229475</v>
      </c>
      <c r="K11" s="10">
        <f>J11</f>
        <v>7.1315155402229475</v>
      </c>
      <c r="L11" s="10">
        <f>K11</f>
        <v>7.1315155402229475</v>
      </c>
      <c r="M11" s="10">
        <f>L11</f>
        <v>7.1315155402229475</v>
      </c>
      <c r="N11" s="10">
        <f>M11</f>
        <v>7.1315155402229475</v>
      </c>
    </row>
    <row r="13" spans="1:14">
      <c r="A13" s="46" t="s">
        <v>206</v>
      </c>
      <c r="B13" s="48">
        <f>B7/B6</f>
        <v>0.2000924214417745</v>
      </c>
      <c r="C13" s="48">
        <f>C7/C6</f>
        <v>0.16712580348943984</v>
      </c>
      <c r="D13" s="48">
        <f>D7/D6</f>
        <v>0.17497773820124665</v>
      </c>
      <c r="E13" s="48">
        <f>E7/E6</f>
        <v>0.14250411861614498</v>
      </c>
      <c r="F13" s="48">
        <f>F7/F6</f>
        <v>0.14627111660486197</v>
      </c>
      <c r="H13" s="48">
        <f>H7/H6</f>
        <v>0.19757085020242915</v>
      </c>
      <c r="I13" s="50">
        <f>AVERAGE(B13:F13)</f>
        <v>0.16619423967069361</v>
      </c>
      <c r="J13" s="8">
        <f>I13</f>
        <v>0.16619423967069361</v>
      </c>
      <c r="K13" s="8">
        <f>J13</f>
        <v>0.16619423967069361</v>
      </c>
      <c r="L13" s="8">
        <f>K13</f>
        <v>0.16619423967069361</v>
      </c>
      <c r="M13" s="8">
        <f>L13</f>
        <v>0.16619423967069361</v>
      </c>
      <c r="N13" s="8">
        <f>M13</f>
        <v>0.16619423967069361</v>
      </c>
    </row>
    <row r="14" spans="1:14">
      <c r="J14" s="14"/>
    </row>
    <row r="16" spans="1:14">
      <c r="A16" s="47" t="s">
        <v>207</v>
      </c>
    </row>
    <row r="18" spans="1:14">
      <c r="A18" s="46" t="s">
        <v>200</v>
      </c>
      <c r="B18">
        <v>82</v>
      </c>
      <c r="C18">
        <v>71</v>
      </c>
      <c r="D18">
        <f>C22</f>
        <v>1564</v>
      </c>
      <c r="E18">
        <f>D22</f>
        <v>2412</v>
      </c>
      <c r="F18">
        <f>E22</f>
        <v>1874</v>
      </c>
      <c r="H18">
        <f>F22</f>
        <v>1425</v>
      </c>
      <c r="J18" s="13">
        <f>H22</f>
        <v>1192</v>
      </c>
      <c r="K18" s="53">
        <f>J22</f>
        <v>797.17273580246592</v>
      </c>
      <c r="L18" s="53">
        <f>K22</f>
        <v>615.77942897944581</v>
      </c>
      <c r="M18" s="53">
        <f>L22</f>
        <v>475.66140702560568</v>
      </c>
      <c r="N18" s="53">
        <f>M22</f>
        <v>367.42665228125225</v>
      </c>
    </row>
    <row r="19" spans="1:14">
      <c r="A19" s="46" t="s">
        <v>201</v>
      </c>
      <c r="B19">
        <f>B20-B18</f>
        <v>28</v>
      </c>
      <c r="C19">
        <f>C20-C18</f>
        <v>1704</v>
      </c>
      <c r="D19">
        <f>D20-D18</f>
        <v>1357</v>
      </c>
      <c r="E19">
        <f>E20-E18</f>
        <v>63</v>
      </c>
      <c r="F19">
        <f>F20-F18</f>
        <v>19</v>
      </c>
      <c r="H19">
        <f>H20-H18</f>
        <v>-160</v>
      </c>
      <c r="J19" s="13">
        <f>H19</f>
        <v>-160</v>
      </c>
      <c r="K19">
        <v>0</v>
      </c>
      <c r="L19">
        <f>K19</f>
        <v>0</v>
      </c>
      <c r="M19">
        <f>L19</f>
        <v>0</v>
      </c>
      <c r="N19">
        <f>M19</f>
        <v>0</v>
      </c>
    </row>
    <row r="20" spans="1:14">
      <c r="A20" s="46" t="s">
        <v>208</v>
      </c>
      <c r="B20">
        <f>B22+B21</f>
        <v>110</v>
      </c>
      <c r="C20">
        <f>C22+C21</f>
        <v>1775</v>
      </c>
      <c r="D20">
        <f>D22+D21</f>
        <v>2921</v>
      </c>
      <c r="E20">
        <f>E22+E21</f>
        <v>2475</v>
      </c>
      <c r="F20">
        <f>F22+F21</f>
        <v>1893</v>
      </c>
      <c r="H20">
        <f>H22+H21</f>
        <v>1265</v>
      </c>
      <c r="J20" s="13">
        <f>J18+J19</f>
        <v>1032</v>
      </c>
      <c r="K20" s="13">
        <f>K18+K19</f>
        <v>797.17273580246592</v>
      </c>
      <c r="L20" s="13">
        <f>L18+L19</f>
        <v>615.77942897944581</v>
      </c>
      <c r="M20" s="13">
        <f>M18+M19</f>
        <v>475.66140702560568</v>
      </c>
      <c r="N20" s="13">
        <f>N18+N19</f>
        <v>367.42665228125225</v>
      </c>
    </row>
    <row r="21" spans="1:14">
      <c r="A21" s="46" t="s">
        <v>209</v>
      </c>
      <c r="B21">
        <f>B30-B7</f>
        <v>39</v>
      </c>
      <c r="C21">
        <f>C30-C7</f>
        <v>211</v>
      </c>
      <c r="D21">
        <f>D30-D7</f>
        <v>509</v>
      </c>
      <c r="E21">
        <f>E30-E7</f>
        <v>601</v>
      </c>
      <c r="F21">
        <f>F30-F7</f>
        <v>468</v>
      </c>
      <c r="H21">
        <v>73</v>
      </c>
      <c r="J21" s="13">
        <f>J20*I25</f>
        <v>234.82726419753411</v>
      </c>
      <c r="K21" s="13">
        <f>K20*I25</f>
        <v>181.39330682302008</v>
      </c>
      <c r="L21" s="13">
        <f>L20*I25</f>
        <v>140.11802195384013</v>
      </c>
      <c r="M21" s="13">
        <f>M20*I25</f>
        <v>108.23475474435341</v>
      </c>
      <c r="N21" s="13">
        <f>N20*I25</f>
        <v>83.606391035334426</v>
      </c>
    </row>
    <row r="22" spans="1:14">
      <c r="A22" s="46" t="s">
        <v>204</v>
      </c>
      <c r="B22">
        <v>71</v>
      </c>
      <c r="C22">
        <v>1564</v>
      </c>
      <c r="D22">
        <v>2412</v>
      </c>
      <c r="E22">
        <v>1874</v>
      </c>
      <c r="F22">
        <v>1425</v>
      </c>
      <c r="H22">
        <v>1192</v>
      </c>
      <c r="J22" s="13">
        <f>J20-J21</f>
        <v>797.17273580246592</v>
      </c>
      <c r="K22" s="13">
        <f>K20-K21</f>
        <v>615.77942897944581</v>
      </c>
      <c r="L22" s="13">
        <f>L20-L21</f>
        <v>475.66140702560568</v>
      </c>
      <c r="M22" s="13">
        <f>M20-M21</f>
        <v>367.42665228125225</v>
      </c>
      <c r="N22" s="13">
        <f>N20-N21</f>
        <v>283.82026124591783</v>
      </c>
    </row>
    <row r="24" spans="1:14" ht="28.8">
      <c r="B24" s="24" t="s">
        <v>295</v>
      </c>
      <c r="C24" s="24" t="s">
        <v>296</v>
      </c>
      <c r="D24" s="24" t="s">
        <v>297</v>
      </c>
      <c r="E24" s="24" t="s">
        <v>297</v>
      </c>
      <c r="F24" s="24" t="s">
        <v>298</v>
      </c>
      <c r="H24" s="24" t="s">
        <v>299</v>
      </c>
    </row>
    <row r="25" spans="1:14">
      <c r="A25" s="46" t="s">
        <v>210</v>
      </c>
      <c r="B25" s="48">
        <f>B21/B20</f>
        <v>0.35454545454545455</v>
      </c>
      <c r="C25" s="48">
        <f>C21/C20</f>
        <v>0.11887323943661972</v>
      </c>
      <c r="D25" s="48">
        <f>D21/D20</f>
        <v>0.17425539198904486</v>
      </c>
      <c r="E25" s="48">
        <f>E21/E20</f>
        <v>0.24282828282828284</v>
      </c>
      <c r="F25" s="48">
        <f>F21/F20</f>
        <v>0.24722662440570523</v>
      </c>
      <c r="H25" s="48">
        <f>H21/H20</f>
        <v>5.7707509881422925E-2</v>
      </c>
      <c r="I25" s="50">
        <f>AVERAGE(B25:F25)</f>
        <v>0.22754579864102142</v>
      </c>
      <c r="J25" s="8">
        <f>I25</f>
        <v>0.22754579864102142</v>
      </c>
      <c r="K25" s="8">
        <f>J25</f>
        <v>0.22754579864102142</v>
      </c>
      <c r="L25" s="8">
        <f>K25</f>
        <v>0.22754579864102142</v>
      </c>
      <c r="M25" s="8">
        <f>L25</f>
        <v>0.22754579864102142</v>
      </c>
      <c r="N25" s="8">
        <f>M25</f>
        <v>0.22754579864102142</v>
      </c>
    </row>
    <row r="30" spans="1:14">
      <c r="A30" t="s">
        <v>211</v>
      </c>
      <c r="B30">
        <v>472</v>
      </c>
      <c r="C30">
        <v>575</v>
      </c>
      <c r="D30">
        <v>902</v>
      </c>
      <c r="E30">
        <v>947</v>
      </c>
      <c r="F30">
        <v>823</v>
      </c>
      <c r="H30">
        <v>561</v>
      </c>
      <c r="I30">
        <v>711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CCEB8-0597-4448-BE0A-943265B5D76E}">
  <dimension ref="A1:AG1284"/>
  <sheetViews>
    <sheetView topLeftCell="S1" workbookViewId="0">
      <selection activeCell="AI6" sqref="AI6"/>
    </sheetView>
  </sheetViews>
  <sheetFormatPr defaultRowHeight="14.4"/>
  <cols>
    <col min="1" max="1" width="16.6640625" bestFit="1" customWidth="1"/>
    <col min="2" max="2" width="15.109375" bestFit="1" customWidth="1"/>
    <col min="3" max="3" width="12.5546875" bestFit="1" customWidth="1"/>
    <col min="4" max="4" width="12.6640625" bestFit="1" customWidth="1"/>
    <col min="5" max="5" width="10.5546875" bestFit="1" customWidth="1"/>
    <col min="6" max="6" width="23" bestFit="1" customWidth="1"/>
    <col min="8" max="8" width="10.5546875" bestFit="1" customWidth="1"/>
    <col min="9" max="9" width="19.88671875" bestFit="1" customWidth="1"/>
    <col min="10" max="10" width="12" bestFit="1" customWidth="1"/>
    <col min="13" max="13" width="14.21875" bestFit="1" customWidth="1"/>
    <col min="14" max="14" width="10" bestFit="1" customWidth="1"/>
    <col min="15" max="15" width="11.5546875" bestFit="1" customWidth="1"/>
    <col min="17" max="17" width="12.5546875" bestFit="1" customWidth="1"/>
    <col min="19" max="19" width="12.6640625" bestFit="1" customWidth="1"/>
    <col min="20" max="20" width="10.6640625" bestFit="1" customWidth="1"/>
    <col min="21" max="21" width="22.33203125" bestFit="1" customWidth="1"/>
    <col min="22" max="22" width="13.6640625" bestFit="1" customWidth="1"/>
    <col min="24" max="24" width="14.21875" bestFit="1" customWidth="1"/>
    <col min="25" max="25" width="12.5546875" bestFit="1" customWidth="1"/>
    <col min="26" max="26" width="13.6640625" bestFit="1" customWidth="1"/>
    <col min="27" max="27" width="10.6640625" bestFit="1" customWidth="1"/>
    <col min="30" max="30" width="16.6640625" bestFit="1" customWidth="1"/>
  </cols>
  <sheetData>
    <row r="1" spans="1:30" ht="16.2" thickBot="1">
      <c r="A1" s="228" t="s">
        <v>1068</v>
      </c>
      <c r="B1" s="228" t="s">
        <v>1069</v>
      </c>
      <c r="C1" s="229" t="s">
        <v>1070</v>
      </c>
      <c r="D1" s="228" t="s">
        <v>1071</v>
      </c>
    </row>
    <row r="2" spans="1:30">
      <c r="A2" s="230" t="s">
        <v>1064</v>
      </c>
      <c r="B2" s="231">
        <f>B1284</f>
        <v>1.3064970561749105</v>
      </c>
      <c r="C2" s="232" t="s">
        <v>1082</v>
      </c>
      <c r="D2" s="233">
        <f>RSQ(C18:C1273,O21:O1276)</f>
        <v>0.27919570651338971</v>
      </c>
    </row>
    <row r="3" spans="1:30">
      <c r="A3" s="230" t="s">
        <v>1072</v>
      </c>
      <c r="B3" s="245">
        <f>J1281</f>
        <v>1.5672408715971708</v>
      </c>
      <c r="C3" s="234" t="s">
        <v>1083</v>
      </c>
      <c r="D3" s="233">
        <f>RSQ(J19:J1274,O21:O1276)</f>
        <v>0.19553182615208389</v>
      </c>
    </row>
    <row r="4" spans="1:30" ht="15">
      <c r="A4" s="230" t="s">
        <v>1232</v>
      </c>
      <c r="B4" s="231">
        <f>V1280</f>
        <v>7.8013656123146438E-2</v>
      </c>
      <c r="C4" s="392" t="s">
        <v>1233</v>
      </c>
      <c r="D4" s="233">
        <f>RSQ(U21:U805,O21:O805)</f>
        <v>9.104207453248167E-2</v>
      </c>
    </row>
    <row r="5" spans="1:30">
      <c r="A5" s="230" t="s">
        <v>1338</v>
      </c>
      <c r="B5" s="231">
        <f>Y1280</f>
        <v>0.49275408268861193</v>
      </c>
      <c r="C5" s="234" t="s">
        <v>1340</v>
      </c>
      <c r="D5" s="233">
        <f>RSQ(O21:O1270,Z21:Z1270)</f>
        <v>4.4127515285334248E-3</v>
      </c>
    </row>
    <row r="6" spans="1:30">
      <c r="A6" s="230" t="s">
        <v>1405</v>
      </c>
      <c r="B6" s="231">
        <f>AE1276</f>
        <v>1.8908834382368798</v>
      </c>
      <c r="C6" s="234" t="s">
        <v>1406</v>
      </c>
      <c r="D6" s="235">
        <f>RSQ(AF21:AF1048,O21:O1048)</f>
        <v>0.26382071910508847</v>
      </c>
    </row>
    <row r="7" spans="1:30">
      <c r="A7" s="230"/>
      <c r="B7" s="231"/>
      <c r="C7" s="234"/>
      <c r="D7" s="235"/>
      <c r="E7" s="1"/>
    </row>
    <row r="8" spans="1:30">
      <c r="A8" s="230"/>
      <c r="B8" s="231"/>
      <c r="C8" s="234"/>
      <c r="D8" s="233"/>
      <c r="E8" s="1"/>
    </row>
    <row r="9" spans="1:30">
      <c r="A9" s="230"/>
      <c r="B9" s="231"/>
      <c r="C9" s="234"/>
      <c r="D9" s="233"/>
      <c r="E9" s="1"/>
    </row>
    <row r="10" spans="1:30">
      <c r="A10" s="230"/>
      <c r="B10" s="231"/>
      <c r="C10" s="234"/>
      <c r="D10" s="235"/>
      <c r="E10" s="1"/>
    </row>
    <row r="11" spans="1:30">
      <c r="A11" s="230"/>
      <c r="B11" s="231"/>
      <c r="C11" s="234"/>
      <c r="D11" s="233"/>
      <c r="E11" s="1"/>
    </row>
    <row r="12" spans="1:30" ht="15" thickBot="1">
      <c r="A12" s="236"/>
      <c r="B12" s="237"/>
      <c r="C12" s="238"/>
      <c r="D12" s="239"/>
      <c r="E12" s="1"/>
    </row>
    <row r="13" spans="1:30">
      <c r="B13" s="3" t="s">
        <v>1084</v>
      </c>
    </row>
    <row r="14" spans="1:30">
      <c r="B14" s="244" t="s">
        <v>1085</v>
      </c>
    </row>
    <row r="15" spans="1:30" ht="21">
      <c r="A15" s="226" t="s">
        <v>1073</v>
      </c>
      <c r="H15" s="391" t="s">
        <v>1072</v>
      </c>
    </row>
    <row r="16" spans="1:30" ht="18">
      <c r="A16" s="224" t="s">
        <v>300</v>
      </c>
      <c r="B16" s="225" t="s">
        <v>301</v>
      </c>
      <c r="C16" s="213" t="s">
        <v>1063</v>
      </c>
      <c r="D16" t="s">
        <v>1067</v>
      </c>
      <c r="S16" s="396" t="s">
        <v>1230</v>
      </c>
      <c r="X16" s="11" t="s">
        <v>1338</v>
      </c>
      <c r="AD16" s="565" t="s">
        <v>1405</v>
      </c>
    </row>
    <row r="17" spans="1:33">
      <c r="A17" s="3" t="s">
        <v>302</v>
      </c>
      <c r="B17" s="3">
        <v>64.84</v>
      </c>
      <c r="C17" s="154"/>
      <c r="H17" t="s">
        <v>300</v>
      </c>
      <c r="I17" t="s">
        <v>301</v>
      </c>
      <c r="J17" s="213" t="s">
        <v>1063</v>
      </c>
      <c r="K17" t="s">
        <v>1067</v>
      </c>
      <c r="U17" s="3"/>
    </row>
    <row r="18" spans="1:33">
      <c r="A18" s="3" t="s">
        <v>303</v>
      </c>
      <c r="B18" s="223">
        <v>65.7</v>
      </c>
      <c r="C18" s="227">
        <f t="shared" ref="C18:C81" si="0">B18/B17-1</f>
        <v>1.3263417643429865E-2</v>
      </c>
      <c r="D18" s="5">
        <f>C18-C1275</f>
        <v>1.3185372073870976E-2</v>
      </c>
      <c r="F18" s="8"/>
      <c r="H18" t="s">
        <v>302</v>
      </c>
      <c r="I18">
        <v>12.97</v>
      </c>
      <c r="J18" s="213"/>
      <c r="M18" s="3" t="s">
        <v>1074</v>
      </c>
      <c r="U18" s="29"/>
      <c r="AF18" s="213" t="s">
        <v>1063</v>
      </c>
      <c r="AG18" t="s">
        <v>1231</v>
      </c>
    </row>
    <row r="19" spans="1:33">
      <c r="A19" s="220">
        <v>45931</v>
      </c>
      <c r="B19" s="3">
        <v>65.97</v>
      </c>
      <c r="C19" s="227">
        <f t="shared" si="0"/>
        <v>4.109589041095818E-3</v>
      </c>
      <c r="D19" s="5">
        <f>C19-C1275</f>
        <v>4.0315434715369287E-3</v>
      </c>
      <c r="F19" s="8"/>
      <c r="H19" t="s">
        <v>303</v>
      </c>
      <c r="I19">
        <v>12.99</v>
      </c>
      <c r="J19" s="227">
        <f>I19/I18-1</f>
        <v>1.5420200462605838E-3</v>
      </c>
      <c r="K19" s="5">
        <f>J19-J1276</f>
        <v>-5.9393586934937403E-4</v>
      </c>
      <c r="M19" t="s">
        <v>300</v>
      </c>
      <c r="N19" t="s">
        <v>301</v>
      </c>
      <c r="O19" s="213" t="s">
        <v>1063</v>
      </c>
      <c r="P19" t="s">
        <v>1067</v>
      </c>
      <c r="Q19" t="s">
        <v>1075</v>
      </c>
      <c r="S19" t="s">
        <v>300</v>
      </c>
      <c r="T19" t="s">
        <v>301</v>
      </c>
      <c r="U19" s="213" t="s">
        <v>1063</v>
      </c>
      <c r="V19" t="s">
        <v>1231</v>
      </c>
      <c r="X19" t="s">
        <v>300</v>
      </c>
      <c r="Y19" t="s">
        <v>301</v>
      </c>
      <c r="Z19" s="213" t="s">
        <v>1063</v>
      </c>
      <c r="AA19" t="s">
        <v>1231</v>
      </c>
    </row>
    <row r="20" spans="1:33">
      <c r="A20" s="220">
        <v>45870</v>
      </c>
      <c r="B20" s="3">
        <v>64.91</v>
      </c>
      <c r="C20" s="227">
        <f t="shared" si="0"/>
        <v>-1.6067909655904211E-2</v>
      </c>
      <c r="D20" s="5">
        <f>C20-C1275</f>
        <v>-1.61459552254631E-2</v>
      </c>
      <c r="F20" s="8"/>
      <c r="H20" s="1">
        <v>45931</v>
      </c>
      <c r="I20">
        <v>12.98</v>
      </c>
      <c r="J20" s="227">
        <f t="shared" ref="J20:J83" si="1">I20/I19-1</f>
        <v>-7.698229407235857E-4</v>
      </c>
      <c r="K20" s="5">
        <f>J20-J1276</f>
        <v>-2.9057788563335435E-3</v>
      </c>
      <c r="M20" s="240" t="s">
        <v>302</v>
      </c>
      <c r="N20">
        <v>5842.91</v>
      </c>
      <c r="S20" t="s">
        <v>302</v>
      </c>
      <c r="T20">
        <v>4.3600000000000003</v>
      </c>
      <c r="U20" s="29"/>
      <c r="V20" s="5"/>
      <c r="X20" t="s">
        <v>1328</v>
      </c>
      <c r="Y20">
        <v>4.66</v>
      </c>
      <c r="AD20" t="s">
        <v>302</v>
      </c>
      <c r="AE20">
        <v>169.33</v>
      </c>
    </row>
    <row r="21" spans="1:33">
      <c r="A21" s="220">
        <v>45839</v>
      </c>
      <c r="B21" s="3">
        <v>66.150000000000006</v>
      </c>
      <c r="C21" s="227">
        <f t="shared" si="0"/>
        <v>1.9103373902326526E-2</v>
      </c>
      <c r="D21" s="5">
        <f>C21-C1275</f>
        <v>1.9025328332767637E-2</v>
      </c>
      <c r="F21" s="8"/>
      <c r="H21" s="1">
        <v>45870</v>
      </c>
      <c r="I21">
        <v>13.36</v>
      </c>
      <c r="J21" s="227">
        <f t="shared" si="1"/>
        <v>2.9275808936825909E-2</v>
      </c>
      <c r="K21" s="5">
        <f>J21-J1276</f>
        <v>2.7139853021215951E-2</v>
      </c>
      <c r="M21" s="240" t="s">
        <v>303</v>
      </c>
      <c r="N21">
        <v>5836.22</v>
      </c>
      <c r="O21" s="227">
        <f>N21/N20-1</f>
        <v>-1.1449774170746441E-3</v>
      </c>
      <c r="P21" s="5">
        <f>O21-O1278</f>
        <v>-7.7922021616147258E-4</v>
      </c>
      <c r="Q21" s="8">
        <f>P21*P21</f>
        <v>6.0718414527473203E-7</v>
      </c>
      <c r="S21" t="s">
        <v>303</v>
      </c>
      <c r="T21">
        <v>4.5</v>
      </c>
      <c r="U21" s="29">
        <f>T21/T20-1</f>
        <v>3.2110091743119185E-2</v>
      </c>
      <c r="V21" s="5">
        <f>U21-V1274</f>
        <v>3.0373900967412146E-2</v>
      </c>
      <c r="X21" t="s">
        <v>1329</v>
      </c>
      <c r="Y21">
        <v>4.68</v>
      </c>
      <c r="Z21" s="48">
        <f t="shared" ref="Z21:Z85" si="2">Y21/Y20-1</f>
        <v>4.2918454935620964E-3</v>
      </c>
      <c r="AA21" s="5">
        <f>Z21-Y1274</f>
        <v>7.4526024287962372E-5</v>
      </c>
      <c r="AD21" t="s">
        <v>303</v>
      </c>
      <c r="AE21">
        <v>168.37</v>
      </c>
      <c r="AF21" s="29">
        <f>AE21/AE20-1</f>
        <v>-5.6694029410028213E-3</v>
      </c>
    </row>
    <row r="22" spans="1:33">
      <c r="A22" s="220">
        <v>45809</v>
      </c>
      <c r="B22" s="3">
        <v>66.31</v>
      </c>
      <c r="C22" s="227">
        <f>B22/B21-1</f>
        <v>2.4187452758881456E-3</v>
      </c>
      <c r="D22" s="5">
        <f>C22-C1275</f>
        <v>2.3406997063292563E-3</v>
      </c>
      <c r="F22" s="8"/>
      <c r="H22" s="1">
        <v>45839</v>
      </c>
      <c r="I22">
        <v>14.32</v>
      </c>
      <c r="J22" s="227">
        <f>I22/I21-1</f>
        <v>7.1856287425149823E-2</v>
      </c>
      <c r="K22" s="5">
        <f>J22-J1276</f>
        <v>6.9720331509539865E-2</v>
      </c>
      <c r="M22" s="241">
        <v>45931</v>
      </c>
      <c r="N22">
        <v>5827.04</v>
      </c>
      <c r="O22" s="227">
        <f t="shared" ref="O22:O85" si="3">N22/N21-1</f>
        <v>-1.5729359071454674E-3</v>
      </c>
      <c r="P22" s="5">
        <f>O22-O1278</f>
        <v>-1.2071787062322959E-3</v>
      </c>
      <c r="Q22" s="8">
        <f>P22*P22</f>
        <v>1.4572804287806797E-6</v>
      </c>
      <c r="S22" s="1">
        <v>45931</v>
      </c>
      <c r="T22">
        <v>4.49</v>
      </c>
      <c r="U22" s="29">
        <f t="shared" ref="U22:U85" si="4">T22/T21-1</f>
        <v>-2.2222222222221255E-3</v>
      </c>
      <c r="V22" s="5">
        <f>U22-V1274</f>
        <v>-3.9584129979291635E-3</v>
      </c>
      <c r="X22" t="s">
        <v>1330</v>
      </c>
      <c r="Y22">
        <v>4.7350000000000003</v>
      </c>
      <c r="Z22" s="48">
        <f t="shared" si="2"/>
        <v>1.1752136752136932E-2</v>
      </c>
      <c r="AA22" s="5">
        <f>Z22-Y1274</f>
        <v>7.5348172828627984E-3</v>
      </c>
      <c r="AD22" s="1">
        <v>45931</v>
      </c>
      <c r="AE22">
        <v>170.12</v>
      </c>
      <c r="AF22" s="29">
        <f t="shared" ref="AF22:AF85" si="5">AE22/AE21-1</f>
        <v>1.0393775613232847E-2</v>
      </c>
    </row>
    <row r="23" spans="1:33">
      <c r="A23" s="220">
        <v>45717</v>
      </c>
      <c r="B23" s="3">
        <v>64.59</v>
      </c>
      <c r="C23" s="227">
        <f t="shared" si="0"/>
        <v>-2.5938772432513968E-2</v>
      </c>
      <c r="D23" s="5">
        <f>C23-C1275</f>
        <v>-2.6016818002072856E-2</v>
      </c>
      <c r="F23" s="8"/>
      <c r="H23" s="1">
        <v>45809</v>
      </c>
      <c r="I23">
        <v>14.39</v>
      </c>
      <c r="J23" s="227">
        <f t="shared" si="1"/>
        <v>4.8882681564246244E-3</v>
      </c>
      <c r="K23" s="5">
        <f>J23-J1276</f>
        <v>2.7523122408146666E-3</v>
      </c>
      <c r="M23" s="241">
        <v>45870</v>
      </c>
      <c r="N23">
        <v>5918.25</v>
      </c>
      <c r="O23" s="227">
        <f t="shared" si="3"/>
        <v>1.5652887229193668E-2</v>
      </c>
      <c r="P23" s="5">
        <f>O23-O1278</f>
        <v>1.6018644430106841E-2</v>
      </c>
      <c r="Q23" s="8">
        <f t="shared" ref="Q23:Q86" si="6">P23*P23</f>
        <v>2.5659696937819295E-4</v>
      </c>
      <c r="S23" s="1">
        <v>45870</v>
      </c>
      <c r="T23">
        <v>4.63</v>
      </c>
      <c r="U23" s="29">
        <f t="shared" si="4"/>
        <v>3.1180400890868487E-2</v>
      </c>
      <c r="V23" s="5">
        <f>U23-V1274</f>
        <v>2.9444210115161448E-2</v>
      </c>
      <c r="X23" t="s">
        <v>1331</v>
      </c>
      <c r="Y23">
        <v>4.8</v>
      </c>
      <c r="Z23" s="48">
        <f t="shared" si="2"/>
        <v>1.3727560718056919E-2</v>
      </c>
      <c r="AA23" s="5">
        <f>Z23-Y1274</f>
        <v>9.5102412487827852E-3</v>
      </c>
      <c r="AD23" s="1">
        <v>45870</v>
      </c>
      <c r="AE23">
        <v>173.72</v>
      </c>
      <c r="AF23" s="29">
        <f t="shared" si="5"/>
        <v>2.1161533035504387E-2</v>
      </c>
    </row>
    <row r="24" spans="1:33">
      <c r="A24" s="220">
        <v>45689</v>
      </c>
      <c r="B24" s="3">
        <v>63.17</v>
      </c>
      <c r="C24" s="227">
        <f t="shared" si="0"/>
        <v>-2.1984827372658278E-2</v>
      </c>
      <c r="D24" s="5">
        <f>C24-C1275</f>
        <v>-2.2062872942217166E-2</v>
      </c>
      <c r="F24" s="8"/>
      <c r="H24" s="1">
        <v>45717</v>
      </c>
      <c r="I24">
        <v>14.27</v>
      </c>
      <c r="J24" s="227">
        <f t="shared" si="1"/>
        <v>-8.3391243919389568E-3</v>
      </c>
      <c r="K24" s="5">
        <f>J24-J1276</f>
        <v>-1.0475080307548915E-2</v>
      </c>
      <c r="M24" s="241">
        <v>45839</v>
      </c>
      <c r="N24">
        <v>5909.03</v>
      </c>
      <c r="O24" s="227">
        <f t="shared" si="3"/>
        <v>-1.5578929582225065E-3</v>
      </c>
      <c r="P24" s="5">
        <f>O24-O1278</f>
        <v>-1.192135757309335E-3</v>
      </c>
      <c r="Q24" s="8">
        <f t="shared" si="6"/>
        <v>1.4211876638555017E-6</v>
      </c>
      <c r="S24" s="1">
        <v>45839</v>
      </c>
      <c r="T24">
        <v>4.74</v>
      </c>
      <c r="U24" s="29">
        <f t="shared" si="4"/>
        <v>2.3758099352051865E-2</v>
      </c>
      <c r="V24" s="5">
        <f>U24-V1274</f>
        <v>2.2021908576344826E-2</v>
      </c>
      <c r="X24" t="s">
        <v>1332</v>
      </c>
      <c r="Y24">
        <v>4.6399999999999997</v>
      </c>
      <c r="Z24" s="48">
        <f t="shared" si="2"/>
        <v>-3.3333333333333326E-2</v>
      </c>
      <c r="AA24" s="5">
        <f>Z24-Y1274</f>
        <v>-3.7550652802607457E-2</v>
      </c>
      <c r="AD24" s="1">
        <v>45839</v>
      </c>
      <c r="AE24">
        <v>170</v>
      </c>
      <c r="AF24" s="29">
        <f t="shared" si="5"/>
        <v>-2.1413769283905149E-2</v>
      </c>
    </row>
    <row r="25" spans="1:33">
      <c r="A25" s="3" t="s">
        <v>304</v>
      </c>
      <c r="B25" s="3">
        <v>60.32</v>
      </c>
      <c r="C25" s="227">
        <f t="shared" si="0"/>
        <v>-4.5116352699065998E-2</v>
      </c>
      <c r="D25" s="5">
        <f>C25-C1275</f>
        <v>-4.519439826862489E-2</v>
      </c>
      <c r="F25" s="8"/>
      <c r="H25" s="1">
        <v>45689</v>
      </c>
      <c r="I25">
        <v>13.65</v>
      </c>
      <c r="J25" s="227">
        <f t="shared" si="1"/>
        <v>-4.3447792571828958E-2</v>
      </c>
      <c r="K25" s="5">
        <f>J25-J1276</f>
        <v>-4.5583748487438916E-2</v>
      </c>
      <c r="M25" s="241">
        <v>45809</v>
      </c>
      <c r="N25">
        <v>5975.38</v>
      </c>
      <c r="O25" s="227">
        <f>N25/N24-1</f>
        <v>1.122857727918114E-2</v>
      </c>
      <c r="P25" s="5">
        <f>O25-O1278</f>
        <v>1.1594334480094311E-2</v>
      </c>
      <c r="Q25" s="8">
        <f t="shared" si="6"/>
        <v>1.3442859203630382E-4</v>
      </c>
      <c r="S25" s="1">
        <v>45809</v>
      </c>
      <c r="T25">
        <v>4.87</v>
      </c>
      <c r="U25" s="29">
        <f t="shared" si="4"/>
        <v>2.7426160337552741E-2</v>
      </c>
      <c r="V25" s="5">
        <f>U25-V1274</f>
        <v>2.5689969561845702E-2</v>
      </c>
      <c r="X25" t="s">
        <v>1333</v>
      </c>
      <c r="Y25">
        <v>4.7</v>
      </c>
      <c r="Z25" s="48">
        <f t="shared" si="2"/>
        <v>1.2931034482758674E-2</v>
      </c>
      <c r="AA25" s="5">
        <f>Z25-Y1274</f>
        <v>8.7137150134845402E-3</v>
      </c>
      <c r="AD25" s="1">
        <v>45809</v>
      </c>
      <c r="AE25">
        <v>175.02</v>
      </c>
      <c r="AF25" s="29">
        <f t="shared" si="5"/>
        <v>2.9529411764706026E-2</v>
      </c>
    </row>
    <row r="26" spans="1:33">
      <c r="A26" s="3" t="s">
        <v>305</v>
      </c>
      <c r="B26" s="3">
        <v>60.77</v>
      </c>
      <c r="C26" s="227">
        <f t="shared" si="0"/>
        <v>7.4602122015916539E-3</v>
      </c>
      <c r="D26" s="5">
        <f>C26-C1275</f>
        <v>7.3821666320327646E-3</v>
      </c>
      <c r="E26" s="1"/>
      <c r="F26" s="8"/>
      <c r="H26" t="s">
        <v>304</v>
      </c>
      <c r="I26">
        <v>12.9</v>
      </c>
      <c r="J26" s="227">
        <f t="shared" si="1"/>
        <v>-5.4945054945054972E-2</v>
      </c>
      <c r="K26" s="5">
        <f>J26-J1276</f>
        <v>-5.708101086066493E-2</v>
      </c>
      <c r="M26" s="241">
        <v>45717</v>
      </c>
      <c r="N26">
        <v>5942.47</v>
      </c>
      <c r="O26" s="227">
        <f t="shared" si="3"/>
        <v>-5.5075995166834479E-3</v>
      </c>
      <c r="P26" s="5">
        <f>O26-O1278</f>
        <v>-5.141842315770276E-3</v>
      </c>
      <c r="Q26" s="8">
        <f t="shared" si="6"/>
        <v>2.6438542400245835E-5</v>
      </c>
      <c r="S26" s="1">
        <v>45717</v>
      </c>
      <c r="T26">
        <v>4.8099999999999996</v>
      </c>
      <c r="U26" s="29">
        <f t="shared" si="4"/>
        <v>-1.2320328542094527E-2</v>
      </c>
      <c r="V26" s="5">
        <f>U26-V1274</f>
        <v>-1.4056519317801566E-2</v>
      </c>
      <c r="X26" t="s">
        <v>1334</v>
      </c>
      <c r="Y26">
        <v>4.66</v>
      </c>
      <c r="Z26" s="48">
        <f t="shared" si="2"/>
        <v>-8.5106382978723527E-3</v>
      </c>
      <c r="AA26" s="5">
        <f>Z26-Y1274</f>
        <v>-1.2727957767146487E-2</v>
      </c>
      <c r="AD26" s="1">
        <v>45717</v>
      </c>
      <c r="AE26">
        <v>174.96</v>
      </c>
      <c r="AF26" s="29">
        <f t="shared" si="5"/>
        <v>-3.4281796366131267E-4</v>
      </c>
    </row>
    <row r="27" spans="1:33">
      <c r="A27" s="3" t="s">
        <v>306</v>
      </c>
      <c r="B27" s="3">
        <v>61.13</v>
      </c>
      <c r="C27" s="227">
        <f t="shared" si="0"/>
        <v>5.923975645877988E-3</v>
      </c>
      <c r="D27" s="5">
        <f>C27-C1275</f>
        <v>5.8459300763190987E-3</v>
      </c>
      <c r="E27" s="1"/>
      <c r="F27" s="8"/>
      <c r="H27" t="s">
        <v>305</v>
      </c>
      <c r="I27">
        <v>13.05</v>
      </c>
      <c r="J27" s="227">
        <f t="shared" si="1"/>
        <v>1.1627906976744207E-2</v>
      </c>
      <c r="K27" s="5">
        <f>J27-J1276</f>
        <v>9.4919510611342489E-3</v>
      </c>
      <c r="M27" s="241">
        <v>45689</v>
      </c>
      <c r="N27">
        <v>5868.55</v>
      </c>
      <c r="O27" s="227">
        <f t="shared" si="3"/>
        <v>-1.2439271885259839E-2</v>
      </c>
      <c r="P27" s="5">
        <f>O27-O1278</f>
        <v>-1.2073514684346668E-2</v>
      </c>
      <c r="Q27" s="8">
        <f t="shared" si="6"/>
        <v>1.4576975683313462E-4</v>
      </c>
      <c r="S27" s="1">
        <v>45689</v>
      </c>
      <c r="T27">
        <v>4.74</v>
      </c>
      <c r="U27" s="29">
        <f t="shared" si="4"/>
        <v>-1.4553014553014387E-2</v>
      </c>
      <c r="V27" s="5">
        <f>U27-V1274</f>
        <v>-1.6289205328721426E-2</v>
      </c>
      <c r="X27" t="s">
        <v>1335</v>
      </c>
      <c r="Y27">
        <v>4.7</v>
      </c>
      <c r="Z27" s="48">
        <f t="shared" si="2"/>
        <v>8.5836909871244149E-3</v>
      </c>
      <c r="AA27" s="5">
        <f>Z27-Y1274</f>
        <v>4.3663715178502809E-3</v>
      </c>
      <c r="AD27" s="1">
        <v>45689</v>
      </c>
      <c r="AE27">
        <v>170.65</v>
      </c>
      <c r="AF27" s="29">
        <f t="shared" si="5"/>
        <v>-2.4634202103337888E-2</v>
      </c>
    </row>
    <row r="28" spans="1:33">
      <c r="A28" s="3" t="s">
        <v>307</v>
      </c>
      <c r="B28" s="3">
        <v>61.56</v>
      </c>
      <c r="C28" s="227">
        <f t="shared" si="0"/>
        <v>7.0341894323573406E-3</v>
      </c>
      <c r="D28" s="5">
        <f>C28-C1275</f>
        <v>6.9561438627984513E-3</v>
      </c>
      <c r="E28" s="1"/>
      <c r="F28" s="8"/>
      <c r="H28" t="s">
        <v>306</v>
      </c>
      <c r="I28">
        <v>13.31</v>
      </c>
      <c r="J28" s="227">
        <f t="shared" si="1"/>
        <v>1.9923371647509569E-2</v>
      </c>
      <c r="K28" s="5">
        <f>J28-J1276</f>
        <v>1.7787415731899611E-2</v>
      </c>
      <c r="M28" s="240" t="s">
        <v>304</v>
      </c>
      <c r="N28">
        <v>5881.63</v>
      </c>
      <c r="O28" s="227">
        <f t="shared" si="3"/>
        <v>2.2288299494763741E-3</v>
      </c>
      <c r="P28" s="5">
        <f>O28-O1278</f>
        <v>2.5945871503895456E-3</v>
      </c>
      <c r="Q28" s="8">
        <f t="shared" si="6"/>
        <v>6.7318824809665424E-6</v>
      </c>
      <c r="S28" t="s">
        <v>304</v>
      </c>
      <c r="T28">
        <v>4.72</v>
      </c>
      <c r="U28" s="29">
        <f t="shared" si="4"/>
        <v>-4.2194092827004814E-3</v>
      </c>
      <c r="V28" s="5">
        <f>U28-V1274</f>
        <v>-5.9556000584075194E-3</v>
      </c>
      <c r="X28" t="s">
        <v>1336</v>
      </c>
      <c r="Y28">
        <v>4.6100000000000003</v>
      </c>
      <c r="Z28" s="48">
        <f t="shared" si="2"/>
        <v>-1.9148936170212738E-2</v>
      </c>
      <c r="AA28" s="5">
        <f>Z28-Y1274</f>
        <v>-2.3366255639486872E-2</v>
      </c>
      <c r="AD28" t="s">
        <v>304</v>
      </c>
      <c r="AE28">
        <v>167.75</v>
      </c>
      <c r="AF28" s="29">
        <f t="shared" si="5"/>
        <v>-1.6993847055376543E-2</v>
      </c>
    </row>
    <row r="29" spans="1:33">
      <c r="A29" s="3" t="s">
        <v>308</v>
      </c>
      <c r="B29" s="3">
        <v>61.71</v>
      </c>
      <c r="C29" s="227">
        <f t="shared" si="0"/>
        <v>2.436647173489348E-3</v>
      </c>
      <c r="D29" s="5">
        <f>C29-C1275</f>
        <v>2.3586016039304587E-3</v>
      </c>
      <c r="E29" s="1"/>
      <c r="F29" s="8"/>
      <c r="H29" t="s">
        <v>307</v>
      </c>
      <c r="I29">
        <v>13.77</v>
      </c>
      <c r="J29" s="227">
        <f t="shared" si="1"/>
        <v>3.4560480841472563E-2</v>
      </c>
      <c r="K29" s="5">
        <f>J29-J1276</f>
        <v>3.2424524925862605E-2</v>
      </c>
      <c r="M29" s="240" t="s">
        <v>305</v>
      </c>
      <c r="N29">
        <v>5906.94</v>
      </c>
      <c r="O29" s="227">
        <f t="shared" si="3"/>
        <v>4.3032288668276575E-3</v>
      </c>
      <c r="P29" s="5">
        <f>O29-O1278</f>
        <v>4.6689860677408294E-3</v>
      </c>
      <c r="Q29" s="8">
        <f t="shared" si="6"/>
        <v>2.1799430900757972E-5</v>
      </c>
      <c r="S29" t="s">
        <v>305</v>
      </c>
      <c r="T29">
        <v>4.76</v>
      </c>
      <c r="U29" s="29">
        <f t="shared" si="4"/>
        <v>8.4745762711864181E-3</v>
      </c>
      <c r="V29" s="5">
        <f>U29-V1274</f>
        <v>6.7383854954793801E-3</v>
      </c>
      <c r="X29" t="s">
        <v>1337</v>
      </c>
      <c r="Y29">
        <v>4.62</v>
      </c>
      <c r="Z29" s="48">
        <f t="shared" si="2"/>
        <v>2.1691973969630851E-3</v>
      </c>
      <c r="AA29" s="5">
        <f>Z29-Y1274</f>
        <v>-2.048122072311049E-3</v>
      </c>
      <c r="AD29" t="s">
        <v>305</v>
      </c>
      <c r="AE29">
        <v>169.6</v>
      </c>
      <c r="AF29" s="29">
        <f t="shared" si="5"/>
        <v>1.1028315946348677E-2</v>
      </c>
    </row>
    <row r="30" spans="1:33">
      <c r="A30" s="3" t="s">
        <v>309</v>
      </c>
      <c r="B30" s="3">
        <v>61.87</v>
      </c>
      <c r="C30" s="227">
        <f t="shared" si="0"/>
        <v>2.5927726462484646E-3</v>
      </c>
      <c r="D30" s="5">
        <f>C30-C1275</f>
        <v>2.5147270766895753E-3</v>
      </c>
      <c r="E30" s="1"/>
      <c r="F30" s="8"/>
      <c r="H30" t="s">
        <v>308</v>
      </c>
      <c r="I30">
        <v>13.91</v>
      </c>
      <c r="J30" s="227">
        <f t="shared" si="1"/>
        <v>1.0167029774873049E-2</v>
      </c>
      <c r="K30" s="5">
        <f>J30-J1276</f>
        <v>8.0310738592630909E-3</v>
      </c>
      <c r="M30" s="240" t="s">
        <v>306</v>
      </c>
      <c r="N30">
        <v>5970.84</v>
      </c>
      <c r="O30" s="227">
        <f t="shared" si="3"/>
        <v>1.0817783827159255E-2</v>
      </c>
      <c r="P30" s="5">
        <f>O30-O1278</f>
        <v>1.1183541028072426E-2</v>
      </c>
      <c r="Q30" s="8">
        <f t="shared" si="6"/>
        <v>1.2507158992657925E-4</v>
      </c>
      <c r="S30" t="s">
        <v>306</v>
      </c>
      <c r="T30">
        <v>4.8099999999999996</v>
      </c>
      <c r="U30" s="29">
        <f t="shared" si="4"/>
        <v>1.0504201680672232E-2</v>
      </c>
      <c r="V30" s="5">
        <f>U30-V1274</f>
        <v>8.7680109049651928E-3</v>
      </c>
      <c r="X30" t="s">
        <v>302</v>
      </c>
      <c r="Y30">
        <v>4.54</v>
      </c>
      <c r="Z30" s="48">
        <f t="shared" si="2"/>
        <v>-1.7316017316017285E-2</v>
      </c>
      <c r="AA30" s="5">
        <f>Z30-Y1274</f>
        <v>-2.1533336785291419E-2</v>
      </c>
      <c r="AD30" t="s">
        <v>306</v>
      </c>
      <c r="AE30">
        <v>169.34</v>
      </c>
      <c r="AF30" s="29">
        <f t="shared" si="5"/>
        <v>-1.5330188679244516E-3</v>
      </c>
    </row>
    <row r="31" spans="1:33">
      <c r="A31" s="3" t="s">
        <v>310</v>
      </c>
      <c r="B31" s="3">
        <v>60.73</v>
      </c>
      <c r="C31" s="227">
        <f t="shared" si="0"/>
        <v>-1.8425731372232135E-2</v>
      </c>
      <c r="D31" s="5">
        <f>C31-C1275</f>
        <v>-1.8503776941791023E-2</v>
      </c>
      <c r="E31" s="1"/>
      <c r="F31" s="8"/>
      <c r="H31" t="s">
        <v>309</v>
      </c>
      <c r="I31">
        <v>13.71</v>
      </c>
      <c r="J31" s="227">
        <f t="shared" si="1"/>
        <v>-1.4378145219266614E-2</v>
      </c>
      <c r="K31" s="5">
        <f>J31-J1276</f>
        <v>-1.6514101134876571E-2</v>
      </c>
      <c r="M31" s="240" t="s">
        <v>307</v>
      </c>
      <c r="N31">
        <v>6037.59</v>
      </c>
      <c r="O31" s="227">
        <f t="shared" si="3"/>
        <v>1.1179331551339544E-2</v>
      </c>
      <c r="P31" s="5">
        <f>O31-O1278</f>
        <v>1.1545088752252715E-2</v>
      </c>
      <c r="Q31" s="8">
        <f t="shared" si="6"/>
        <v>1.3328907429739216E-4</v>
      </c>
      <c r="S31" t="s">
        <v>307</v>
      </c>
      <c r="T31">
        <v>4.96</v>
      </c>
      <c r="U31" s="29">
        <f t="shared" si="4"/>
        <v>3.1185031185031242E-2</v>
      </c>
      <c r="V31" s="5">
        <f>U31-V1274</f>
        <v>2.9448840409324203E-2</v>
      </c>
      <c r="X31" t="s">
        <v>303</v>
      </c>
      <c r="Y31">
        <v>4.55</v>
      </c>
      <c r="Z31" s="48">
        <f t="shared" si="2"/>
        <v>2.2026431718060735E-3</v>
      </c>
      <c r="AA31" s="5">
        <f>Z31-Y1274</f>
        <v>-2.0146762974680606E-3</v>
      </c>
      <c r="AD31" t="s">
        <v>307</v>
      </c>
      <c r="AE31">
        <v>170.57</v>
      </c>
      <c r="AF31" s="29">
        <f t="shared" si="5"/>
        <v>7.2634935632454045E-3</v>
      </c>
    </row>
    <row r="32" spans="1:33">
      <c r="A32" s="3" t="s">
        <v>311</v>
      </c>
      <c r="B32" s="3">
        <v>60.21</v>
      </c>
      <c r="C32" s="227">
        <f t="shared" si="0"/>
        <v>-8.5624897085460061E-3</v>
      </c>
      <c r="D32" s="5">
        <f>C32-C1275</f>
        <v>-8.6405352781048946E-3</v>
      </c>
      <c r="E32" s="1"/>
      <c r="F32" s="8"/>
      <c r="H32" t="s">
        <v>310</v>
      </c>
      <c r="I32">
        <v>13.57</v>
      </c>
      <c r="J32" s="227">
        <f t="shared" si="1"/>
        <v>-1.0211524434719177E-2</v>
      </c>
      <c r="K32" s="5">
        <f>J32-J1276</f>
        <v>-1.2347480350329135E-2</v>
      </c>
      <c r="M32" s="240" t="s">
        <v>308</v>
      </c>
      <c r="N32">
        <v>6040.04</v>
      </c>
      <c r="O32" s="227">
        <f t="shared" si="3"/>
        <v>4.0579105239002544E-4</v>
      </c>
      <c r="P32" s="5">
        <f>O32-O1278</f>
        <v>7.7154825330319693E-4</v>
      </c>
      <c r="Q32" s="8">
        <f t="shared" si="6"/>
        <v>5.9528670717521416E-7</v>
      </c>
      <c r="S32" t="s">
        <v>308</v>
      </c>
      <c r="T32">
        <v>4.9400000000000004</v>
      </c>
      <c r="U32" s="29">
        <f t="shared" si="4"/>
        <v>-4.0322580645160144E-3</v>
      </c>
      <c r="V32" s="5">
        <f>U32-V1274</f>
        <v>-5.7684488402230524E-3</v>
      </c>
      <c r="X32" s="1">
        <v>45931</v>
      </c>
      <c r="Y32">
        <v>4.5199999999999996</v>
      </c>
      <c r="Z32" s="48">
        <f t="shared" si="2"/>
        <v>-6.593406593406681E-3</v>
      </c>
      <c r="AA32" s="5">
        <f>Z32-Y1274</f>
        <v>-1.0810726062680815E-2</v>
      </c>
      <c r="AD32" t="s">
        <v>308</v>
      </c>
      <c r="AE32">
        <v>171.81</v>
      </c>
      <c r="AF32" s="29">
        <f t="shared" si="5"/>
        <v>7.2697426276602251E-3</v>
      </c>
    </row>
    <row r="33" spans="1:32">
      <c r="A33" s="3" t="s">
        <v>312</v>
      </c>
      <c r="B33" s="3">
        <v>61.23</v>
      </c>
      <c r="C33" s="227">
        <f t="shared" si="0"/>
        <v>1.6940707523667164E-2</v>
      </c>
      <c r="D33" s="5">
        <f>C33-C1275</f>
        <v>1.6862661954108276E-2</v>
      </c>
      <c r="E33" s="1"/>
      <c r="F33" s="8"/>
      <c r="H33" t="s">
        <v>311</v>
      </c>
      <c r="I33">
        <v>13.58</v>
      </c>
      <c r="J33" s="227">
        <f t="shared" si="1"/>
        <v>7.3691967575539863E-4</v>
      </c>
      <c r="K33" s="5">
        <f>J33-J1276</f>
        <v>-1.3990362398545592E-3</v>
      </c>
      <c r="M33" s="240" t="s">
        <v>309</v>
      </c>
      <c r="N33">
        <v>5974.07</v>
      </c>
      <c r="O33" s="227">
        <f t="shared" si="3"/>
        <v>-1.0922113098588815E-2</v>
      </c>
      <c r="P33" s="5">
        <f>O33-O1278</f>
        <v>-1.0556355897675644E-2</v>
      </c>
      <c r="Q33" s="8">
        <f t="shared" si="6"/>
        <v>1.1143664983839134E-4</v>
      </c>
      <c r="S33" t="s">
        <v>309</v>
      </c>
      <c r="T33">
        <v>4.88</v>
      </c>
      <c r="U33" s="29">
        <f t="shared" si="4"/>
        <v>-1.2145748987854366E-2</v>
      </c>
      <c r="V33" s="5">
        <f>U33-V1274</f>
        <v>-1.3881939763561404E-2</v>
      </c>
      <c r="X33" s="1">
        <v>45870</v>
      </c>
      <c r="Y33">
        <v>4.72</v>
      </c>
      <c r="Z33" s="48">
        <f t="shared" si="2"/>
        <v>4.4247787610619538E-2</v>
      </c>
      <c r="AA33" s="5">
        <f>Z33-Y1274</f>
        <v>4.0030468141345407E-2</v>
      </c>
      <c r="AD33" t="s">
        <v>309</v>
      </c>
      <c r="AE33">
        <v>169.94</v>
      </c>
      <c r="AF33" s="29">
        <f t="shared" si="5"/>
        <v>-1.0884116174844305E-2</v>
      </c>
    </row>
    <row r="34" spans="1:32">
      <c r="A34" s="3" t="s">
        <v>313</v>
      </c>
      <c r="B34" s="3">
        <v>61.03</v>
      </c>
      <c r="C34" s="227">
        <f t="shared" si="0"/>
        <v>-3.2663726931242421E-3</v>
      </c>
      <c r="D34" s="5">
        <f>C34-C1275</f>
        <v>-3.3444182626831314E-3</v>
      </c>
      <c r="E34" s="1"/>
      <c r="F34" s="8"/>
      <c r="H34" t="s">
        <v>312</v>
      </c>
      <c r="I34">
        <v>13.61</v>
      </c>
      <c r="J34" s="227">
        <f t="shared" si="1"/>
        <v>2.2091310751104487E-3</v>
      </c>
      <c r="K34" s="5">
        <f>J34-J1276</f>
        <v>7.3175159500490916E-5</v>
      </c>
      <c r="M34" s="240" t="s">
        <v>310</v>
      </c>
      <c r="N34">
        <v>5930.85</v>
      </c>
      <c r="O34" s="227">
        <f t="shared" si="3"/>
        <v>-7.2345988580648779E-3</v>
      </c>
      <c r="P34" s="5">
        <f>O34-O1278</f>
        <v>-6.868841657151706E-3</v>
      </c>
      <c r="Q34" s="8">
        <f t="shared" si="6"/>
        <v>4.7180985711022597E-5</v>
      </c>
      <c r="S34" t="s">
        <v>310</v>
      </c>
      <c r="T34">
        <v>4.9000000000000004</v>
      </c>
      <c r="U34" s="29">
        <f t="shared" si="4"/>
        <v>4.098360655737876E-3</v>
      </c>
      <c r="V34" s="5">
        <f>U34-V1274</f>
        <v>2.362169880030838E-3</v>
      </c>
      <c r="X34" s="1">
        <v>45839</v>
      </c>
      <c r="Y34">
        <v>4.6100000000000003</v>
      </c>
      <c r="Z34" s="48">
        <f t="shared" si="2"/>
        <v>-2.3305084745762539E-2</v>
      </c>
      <c r="AA34" s="5">
        <f>Z34-Y1274</f>
        <v>-2.7522404215036673E-2</v>
      </c>
      <c r="AD34" t="s">
        <v>310</v>
      </c>
      <c r="AE34">
        <v>171</v>
      </c>
      <c r="AF34" s="29">
        <f t="shared" si="5"/>
        <v>6.2374955866777437E-3</v>
      </c>
    </row>
    <row r="35" spans="1:32">
      <c r="A35" s="3" t="s">
        <v>314</v>
      </c>
      <c r="B35" s="221">
        <v>60.25</v>
      </c>
      <c r="C35" s="227">
        <f t="shared" si="0"/>
        <v>-1.2780599705063067E-2</v>
      </c>
      <c r="D35" s="5">
        <f>C35-C1275</f>
        <v>-1.2858645274621956E-2</v>
      </c>
      <c r="F35" s="8"/>
      <c r="H35" t="s">
        <v>313</v>
      </c>
      <c r="I35">
        <v>14.01</v>
      </c>
      <c r="J35" s="227">
        <f t="shared" si="1"/>
        <v>2.9390154298310156E-2</v>
      </c>
      <c r="K35" s="5">
        <f>J35-J1276</f>
        <v>2.7254198382700198E-2</v>
      </c>
      <c r="M35" s="240" t="s">
        <v>311</v>
      </c>
      <c r="N35">
        <v>5867.08</v>
      </c>
      <c r="O35" s="227">
        <f t="shared" si="3"/>
        <v>-1.0752253049731597E-2</v>
      </c>
      <c r="P35" s="5">
        <f>O35-O1278</f>
        <v>-1.0386495848818426E-2</v>
      </c>
      <c r="Q35" s="8">
        <f t="shared" si="6"/>
        <v>1.078792960175224E-4</v>
      </c>
      <c r="S35" t="s">
        <v>311</v>
      </c>
      <c r="T35">
        <v>4.92</v>
      </c>
      <c r="U35" s="29">
        <f t="shared" si="4"/>
        <v>4.0816326530610514E-3</v>
      </c>
      <c r="V35" s="5">
        <f>U35-V1274</f>
        <v>2.3454418773540134E-3</v>
      </c>
      <c r="X35" s="1">
        <v>45809</v>
      </c>
      <c r="Y35">
        <v>4.79</v>
      </c>
      <c r="Z35" s="48">
        <f t="shared" si="2"/>
        <v>3.9045553145336198E-2</v>
      </c>
      <c r="AA35" s="5">
        <f>Z35-Y1274</f>
        <v>3.4828233676062068E-2</v>
      </c>
      <c r="AD35" t="s">
        <v>311</v>
      </c>
      <c r="AE35">
        <v>167.65</v>
      </c>
      <c r="AF35" s="29">
        <f t="shared" si="5"/>
        <v>-1.9590643274853714E-2</v>
      </c>
    </row>
    <row r="36" spans="1:32">
      <c r="A36" s="3" t="s">
        <v>315</v>
      </c>
      <c r="B36" s="222">
        <v>59.93</v>
      </c>
      <c r="C36" s="227">
        <f t="shared" si="0"/>
        <v>-5.311203319502078E-3</v>
      </c>
      <c r="D36" s="5">
        <f>C36-C1275</f>
        <v>-5.3892488890609673E-3</v>
      </c>
      <c r="F36" s="8"/>
      <c r="H36" t="s">
        <v>314</v>
      </c>
      <c r="I36">
        <v>14.29</v>
      </c>
      <c r="J36" s="227">
        <f t="shared" si="1"/>
        <v>1.9985724482512346E-2</v>
      </c>
      <c r="K36" s="5">
        <f>J36-J1276</f>
        <v>1.7849768566902388E-2</v>
      </c>
      <c r="M36" s="240" t="s">
        <v>312</v>
      </c>
      <c r="N36">
        <v>5872.16</v>
      </c>
      <c r="O36" s="227">
        <f t="shared" si="3"/>
        <v>8.6584808797551815E-4</v>
      </c>
      <c r="P36" s="5">
        <f>O36-O1278</f>
        <v>1.2316052888886896E-3</v>
      </c>
      <c r="Q36" s="8">
        <f t="shared" si="6"/>
        <v>1.5168515876185927E-6</v>
      </c>
      <c r="S36" t="s">
        <v>312</v>
      </c>
      <c r="T36">
        <v>4.91</v>
      </c>
      <c r="U36" s="29">
        <f t="shared" si="4"/>
        <v>-2.0325203252031798E-3</v>
      </c>
      <c r="V36" s="5">
        <f>U36-V1274</f>
        <v>-3.7687111009102178E-3</v>
      </c>
      <c r="X36" s="1">
        <v>45717</v>
      </c>
      <c r="Y36">
        <v>4.79</v>
      </c>
      <c r="Z36" s="48">
        <f t="shared" si="2"/>
        <v>0</v>
      </c>
      <c r="AA36" s="5">
        <f>Z36-Y1274</f>
        <v>-4.2173194692741341E-3</v>
      </c>
      <c r="AD36" t="s">
        <v>312</v>
      </c>
      <c r="AE36">
        <v>165.39</v>
      </c>
      <c r="AF36" s="29">
        <f t="shared" si="5"/>
        <v>-1.3480465254995688E-2</v>
      </c>
    </row>
    <row r="37" spans="1:32">
      <c r="A37" s="220">
        <v>45638</v>
      </c>
      <c r="B37" s="222">
        <v>61.41</v>
      </c>
      <c r="C37" s="227">
        <f t="shared" si="0"/>
        <v>2.4695478057733977E-2</v>
      </c>
      <c r="D37" s="5">
        <f>C37-C1275</f>
        <v>2.4617432488175089E-2</v>
      </c>
      <c r="F37" s="8"/>
      <c r="H37" t="s">
        <v>315</v>
      </c>
      <c r="I37">
        <v>14.14</v>
      </c>
      <c r="J37" s="227">
        <f t="shared" si="1"/>
        <v>-1.0496850944716529E-2</v>
      </c>
      <c r="K37" s="5">
        <f>J37-J1276</f>
        <v>-1.2632806860326487E-2</v>
      </c>
      <c r="M37" s="240" t="s">
        <v>313</v>
      </c>
      <c r="N37">
        <v>6050.61</v>
      </c>
      <c r="O37" s="227">
        <f t="shared" si="3"/>
        <v>3.0389158333560262E-2</v>
      </c>
      <c r="P37" s="5">
        <f>O37-O1278</f>
        <v>3.0754915534473435E-2</v>
      </c>
      <c r="Q37" s="8">
        <f t="shared" si="6"/>
        <v>9.4586482953259543E-4</v>
      </c>
      <c r="S37" t="s">
        <v>313</v>
      </c>
      <c r="T37">
        <v>5.14</v>
      </c>
      <c r="U37" s="29">
        <f t="shared" si="4"/>
        <v>4.6843177189409335E-2</v>
      </c>
      <c r="V37" s="5">
        <f>U37-V1274</f>
        <v>4.5106986413702296E-2</v>
      </c>
      <c r="X37" s="1">
        <v>45689</v>
      </c>
      <c r="Y37">
        <v>4.7300000000000004</v>
      </c>
      <c r="Z37" s="48">
        <f t="shared" si="2"/>
        <v>-1.2526096033402823E-2</v>
      </c>
      <c r="AA37" s="5">
        <f>Z37-Y1274</f>
        <v>-1.6743415502676957E-2</v>
      </c>
      <c r="AD37" t="s">
        <v>313</v>
      </c>
      <c r="AE37">
        <v>177</v>
      </c>
      <c r="AF37" s="29">
        <f t="shared" si="5"/>
        <v>7.0197714493016594E-2</v>
      </c>
    </row>
    <row r="38" spans="1:32">
      <c r="A38" s="220">
        <v>45608</v>
      </c>
      <c r="B38" s="222">
        <v>61.18</v>
      </c>
      <c r="C38" s="227">
        <f t="shared" si="0"/>
        <v>-3.7453183520598232E-3</v>
      </c>
      <c r="D38" s="5">
        <f>C38-C1275</f>
        <v>-3.8233639216187125E-3</v>
      </c>
      <c r="F38" s="8"/>
      <c r="H38" s="1">
        <v>45638</v>
      </c>
      <c r="I38">
        <v>14.85</v>
      </c>
      <c r="J38" s="227">
        <f t="shared" si="1"/>
        <v>5.0212164073550225E-2</v>
      </c>
      <c r="K38" s="5">
        <f>J38-J1276</f>
        <v>4.8076208157940267E-2</v>
      </c>
      <c r="M38" s="240" t="s">
        <v>314</v>
      </c>
      <c r="N38">
        <v>6074.08</v>
      </c>
      <c r="O38" s="227">
        <f t="shared" si="3"/>
        <v>3.8789477424590046E-3</v>
      </c>
      <c r="P38" s="5">
        <f>O38-O1278</f>
        <v>4.2447049433721766E-3</v>
      </c>
      <c r="Q38" s="8">
        <f t="shared" si="6"/>
        <v>1.8017520056288192E-5</v>
      </c>
      <c r="S38" t="s">
        <v>314</v>
      </c>
      <c r="T38">
        <v>5.13</v>
      </c>
      <c r="U38" s="29">
        <f t="shared" si="4"/>
        <v>-1.9455252918287869E-3</v>
      </c>
      <c r="V38" s="5">
        <f>U38-V1274</f>
        <v>-3.6817160675358248E-3</v>
      </c>
      <c r="X38" t="s">
        <v>304</v>
      </c>
      <c r="Y38">
        <v>4.57</v>
      </c>
      <c r="Z38" s="48">
        <f t="shared" si="2"/>
        <v>-3.3826638477801318E-2</v>
      </c>
      <c r="AA38" s="5">
        <f>Z38-Y1274</f>
        <v>-3.8043957947075449E-2</v>
      </c>
      <c r="AD38" t="s">
        <v>314</v>
      </c>
      <c r="AE38">
        <v>179.5</v>
      </c>
      <c r="AF38" s="29">
        <f t="shared" si="5"/>
        <v>1.4124293785310771E-2</v>
      </c>
    </row>
    <row r="39" spans="1:32">
      <c r="A39" s="220">
        <v>45577</v>
      </c>
      <c r="B39" s="222">
        <v>64.959999999999994</v>
      </c>
      <c r="C39" s="227">
        <f t="shared" si="0"/>
        <v>6.1784897025171537E-2</v>
      </c>
      <c r="D39" s="5">
        <f>C39-C1275</f>
        <v>6.1706851455612645E-2</v>
      </c>
      <c r="F39" s="8"/>
      <c r="H39" s="1">
        <v>45608</v>
      </c>
      <c r="I39">
        <v>15.42</v>
      </c>
      <c r="J39" s="227">
        <f t="shared" si="1"/>
        <v>3.8383838383838409E-2</v>
      </c>
      <c r="K39" s="5">
        <f>J39-J1276</f>
        <v>3.6247882468228451E-2</v>
      </c>
      <c r="M39" s="240" t="s">
        <v>315</v>
      </c>
      <c r="N39">
        <v>6051.09</v>
      </c>
      <c r="O39" s="227">
        <f t="shared" si="3"/>
        <v>-3.7849353317703782E-3</v>
      </c>
      <c r="P39" s="5">
        <f>O39-O1278</f>
        <v>-3.4191781308572067E-3</v>
      </c>
      <c r="Q39" s="8">
        <f t="shared" si="6"/>
        <v>1.1690779090532182E-5</v>
      </c>
      <c r="S39" t="s">
        <v>315</v>
      </c>
      <c r="T39">
        <v>5.13</v>
      </c>
      <c r="U39" s="29">
        <f t="shared" si="4"/>
        <v>0</v>
      </c>
      <c r="V39" s="5">
        <f>U39-V1274</f>
        <v>-1.736190775707038E-3</v>
      </c>
      <c r="X39" t="s">
        <v>305</v>
      </c>
      <c r="Y39">
        <v>4.51</v>
      </c>
      <c r="Z39" s="48">
        <f t="shared" si="2"/>
        <v>-1.3129102844639085E-2</v>
      </c>
      <c r="AA39" s="5">
        <f>Z39-Y1274</f>
        <v>-1.7346422313913219E-2</v>
      </c>
      <c r="AD39" t="s">
        <v>315</v>
      </c>
      <c r="AE39">
        <v>175.09</v>
      </c>
      <c r="AF39" s="29">
        <f t="shared" si="5"/>
        <v>-2.4568245125348165E-2</v>
      </c>
    </row>
    <row r="40" spans="1:32">
      <c r="A40" s="220">
        <v>45547</v>
      </c>
      <c r="B40" s="222">
        <v>65.739999999999995</v>
      </c>
      <c r="C40" s="227">
        <f t="shared" si="0"/>
        <v>1.200738916256161E-2</v>
      </c>
      <c r="D40" s="5">
        <f>C40-C1275</f>
        <v>1.1929343593002722E-2</v>
      </c>
      <c r="F40" s="8"/>
      <c r="H40" s="1">
        <v>45577</v>
      </c>
      <c r="I40">
        <v>16.190000000000001</v>
      </c>
      <c r="J40" s="227">
        <f t="shared" si="1"/>
        <v>4.9935149156939085E-2</v>
      </c>
      <c r="K40" s="5">
        <f>J40-J1276</f>
        <v>4.7799193241329127E-2</v>
      </c>
      <c r="M40" s="241">
        <v>45638</v>
      </c>
      <c r="N40">
        <v>6051.25</v>
      </c>
      <c r="O40" s="227">
        <f t="shared" si="3"/>
        <v>2.6441517148034777E-5</v>
      </c>
      <c r="P40" s="5">
        <f>O40-O1278</f>
        <v>3.9219871806120632E-4</v>
      </c>
      <c r="Q40" s="8">
        <f t="shared" si="6"/>
        <v>1.538198344488536E-7</v>
      </c>
      <c r="S40" s="1">
        <v>45638</v>
      </c>
      <c r="T40">
        <v>5.18</v>
      </c>
      <c r="U40" s="29">
        <f t="shared" si="4"/>
        <v>9.74658869395717E-3</v>
      </c>
      <c r="V40" s="5">
        <f>U40-V1274</f>
        <v>8.0103979182501311E-3</v>
      </c>
      <c r="X40" t="s">
        <v>306</v>
      </c>
      <c r="Y40">
        <v>4.5999999999999996</v>
      </c>
      <c r="Z40" s="48">
        <f t="shared" si="2"/>
        <v>1.9955654101995624E-2</v>
      </c>
      <c r="AA40" s="5">
        <f>Z40-Y1274</f>
        <v>1.5738334632721489E-2</v>
      </c>
      <c r="AD40" s="1">
        <v>45638</v>
      </c>
      <c r="AE40">
        <v>176.02</v>
      </c>
      <c r="AF40" s="29">
        <f t="shared" si="5"/>
        <v>5.3115540579131704E-3</v>
      </c>
    </row>
    <row r="41" spans="1:32">
      <c r="A41" s="220">
        <v>45455</v>
      </c>
      <c r="B41" s="222">
        <v>66.09</v>
      </c>
      <c r="C41" s="227">
        <f t="shared" si="0"/>
        <v>5.3240036507455901E-3</v>
      </c>
      <c r="D41" s="5">
        <f>C41-C1275</f>
        <v>5.2459580811867008E-3</v>
      </c>
      <c r="F41" s="8"/>
      <c r="H41" s="1">
        <v>45547</v>
      </c>
      <c r="I41">
        <v>16.3</v>
      </c>
      <c r="J41" s="227">
        <f t="shared" si="1"/>
        <v>6.794317479925871E-3</v>
      </c>
      <c r="K41" s="5">
        <f>J41-J1276</f>
        <v>4.6583615643159132E-3</v>
      </c>
      <c r="M41" s="241">
        <v>45608</v>
      </c>
      <c r="N41">
        <v>6084.19</v>
      </c>
      <c r="O41" s="227">
        <f t="shared" si="3"/>
        <v>5.4435034083866185E-3</v>
      </c>
      <c r="P41" s="5">
        <f>O41-O1278</f>
        <v>5.8092606092997904E-3</v>
      </c>
      <c r="Q41" s="8">
        <f t="shared" si="6"/>
        <v>3.3747508826762172E-5</v>
      </c>
      <c r="S41" s="1">
        <v>45608</v>
      </c>
      <c r="T41">
        <v>5.4</v>
      </c>
      <c r="U41" s="29">
        <f t="shared" si="4"/>
        <v>4.2471042471042608E-2</v>
      </c>
      <c r="V41" s="5">
        <f>U41-V1274</f>
        <v>4.0734851695335569E-2</v>
      </c>
      <c r="X41" t="s">
        <v>307</v>
      </c>
      <c r="Y41">
        <v>4.59</v>
      </c>
      <c r="Z41" s="48">
        <f t="shared" si="2"/>
        <v>-2.1739130434782483E-3</v>
      </c>
      <c r="AA41" s="5">
        <f>Z41-Y1274</f>
        <v>-6.3912325127523824E-3</v>
      </c>
      <c r="AD41" s="1">
        <v>45608</v>
      </c>
      <c r="AE41">
        <v>176.41</v>
      </c>
      <c r="AF41" s="29">
        <f t="shared" si="5"/>
        <v>2.2156573116689504E-3</v>
      </c>
    </row>
    <row r="42" spans="1:32">
      <c r="A42" s="220">
        <v>45424</v>
      </c>
      <c r="B42" s="222">
        <v>65.23</v>
      </c>
      <c r="C42" s="227">
        <f t="shared" si="0"/>
        <v>-1.3012558632168214E-2</v>
      </c>
      <c r="D42" s="5">
        <f>C42-C1275</f>
        <v>-1.3090604201727103E-2</v>
      </c>
      <c r="F42" s="8"/>
      <c r="H42" s="1">
        <v>45455</v>
      </c>
      <c r="I42">
        <v>15.94</v>
      </c>
      <c r="J42" s="227">
        <f t="shared" si="1"/>
        <v>-2.2085889570552242E-2</v>
      </c>
      <c r="K42" s="5">
        <f>J42-J1276</f>
        <v>-2.42218454861622E-2</v>
      </c>
      <c r="M42" s="241">
        <v>45577</v>
      </c>
      <c r="N42">
        <v>6034.91</v>
      </c>
      <c r="O42" s="227">
        <f t="shared" si="3"/>
        <v>-8.0996813051531502E-3</v>
      </c>
      <c r="P42" s="5">
        <f>O42-O1278</f>
        <v>-7.7339241042399783E-3</v>
      </c>
      <c r="Q42" s="8">
        <f t="shared" si="6"/>
        <v>5.9813582050144151E-5</v>
      </c>
      <c r="S42" s="1">
        <v>45577</v>
      </c>
      <c r="T42">
        <v>5.43</v>
      </c>
      <c r="U42" s="29">
        <f t="shared" si="4"/>
        <v>5.5555555555555358E-3</v>
      </c>
      <c r="V42" s="5">
        <f>U42-V1274</f>
        <v>3.8193647798484978E-3</v>
      </c>
      <c r="X42" t="s">
        <v>308</v>
      </c>
      <c r="Y42">
        <v>4.5999999999999996</v>
      </c>
      <c r="Z42" s="48">
        <f t="shared" si="2"/>
        <v>2.1786492374726851E-3</v>
      </c>
      <c r="AA42" s="5">
        <f>Z42-Y1274</f>
        <v>-2.0386702318014489E-3</v>
      </c>
      <c r="AD42" s="1">
        <v>45577</v>
      </c>
      <c r="AE42">
        <v>173.9</v>
      </c>
      <c r="AF42" s="29">
        <f t="shared" si="5"/>
        <v>-1.4228218354968458E-2</v>
      </c>
    </row>
    <row r="43" spans="1:32">
      <c r="A43" s="220">
        <v>45394</v>
      </c>
      <c r="B43" s="222">
        <v>72.16</v>
      </c>
      <c r="C43" s="227">
        <f t="shared" si="0"/>
        <v>0.10623946037099485</v>
      </c>
      <c r="D43" s="5">
        <f>C43-C1275</f>
        <v>0.10616141480143597</v>
      </c>
      <c r="F43" s="8"/>
      <c r="H43" s="1">
        <v>45424</v>
      </c>
      <c r="I43">
        <v>15.5</v>
      </c>
      <c r="J43" s="227">
        <f t="shared" si="1"/>
        <v>-2.7603513174404015E-2</v>
      </c>
      <c r="K43" s="5">
        <f>J43-J1276</f>
        <v>-2.9739469090013973E-2</v>
      </c>
      <c r="M43" s="241">
        <v>45547</v>
      </c>
      <c r="N43">
        <v>6052.85</v>
      </c>
      <c r="O43" s="227">
        <f t="shared" si="3"/>
        <v>2.9727038182840726E-3</v>
      </c>
      <c r="P43" s="5">
        <f>O43-O1278</f>
        <v>3.3384610191972441E-3</v>
      </c>
      <c r="Q43" s="8">
        <f t="shared" si="6"/>
        <v>1.1145321976699501E-5</v>
      </c>
      <c r="S43" s="1">
        <v>45547</v>
      </c>
      <c r="T43">
        <v>5.33</v>
      </c>
      <c r="U43" s="29">
        <f t="shared" si="4"/>
        <v>-1.8416206261510082E-2</v>
      </c>
      <c r="V43" s="5">
        <f>U43-V1274</f>
        <v>-2.0152397037217121E-2</v>
      </c>
      <c r="X43" t="s">
        <v>309</v>
      </c>
      <c r="Y43">
        <v>4.67</v>
      </c>
      <c r="Z43" s="48">
        <f t="shared" si="2"/>
        <v>1.5217391304347849E-2</v>
      </c>
      <c r="AA43" s="5">
        <f>Z43-Y1274</f>
        <v>1.1000071835073715E-2</v>
      </c>
      <c r="AD43" s="1">
        <v>45547</v>
      </c>
      <c r="AE43">
        <v>175.64</v>
      </c>
      <c r="AF43" s="29">
        <f t="shared" si="5"/>
        <v>1.0005750431282268E-2</v>
      </c>
    </row>
    <row r="44" spans="1:32">
      <c r="A44" s="220">
        <v>45363</v>
      </c>
      <c r="B44" s="222">
        <v>71.27</v>
      </c>
      <c r="C44" s="227">
        <f t="shared" si="0"/>
        <v>-1.2333702882483366E-2</v>
      </c>
      <c r="D44" s="5">
        <f>C44-C1275</f>
        <v>-1.2411748452042255E-2</v>
      </c>
      <c r="F44" s="8"/>
      <c r="H44" s="1">
        <v>45394</v>
      </c>
      <c r="I44">
        <v>17.239999999999998</v>
      </c>
      <c r="J44" s="227">
        <f t="shared" si="1"/>
        <v>0.11225806451612885</v>
      </c>
      <c r="K44" s="5">
        <f>J44-J1276</f>
        <v>0.11012210860051889</v>
      </c>
      <c r="M44" s="241">
        <v>45455</v>
      </c>
      <c r="N44">
        <v>6090.27</v>
      </c>
      <c r="O44" s="227">
        <f t="shared" si="3"/>
        <v>6.1822116854044484E-3</v>
      </c>
      <c r="P44" s="5">
        <f>O44-O1278</f>
        <v>6.5479688863176204E-3</v>
      </c>
      <c r="Q44" s="8">
        <f t="shared" si="6"/>
        <v>4.2875896536183615E-5</v>
      </c>
      <c r="S44" s="1">
        <v>45455</v>
      </c>
      <c r="T44">
        <v>5.14</v>
      </c>
      <c r="U44" s="29">
        <f t="shared" si="4"/>
        <v>-3.5647279549718691E-2</v>
      </c>
      <c r="V44" s="5">
        <f>U44-V1274</f>
        <v>-3.738347032542573E-2</v>
      </c>
      <c r="X44" t="s">
        <v>310</v>
      </c>
      <c r="Y44">
        <v>4.66</v>
      </c>
      <c r="Z44" s="48">
        <f t="shared" si="2"/>
        <v>-2.1413276231262435E-3</v>
      </c>
      <c r="AA44" s="5">
        <f>Z44-Y1274</f>
        <v>-6.3586470924003775E-3</v>
      </c>
      <c r="AD44" s="1">
        <v>45455</v>
      </c>
      <c r="AE44">
        <v>178.48</v>
      </c>
      <c r="AF44" s="29">
        <f t="shared" si="5"/>
        <v>1.616943748576638E-2</v>
      </c>
    </row>
    <row r="45" spans="1:32">
      <c r="A45" s="220">
        <v>45334</v>
      </c>
      <c r="B45" s="222">
        <v>73.069999999999993</v>
      </c>
      <c r="C45" s="227">
        <f t="shared" si="0"/>
        <v>2.5256068472007787E-2</v>
      </c>
      <c r="D45" s="5">
        <f>C45-C1275</f>
        <v>2.5178022902448898E-2</v>
      </c>
      <c r="F45" s="8"/>
      <c r="H45" s="1">
        <v>45363</v>
      </c>
      <c r="I45">
        <v>16.920000000000002</v>
      </c>
      <c r="J45" s="227">
        <f t="shared" si="1"/>
        <v>-1.8561484918793281E-2</v>
      </c>
      <c r="K45" s="5">
        <f>J45-J1276</f>
        <v>-2.0697440834403238E-2</v>
      </c>
      <c r="M45" s="241">
        <v>45424</v>
      </c>
      <c r="N45">
        <v>6075.11</v>
      </c>
      <c r="O45" s="227">
        <f t="shared" si="3"/>
        <v>-2.4892164058408772E-3</v>
      </c>
      <c r="P45" s="5">
        <f>O45-O1278</f>
        <v>-2.1234592049277057E-3</v>
      </c>
      <c r="Q45" s="8">
        <f t="shared" si="6"/>
        <v>4.5090789949922038E-6</v>
      </c>
      <c r="S45" s="1">
        <v>45424</v>
      </c>
      <c r="T45">
        <v>5.24</v>
      </c>
      <c r="U45" s="29">
        <f t="shared" si="4"/>
        <v>1.9455252918288091E-2</v>
      </c>
      <c r="V45" s="5">
        <f>U45-V1274</f>
        <v>1.7719062142581052E-2</v>
      </c>
      <c r="X45" t="s">
        <v>311</v>
      </c>
      <c r="Y45">
        <v>4.72</v>
      </c>
      <c r="Z45" s="48">
        <f t="shared" si="2"/>
        <v>1.2875536480686511E-2</v>
      </c>
      <c r="AA45" s="5">
        <f>Z45-Y1274</f>
        <v>8.6582170114123773E-3</v>
      </c>
      <c r="AD45" s="1">
        <v>45424</v>
      </c>
      <c r="AE45">
        <v>175.89</v>
      </c>
      <c r="AF45" s="29">
        <f t="shared" si="5"/>
        <v>-1.4511429852084312E-2</v>
      </c>
    </row>
    <row r="46" spans="1:32">
      <c r="A46" s="3" t="s">
        <v>316</v>
      </c>
      <c r="B46" s="222">
        <v>71.959999999999994</v>
      </c>
      <c r="C46" s="227">
        <f t="shared" si="0"/>
        <v>-1.519091282332008E-2</v>
      </c>
      <c r="D46" s="5">
        <f>C46-C1275</f>
        <v>-1.5268958392878968E-2</v>
      </c>
      <c r="F46" s="8"/>
      <c r="H46" s="1">
        <v>45334</v>
      </c>
      <c r="I46">
        <v>17.170000000000002</v>
      </c>
      <c r="J46" s="227">
        <f t="shared" si="1"/>
        <v>1.4775413711583862E-2</v>
      </c>
      <c r="K46" s="5">
        <f>J46-J1276</f>
        <v>1.2639457795973905E-2</v>
      </c>
      <c r="M46" s="241">
        <v>45394</v>
      </c>
      <c r="N46">
        <v>6086.49</v>
      </c>
      <c r="O46" s="227">
        <f t="shared" si="3"/>
        <v>1.8732171104720585E-3</v>
      </c>
      <c r="P46" s="5">
        <f>O46-O1278</f>
        <v>2.23897431138523E-3</v>
      </c>
      <c r="Q46" s="8">
        <f t="shared" si="6"/>
        <v>5.0130059670429652E-6</v>
      </c>
      <c r="S46" s="1">
        <v>45394</v>
      </c>
      <c r="T46">
        <v>5.31</v>
      </c>
      <c r="U46" s="29">
        <f t="shared" si="4"/>
        <v>1.3358778625954137E-2</v>
      </c>
      <c r="V46" s="5">
        <f>U46-V1274</f>
        <v>1.1622587850247099E-2</v>
      </c>
      <c r="X46" t="s">
        <v>312</v>
      </c>
      <c r="Y46">
        <v>4.66</v>
      </c>
      <c r="Z46" s="48">
        <f t="shared" si="2"/>
        <v>-1.2711864406779627E-2</v>
      </c>
      <c r="AA46" s="5">
        <f>Z46-Y1274</f>
        <v>-1.6929183876053761E-2</v>
      </c>
      <c r="AD46" s="1">
        <v>45394</v>
      </c>
      <c r="AE46">
        <v>176.88</v>
      </c>
      <c r="AF46" s="29">
        <f t="shared" si="5"/>
        <v>5.6285178236399336E-3</v>
      </c>
    </row>
    <row r="47" spans="1:32">
      <c r="A47" s="3" t="s">
        <v>317</v>
      </c>
      <c r="B47" s="222">
        <v>71.62</v>
      </c>
      <c r="C47" s="227">
        <f t="shared" si="0"/>
        <v>-4.7248471372983714E-3</v>
      </c>
      <c r="D47" s="5">
        <f>C47-C1275</f>
        <v>-4.8028927068572607E-3</v>
      </c>
      <c r="E47" s="1"/>
      <c r="F47" s="8"/>
      <c r="H47" t="s">
        <v>316</v>
      </c>
      <c r="I47">
        <v>17.36</v>
      </c>
      <c r="J47" s="227">
        <f t="shared" si="1"/>
        <v>1.1065812463599167E-2</v>
      </c>
      <c r="K47" s="5">
        <f>J47-J1276</f>
        <v>8.9298565479892095E-3</v>
      </c>
      <c r="M47" s="241">
        <v>45363</v>
      </c>
      <c r="N47">
        <v>6049.88</v>
      </c>
      <c r="O47" s="227">
        <f t="shared" si="3"/>
        <v>-6.0149610037968371E-3</v>
      </c>
      <c r="P47" s="5">
        <f>O47-O1278</f>
        <v>-5.6492038028836651E-3</v>
      </c>
      <c r="Q47" s="8">
        <f t="shared" si="6"/>
        <v>3.1913503606515265E-5</v>
      </c>
      <c r="S47" s="1">
        <v>45363</v>
      </c>
      <c r="T47">
        <v>5.29</v>
      </c>
      <c r="U47" s="29">
        <f t="shared" si="4"/>
        <v>-3.7664783427494575E-3</v>
      </c>
      <c r="V47" s="5">
        <f>U47-V1274</f>
        <v>-5.5026691184564954E-3</v>
      </c>
      <c r="X47" t="s">
        <v>313</v>
      </c>
      <c r="Y47">
        <v>4.74</v>
      </c>
      <c r="Z47" s="48">
        <f t="shared" si="2"/>
        <v>1.7167381974249052E-2</v>
      </c>
      <c r="AA47" s="5">
        <f>Z47-Y1274</f>
        <v>1.2950062504974918E-2</v>
      </c>
      <c r="AD47" s="1">
        <v>45363</v>
      </c>
      <c r="AE47">
        <v>176.09</v>
      </c>
      <c r="AF47" s="29">
        <f t="shared" si="5"/>
        <v>-4.4663048394391058E-3</v>
      </c>
    </row>
    <row r="48" spans="1:32">
      <c r="A48" s="3" t="s">
        <v>318</v>
      </c>
      <c r="B48" s="222">
        <v>71.56</v>
      </c>
      <c r="C48" s="227">
        <f t="shared" si="0"/>
        <v>-8.3775481709025268E-4</v>
      </c>
      <c r="D48" s="5">
        <f>C48-C1275</f>
        <v>-9.1580038664914188E-4</v>
      </c>
      <c r="E48" s="1"/>
      <c r="F48" s="8"/>
      <c r="H48" t="s">
        <v>317</v>
      </c>
      <c r="I48">
        <v>17.18</v>
      </c>
      <c r="J48" s="227">
        <f t="shared" si="1"/>
        <v>-1.0368663594470084E-2</v>
      </c>
      <c r="K48" s="5">
        <f>J48-J1276</f>
        <v>-1.2504619510080042E-2</v>
      </c>
      <c r="M48" s="241">
        <v>45334</v>
      </c>
      <c r="N48">
        <v>6047.15</v>
      </c>
      <c r="O48" s="227">
        <f t="shared" si="3"/>
        <v>-4.5124861980738729E-4</v>
      </c>
      <c r="P48" s="5">
        <f>O48-O1278</f>
        <v>-8.5491418894215741E-5</v>
      </c>
      <c r="Q48" s="8">
        <f t="shared" si="6"/>
        <v>7.3087827045462679E-9</v>
      </c>
      <c r="S48" s="1">
        <v>45334</v>
      </c>
      <c r="T48">
        <v>5.18</v>
      </c>
      <c r="U48" s="29">
        <f t="shared" si="4"/>
        <v>-2.0793950850661713E-2</v>
      </c>
      <c r="V48" s="5">
        <f>U48-V1274</f>
        <v>-2.2530141626368752E-2</v>
      </c>
      <c r="X48" t="s">
        <v>314</v>
      </c>
      <c r="Y48">
        <v>4.79</v>
      </c>
      <c r="Z48" s="48">
        <f t="shared" si="2"/>
        <v>1.0548523206751037E-2</v>
      </c>
      <c r="AA48" s="5">
        <f>Z48-Y1274</f>
        <v>6.331203737476903E-3</v>
      </c>
      <c r="AD48" s="1">
        <v>45334</v>
      </c>
      <c r="AE48">
        <v>176.37</v>
      </c>
      <c r="AF48" s="29">
        <f t="shared" si="5"/>
        <v>1.5900959736498965E-3</v>
      </c>
    </row>
    <row r="49" spans="1:32">
      <c r="A49" s="3" t="s">
        <v>319</v>
      </c>
      <c r="B49" s="222">
        <v>73.42</v>
      </c>
      <c r="C49" s="227">
        <f t="shared" si="0"/>
        <v>2.5992174399105616E-2</v>
      </c>
      <c r="D49" s="5">
        <f>C49-C1275</f>
        <v>2.5914128829546728E-2</v>
      </c>
      <c r="E49" s="1"/>
      <c r="F49" s="8"/>
      <c r="H49" t="s">
        <v>318</v>
      </c>
      <c r="I49">
        <v>17.61</v>
      </c>
      <c r="J49" s="227">
        <f t="shared" si="1"/>
        <v>2.5029103608847469E-2</v>
      </c>
      <c r="K49" s="5">
        <f>J49-J1276</f>
        <v>2.2893147693237512E-2</v>
      </c>
      <c r="M49" s="240" t="s">
        <v>316</v>
      </c>
      <c r="N49">
        <v>6032.38</v>
      </c>
      <c r="O49" s="227">
        <f t="shared" si="3"/>
        <v>-2.4424729004571821E-3</v>
      </c>
      <c r="P49" s="5">
        <f>O49-O1278</f>
        <v>-2.0767156995440106E-3</v>
      </c>
      <c r="Q49" s="8">
        <f t="shared" si="6"/>
        <v>4.3127480967325694E-6</v>
      </c>
      <c r="S49" t="s">
        <v>316</v>
      </c>
      <c r="T49">
        <v>5</v>
      </c>
      <c r="U49" s="29">
        <f t="shared" si="4"/>
        <v>-3.474903474903468E-2</v>
      </c>
      <c r="V49" s="5">
        <f>U49-V1274</f>
        <v>-3.6485225524741718E-2</v>
      </c>
      <c r="X49" t="s">
        <v>315</v>
      </c>
      <c r="Y49">
        <v>4.67</v>
      </c>
      <c r="Z49" s="48">
        <f t="shared" si="2"/>
        <v>-2.5052192066805867E-2</v>
      </c>
      <c r="AA49" s="5">
        <f>Z49-Y1274</f>
        <v>-2.9269511536080001E-2</v>
      </c>
      <c r="AD49" t="s">
        <v>316</v>
      </c>
      <c r="AE49">
        <v>180.48</v>
      </c>
      <c r="AF49" s="29">
        <f t="shared" si="5"/>
        <v>2.3303282871236508E-2</v>
      </c>
    </row>
    <row r="50" spans="1:32">
      <c r="A50" s="3" t="s">
        <v>320</v>
      </c>
      <c r="B50" s="222">
        <v>71.510000000000005</v>
      </c>
      <c r="C50" s="227">
        <f t="shared" si="0"/>
        <v>-2.6014709888313781E-2</v>
      </c>
      <c r="D50" s="5">
        <f>C50-C1275</f>
        <v>-2.6092755457872669E-2</v>
      </c>
      <c r="E50" s="1"/>
      <c r="F50" s="8"/>
      <c r="H50" t="s">
        <v>319</v>
      </c>
      <c r="I50">
        <v>17.89</v>
      </c>
      <c r="J50" s="227">
        <f t="shared" si="1"/>
        <v>1.5900056785917105E-2</v>
      </c>
      <c r="K50" s="5">
        <f>J50-J1276</f>
        <v>1.3764100870307147E-2</v>
      </c>
      <c r="M50" s="240" t="s">
        <v>317</v>
      </c>
      <c r="N50">
        <v>5998.74</v>
      </c>
      <c r="O50" s="227">
        <f t="shared" si="3"/>
        <v>-5.5765717676937721E-3</v>
      </c>
      <c r="P50" s="5">
        <f>O50-O1278</f>
        <v>-5.2108145667806001E-3</v>
      </c>
      <c r="Q50" s="8">
        <f t="shared" si="6"/>
        <v>2.7152588449372895E-5</v>
      </c>
      <c r="S50" t="s">
        <v>317</v>
      </c>
      <c r="T50">
        <v>5.18</v>
      </c>
      <c r="U50" s="29">
        <f t="shared" si="4"/>
        <v>3.6000000000000032E-2</v>
      </c>
      <c r="V50" s="5">
        <f>U50-V1274</f>
        <v>3.4263809224292993E-2</v>
      </c>
      <c r="X50" s="1">
        <v>45638</v>
      </c>
      <c r="Y50">
        <v>4.7</v>
      </c>
      <c r="Z50" s="48">
        <f t="shared" si="2"/>
        <v>6.4239828693790635E-3</v>
      </c>
      <c r="AA50" s="5">
        <f>Z50-Y1274</f>
        <v>2.2066634001049294E-3</v>
      </c>
      <c r="AD50" t="s">
        <v>317</v>
      </c>
      <c r="AE50">
        <v>178.44</v>
      </c>
      <c r="AF50" s="29">
        <f t="shared" si="5"/>
        <v>-1.1303191489361653E-2</v>
      </c>
    </row>
    <row r="51" spans="1:32">
      <c r="A51" s="3" t="s">
        <v>321</v>
      </c>
      <c r="B51" s="222">
        <v>69.64</v>
      </c>
      <c r="C51" s="227">
        <f t="shared" si="0"/>
        <v>-2.6150188784785366E-2</v>
      </c>
      <c r="D51" s="5">
        <f>C51-C1275</f>
        <v>-2.6228234354344255E-2</v>
      </c>
      <c r="E51" s="1"/>
      <c r="F51" s="8"/>
      <c r="H51" t="s">
        <v>320</v>
      </c>
      <c r="I51">
        <v>16.79</v>
      </c>
      <c r="J51" s="227">
        <f t="shared" si="1"/>
        <v>-6.1486864169927435E-2</v>
      </c>
      <c r="K51" s="5">
        <f>J51-J1276</f>
        <v>-6.3622820085537393E-2</v>
      </c>
      <c r="M51" s="240" t="s">
        <v>318</v>
      </c>
      <c r="N51">
        <v>6021.63</v>
      </c>
      <c r="O51" s="227">
        <f t="shared" si="3"/>
        <v>3.8158013182769679E-3</v>
      </c>
      <c r="P51" s="5">
        <f>O51-O1278</f>
        <v>4.1815585191901398E-3</v>
      </c>
      <c r="Q51" s="8">
        <f t="shared" si="6"/>
        <v>1.7485431649411635E-5</v>
      </c>
      <c r="S51" t="s">
        <v>318</v>
      </c>
      <c r="T51">
        <v>5.15</v>
      </c>
      <c r="U51" s="29">
        <f t="shared" si="4"/>
        <v>-5.7915057915056689E-3</v>
      </c>
      <c r="V51" s="5">
        <f>U51-V1274</f>
        <v>-7.5276965672127069E-3</v>
      </c>
      <c r="X51" s="1">
        <v>45608</v>
      </c>
      <c r="Y51">
        <v>4.8</v>
      </c>
      <c r="Z51" s="48">
        <f t="shared" si="2"/>
        <v>2.1276595744680771E-2</v>
      </c>
      <c r="AA51" s="5">
        <f>Z51-Y1274</f>
        <v>1.7059276275406637E-2</v>
      </c>
      <c r="AD51" t="s">
        <v>318</v>
      </c>
      <c r="AE51">
        <v>179.01</v>
      </c>
      <c r="AF51" s="29">
        <f t="shared" si="5"/>
        <v>3.194351042367094E-3</v>
      </c>
    </row>
    <row r="52" spans="1:32">
      <c r="A52" s="3" t="s">
        <v>322</v>
      </c>
      <c r="B52" s="222">
        <v>69.599999999999994</v>
      </c>
      <c r="C52" s="227">
        <f t="shared" si="0"/>
        <v>-5.7438253877095669E-4</v>
      </c>
      <c r="D52" s="5">
        <f>C52-C1275</f>
        <v>-6.5242810832984589E-4</v>
      </c>
      <c r="E52" s="1"/>
      <c r="F52" s="8"/>
      <c r="H52" t="s">
        <v>321</v>
      </c>
      <c r="I52">
        <v>16.29</v>
      </c>
      <c r="J52" s="227">
        <f t="shared" si="1"/>
        <v>-2.9779630732578943E-2</v>
      </c>
      <c r="K52" s="5">
        <f>J52-J1276</f>
        <v>-3.1915586648188901E-2</v>
      </c>
      <c r="M52" s="240" t="s">
        <v>319</v>
      </c>
      <c r="N52">
        <v>5987.37</v>
      </c>
      <c r="O52" s="227">
        <f t="shared" si="3"/>
        <v>-5.6894893907464272E-3</v>
      </c>
      <c r="P52" s="5">
        <f>O52-O1278</f>
        <v>-5.3237321898332553E-3</v>
      </c>
      <c r="Q52" s="8">
        <f t="shared" si="6"/>
        <v>2.8342124429066789E-5</v>
      </c>
      <c r="S52" t="s">
        <v>319</v>
      </c>
      <c r="T52">
        <v>5.14</v>
      </c>
      <c r="U52" s="29">
        <f t="shared" si="4"/>
        <v>-1.9417475728156219E-3</v>
      </c>
      <c r="V52" s="5">
        <f>U52-V1274</f>
        <v>-3.6779383485226599E-3</v>
      </c>
      <c r="X52" s="1">
        <v>45577</v>
      </c>
      <c r="Y52">
        <v>4.88</v>
      </c>
      <c r="Z52" s="48">
        <f t="shared" si="2"/>
        <v>1.6666666666666607E-2</v>
      </c>
      <c r="AA52" s="5">
        <f>Z52-Y1274</f>
        <v>1.2449347197392473E-2</v>
      </c>
      <c r="AD52" t="s">
        <v>319</v>
      </c>
      <c r="AE52">
        <v>179.1</v>
      </c>
      <c r="AF52" s="29">
        <f t="shared" si="5"/>
        <v>5.027652086475598E-4</v>
      </c>
    </row>
    <row r="53" spans="1:32">
      <c r="A53" s="3" t="s">
        <v>323</v>
      </c>
      <c r="B53" s="222">
        <v>69.13</v>
      </c>
      <c r="C53" s="227">
        <f t="shared" si="0"/>
        <v>-6.7528735632184089E-3</v>
      </c>
      <c r="D53" s="5">
        <f>C53-C1275</f>
        <v>-6.8309191327772982E-3</v>
      </c>
      <c r="E53" s="1"/>
      <c r="F53" s="8"/>
      <c r="H53" t="s">
        <v>322</v>
      </c>
      <c r="I53">
        <v>16.77</v>
      </c>
      <c r="J53" s="227">
        <f t="shared" si="1"/>
        <v>2.9465930018416131E-2</v>
      </c>
      <c r="K53" s="5">
        <f>J53-J1276</f>
        <v>2.7329974102806173E-2</v>
      </c>
      <c r="M53" s="240" t="s">
        <v>320</v>
      </c>
      <c r="N53">
        <v>5969.34</v>
      </c>
      <c r="O53" s="227">
        <f t="shared" si="3"/>
        <v>-3.0113388683177256E-3</v>
      </c>
      <c r="P53" s="5">
        <f>O53-O1278</f>
        <v>-2.6455816674045541E-3</v>
      </c>
      <c r="Q53" s="8">
        <f t="shared" si="6"/>
        <v>6.9991023589070604E-6</v>
      </c>
      <c r="S53" t="s">
        <v>320</v>
      </c>
      <c r="T53">
        <v>5.07</v>
      </c>
      <c r="U53" s="29">
        <f t="shared" si="4"/>
        <v>-1.3618677042801397E-2</v>
      </c>
      <c r="V53" s="5">
        <f>U53-V1274</f>
        <v>-1.5354867818508436E-2</v>
      </c>
      <c r="X53" s="1">
        <v>45547</v>
      </c>
      <c r="Y53">
        <v>4.96</v>
      </c>
      <c r="Z53" s="48">
        <f t="shared" si="2"/>
        <v>1.6393442622950838E-2</v>
      </c>
      <c r="AA53" s="5">
        <f>Z53-Y1274</f>
        <v>1.2176123153676704E-2</v>
      </c>
      <c r="AD53" t="s">
        <v>320</v>
      </c>
      <c r="AE53">
        <v>177.24</v>
      </c>
      <c r="AF53" s="29">
        <f t="shared" si="5"/>
        <v>-1.0385259631490729E-2</v>
      </c>
    </row>
    <row r="54" spans="1:32">
      <c r="A54" s="3" t="s">
        <v>324</v>
      </c>
      <c r="B54" s="222">
        <v>69.33</v>
      </c>
      <c r="C54" s="227">
        <f t="shared" si="0"/>
        <v>2.8930999566034732E-3</v>
      </c>
      <c r="D54" s="5">
        <f>C54-C1275</f>
        <v>2.8150543870445839E-3</v>
      </c>
      <c r="E54" s="1"/>
      <c r="F54" s="8"/>
      <c r="H54" t="s">
        <v>323</v>
      </c>
      <c r="I54">
        <v>16.57</v>
      </c>
      <c r="J54" s="227">
        <f t="shared" si="1"/>
        <v>-1.1926058437686349E-2</v>
      </c>
      <c r="K54" s="5">
        <f>J54-J1276</f>
        <v>-1.4062014353296307E-2</v>
      </c>
      <c r="M54" s="240" t="s">
        <v>321</v>
      </c>
      <c r="N54">
        <v>5948.71</v>
      </c>
      <c r="O54" s="227">
        <f t="shared" si="3"/>
        <v>-3.4559934599135422E-3</v>
      </c>
      <c r="P54" s="5">
        <f>O54-O1278</f>
        <v>-3.0902362590003707E-3</v>
      </c>
      <c r="Q54" s="8">
        <f t="shared" si="6"/>
        <v>9.5495601364406056E-6</v>
      </c>
      <c r="S54" t="s">
        <v>321</v>
      </c>
      <c r="T54">
        <v>5.67</v>
      </c>
      <c r="U54" s="29">
        <f t="shared" si="4"/>
        <v>0.11834319526627213</v>
      </c>
      <c r="V54" s="5">
        <f>U54-V1274</f>
        <v>0.11660700449056509</v>
      </c>
      <c r="X54" s="1">
        <v>45455</v>
      </c>
      <c r="Y54">
        <v>4.91</v>
      </c>
      <c r="Z54" s="48">
        <f t="shared" si="2"/>
        <v>-1.0080645161290258E-2</v>
      </c>
      <c r="AA54" s="5">
        <f>Z54-Y1274</f>
        <v>-1.4297964630564392E-2</v>
      </c>
      <c r="AD54" t="s">
        <v>321</v>
      </c>
      <c r="AE54">
        <v>173.17</v>
      </c>
      <c r="AF54" s="29">
        <f t="shared" si="5"/>
        <v>-2.2963213721507669E-2</v>
      </c>
    </row>
    <row r="55" spans="1:32">
      <c r="A55" s="3" t="s">
        <v>325</v>
      </c>
      <c r="B55" s="222">
        <v>73.25</v>
      </c>
      <c r="C55" s="227">
        <f t="shared" si="0"/>
        <v>5.6541179864416646E-2</v>
      </c>
      <c r="D55" s="5">
        <f>C55-C1275</f>
        <v>5.6463134294857754E-2</v>
      </c>
      <c r="F55" s="8"/>
      <c r="H55" t="s">
        <v>324</v>
      </c>
      <c r="I55">
        <v>17.3</v>
      </c>
      <c r="J55" s="227">
        <f t="shared" si="1"/>
        <v>4.4055522027760974E-2</v>
      </c>
      <c r="K55" s="5">
        <f>J55-J1276</f>
        <v>4.1919566112151016E-2</v>
      </c>
      <c r="M55" s="240" t="s">
        <v>322</v>
      </c>
      <c r="N55">
        <v>5917.11</v>
      </c>
      <c r="O55" s="227">
        <f t="shared" si="3"/>
        <v>-5.3120760635499975E-3</v>
      </c>
      <c r="P55" s="5">
        <f>O55-O1278</f>
        <v>-4.9463188626368256E-3</v>
      </c>
      <c r="Q55" s="8">
        <f t="shared" si="6"/>
        <v>2.4466070290876861E-5</v>
      </c>
      <c r="S55" t="s">
        <v>322</v>
      </c>
      <c r="T55">
        <v>5.66</v>
      </c>
      <c r="U55" s="29">
        <f t="shared" si="4"/>
        <v>-1.7636684303350414E-3</v>
      </c>
      <c r="V55" s="5">
        <f>U55-V1274</f>
        <v>-3.4998592060420794E-3</v>
      </c>
      <c r="X55" s="1">
        <v>45424</v>
      </c>
      <c r="Y55">
        <v>5.0199999999999996</v>
      </c>
      <c r="Z55" s="48">
        <f t="shared" si="2"/>
        <v>2.2403258655804281E-2</v>
      </c>
      <c r="AA55" s="5">
        <f>Z55-Y1274</f>
        <v>1.8185939186530147E-2</v>
      </c>
      <c r="AD55" t="s">
        <v>322</v>
      </c>
      <c r="AE55">
        <v>172.2</v>
      </c>
      <c r="AF55" s="29">
        <f t="shared" si="5"/>
        <v>-5.601432118727212E-3</v>
      </c>
    </row>
    <row r="56" spans="1:32">
      <c r="A56" s="3" t="s">
        <v>326</v>
      </c>
      <c r="B56" s="222">
        <v>71.44</v>
      </c>
      <c r="C56" s="227">
        <f t="shared" si="0"/>
        <v>-2.4709897610921572E-2</v>
      </c>
      <c r="D56" s="5">
        <f>C56-C1275</f>
        <v>-2.478794318048046E-2</v>
      </c>
      <c r="F56" s="8"/>
      <c r="H56" t="s">
        <v>325</v>
      </c>
      <c r="I56">
        <v>18.12</v>
      </c>
      <c r="J56" s="227">
        <f t="shared" si="1"/>
        <v>4.739884393063587E-2</v>
      </c>
      <c r="K56" s="5">
        <f>J56-J1276</f>
        <v>4.5262888015025912E-2</v>
      </c>
      <c r="M56" s="240" t="s">
        <v>323</v>
      </c>
      <c r="N56">
        <v>5916.98</v>
      </c>
      <c r="O56" s="227">
        <f t="shared" si="3"/>
        <v>-2.1970184769237733E-5</v>
      </c>
      <c r="P56" s="5">
        <f>O56-O1278</f>
        <v>3.4378701614393381E-4</v>
      </c>
      <c r="Q56" s="8">
        <f t="shared" si="6"/>
        <v>1.1818951246914941E-7</v>
      </c>
      <c r="S56" t="s">
        <v>323</v>
      </c>
      <c r="T56">
        <v>5.46</v>
      </c>
      <c r="U56" s="29">
        <f t="shared" si="4"/>
        <v>-3.5335689045936425E-2</v>
      </c>
      <c r="V56" s="5">
        <f>U56-V1274</f>
        <v>-3.7071879821643464E-2</v>
      </c>
      <c r="X56" s="1">
        <v>45394</v>
      </c>
      <c r="Y56">
        <v>5.01</v>
      </c>
      <c r="Z56" s="48">
        <f t="shared" si="2"/>
        <v>-1.9920318725099584E-3</v>
      </c>
      <c r="AA56" s="5">
        <f>Z56-Y1274</f>
        <v>-6.2093513417840925E-3</v>
      </c>
      <c r="AD56" t="s">
        <v>323</v>
      </c>
      <c r="AE56">
        <v>176.18</v>
      </c>
      <c r="AF56" s="29">
        <f t="shared" si="5"/>
        <v>2.3112659698025562E-2</v>
      </c>
    </row>
    <row r="57" spans="1:32">
      <c r="A57" s="3" t="s">
        <v>327</v>
      </c>
      <c r="B57" s="222">
        <v>71.16</v>
      </c>
      <c r="C57" s="227">
        <f t="shared" si="0"/>
        <v>-3.919372900335949E-3</v>
      </c>
      <c r="D57" s="5">
        <f>C57-C1275</f>
        <v>-3.9974184698948383E-3</v>
      </c>
      <c r="F57" s="8"/>
      <c r="H57" t="s">
        <v>326</v>
      </c>
      <c r="I57">
        <v>17.920000000000002</v>
      </c>
      <c r="J57" s="227">
        <f t="shared" si="1"/>
        <v>-1.103752759381893E-2</v>
      </c>
      <c r="K57" s="5">
        <f>J57-J1276</f>
        <v>-1.3173483509428888E-2</v>
      </c>
      <c r="M57" s="240" t="s">
        <v>324</v>
      </c>
      <c r="N57">
        <v>5893.62</v>
      </c>
      <c r="O57" s="227">
        <f t="shared" si="3"/>
        <v>-3.9479599390228604E-3</v>
      </c>
      <c r="P57" s="5">
        <f>O57-O1278</f>
        <v>-3.5822027381096889E-3</v>
      </c>
      <c r="Q57" s="8">
        <f t="shared" si="6"/>
        <v>1.2832176456920553E-5</v>
      </c>
      <c r="S57" t="s">
        <v>324</v>
      </c>
      <c r="T57">
        <v>4.99</v>
      </c>
      <c r="U57" s="29">
        <f t="shared" si="4"/>
        <v>-8.6080586080585997E-2</v>
      </c>
      <c r="V57" s="5">
        <f>U57-V1274</f>
        <v>-8.7816776856293036E-2</v>
      </c>
      <c r="X57" s="1">
        <v>45363</v>
      </c>
      <c r="Y57">
        <v>4.92</v>
      </c>
      <c r="Z57" s="48">
        <f t="shared" si="2"/>
        <v>-1.7964071856287345E-2</v>
      </c>
      <c r="AA57" s="5">
        <f>Z57-Y1274</f>
        <v>-2.2181391325561479E-2</v>
      </c>
      <c r="AD57" t="s">
        <v>324</v>
      </c>
      <c r="AE57">
        <v>172.73</v>
      </c>
      <c r="AF57" s="29">
        <f t="shared" si="5"/>
        <v>-1.9582245430809442E-2</v>
      </c>
    </row>
    <row r="58" spans="1:32">
      <c r="A58" s="220">
        <v>45637</v>
      </c>
      <c r="B58" s="222">
        <v>71.37</v>
      </c>
      <c r="C58" s="227">
        <f t="shared" si="0"/>
        <v>2.9510961214165299E-3</v>
      </c>
      <c r="D58" s="5">
        <f>C58-C1275</f>
        <v>2.8730505518576406E-3</v>
      </c>
      <c r="F58" s="8"/>
      <c r="H58" t="s">
        <v>327</v>
      </c>
      <c r="I58">
        <v>17.78</v>
      </c>
      <c r="J58" s="227">
        <f t="shared" si="1"/>
        <v>-7.8125E-3</v>
      </c>
      <c r="K58" s="5">
        <f>J58-J1276</f>
        <v>-9.9484559156099578E-3</v>
      </c>
      <c r="M58" s="240" t="s">
        <v>325</v>
      </c>
      <c r="N58">
        <v>5870.62</v>
      </c>
      <c r="O58" s="227">
        <f t="shared" si="3"/>
        <v>-3.9025251034169317E-3</v>
      </c>
      <c r="P58" s="5">
        <f>O58-O1278</f>
        <v>-3.5367679025037602E-3</v>
      </c>
      <c r="Q58" s="8">
        <f t="shared" si="6"/>
        <v>1.2508727196180847E-5</v>
      </c>
      <c r="S58" t="s">
        <v>325</v>
      </c>
      <c r="T58">
        <v>4.7300000000000004</v>
      </c>
      <c r="U58" s="29">
        <f t="shared" si="4"/>
        <v>-5.2104208416833608E-2</v>
      </c>
      <c r="V58" s="5">
        <f>U58-V1274</f>
        <v>-5.3840399192540647E-2</v>
      </c>
      <c r="X58" s="1">
        <v>45334</v>
      </c>
      <c r="Y58">
        <v>4.76</v>
      </c>
      <c r="Z58" s="48">
        <f t="shared" si="2"/>
        <v>-3.2520325203252098E-2</v>
      </c>
      <c r="AA58" s="5">
        <f>Z58-Y1274</f>
        <v>-3.6737644672526229E-2</v>
      </c>
      <c r="AD58" t="s">
        <v>325</v>
      </c>
      <c r="AE58">
        <v>169.43</v>
      </c>
      <c r="AF58" s="29">
        <f t="shared" si="5"/>
        <v>-1.9104961500607809E-2</v>
      </c>
    </row>
    <row r="59" spans="1:32">
      <c r="A59" s="220">
        <v>45607</v>
      </c>
      <c r="B59" s="222">
        <v>71.650000000000006</v>
      </c>
      <c r="C59" s="227">
        <f t="shared" si="0"/>
        <v>3.9232170379710496E-3</v>
      </c>
      <c r="D59" s="5">
        <f>C59-C1275</f>
        <v>3.8451714684121603E-3</v>
      </c>
      <c r="F59" s="8"/>
      <c r="H59" s="1">
        <v>45637</v>
      </c>
      <c r="I59">
        <v>18.34</v>
      </c>
      <c r="J59" s="227">
        <f t="shared" si="1"/>
        <v>3.1496062992125928E-2</v>
      </c>
      <c r="K59" s="5">
        <f>J59-J1276</f>
        <v>2.9360107076515971E-2</v>
      </c>
      <c r="M59" s="240" t="s">
        <v>326</v>
      </c>
      <c r="N59">
        <v>5949.17</v>
      </c>
      <c r="O59" s="227">
        <f t="shared" si="3"/>
        <v>1.3380188123230718E-2</v>
      </c>
      <c r="P59" s="5">
        <f>O59-O1278</f>
        <v>1.374594532414389E-2</v>
      </c>
      <c r="Q59" s="8">
        <f t="shared" si="6"/>
        <v>1.8895101285435327E-4</v>
      </c>
      <c r="S59" t="s">
        <v>326</v>
      </c>
      <c r="T59">
        <v>4.7300000000000004</v>
      </c>
      <c r="U59" s="29">
        <f t="shared" si="4"/>
        <v>0</v>
      </c>
      <c r="V59" s="5">
        <f>U59-V1274</f>
        <v>-1.736190775707038E-3</v>
      </c>
      <c r="X59" t="s">
        <v>316</v>
      </c>
      <c r="Y59">
        <v>4.72</v>
      </c>
      <c r="Z59" s="48">
        <f t="shared" si="2"/>
        <v>-8.4033613445377853E-3</v>
      </c>
      <c r="AA59" s="5">
        <f>Z59-Y1274</f>
        <v>-1.2620680813811919E-2</v>
      </c>
      <c r="AD59" t="s">
        <v>326</v>
      </c>
      <c r="AE59">
        <v>173.8</v>
      </c>
      <c r="AF59" s="29">
        <f t="shared" si="5"/>
        <v>2.5792362627633958E-2</v>
      </c>
    </row>
    <row r="60" spans="1:32">
      <c r="A60" s="220">
        <v>45515</v>
      </c>
      <c r="B60" s="222">
        <v>72.040000000000006</v>
      </c>
      <c r="C60" s="227">
        <f t="shared" si="0"/>
        <v>5.4431263084437909E-3</v>
      </c>
      <c r="D60" s="5">
        <f>C60-C1275</f>
        <v>5.3650807388849015E-3</v>
      </c>
      <c r="F60" s="8"/>
      <c r="H60" s="1">
        <v>45607</v>
      </c>
      <c r="I60">
        <v>18.59</v>
      </c>
      <c r="J60" s="227">
        <f t="shared" si="1"/>
        <v>1.36314067611778E-2</v>
      </c>
      <c r="K60" s="5">
        <f>J60-J1276</f>
        <v>1.1495450845567842E-2</v>
      </c>
      <c r="M60" s="240" t="s">
        <v>327</v>
      </c>
      <c r="N60">
        <v>5985.38</v>
      </c>
      <c r="O60" s="227">
        <f t="shared" si="3"/>
        <v>6.0865633357258808E-3</v>
      </c>
      <c r="P60" s="5">
        <f>O60-O1278</f>
        <v>6.4523205366390527E-3</v>
      </c>
      <c r="Q60" s="8">
        <f t="shared" si="6"/>
        <v>4.1632440307534076E-5</v>
      </c>
      <c r="S60" t="s">
        <v>327</v>
      </c>
      <c r="T60">
        <v>4.8899999999999997</v>
      </c>
      <c r="U60" s="29">
        <f t="shared" si="4"/>
        <v>3.3826638477801207E-2</v>
      </c>
      <c r="V60" s="5">
        <f>U60-V1274</f>
        <v>3.2090447702094169E-2</v>
      </c>
      <c r="X60" t="s">
        <v>317</v>
      </c>
      <c r="Y60">
        <v>4.88</v>
      </c>
      <c r="Z60" s="48">
        <f t="shared" si="2"/>
        <v>3.3898305084745894E-2</v>
      </c>
      <c r="AA60" s="5">
        <f>Z60-Y1274</f>
        <v>2.968098561547176E-2</v>
      </c>
      <c r="AD60" t="s">
        <v>327</v>
      </c>
      <c r="AE60">
        <v>175.76</v>
      </c>
      <c r="AF60" s="29">
        <f t="shared" si="5"/>
        <v>1.1277330264671814E-2</v>
      </c>
    </row>
    <row r="61" spans="1:32">
      <c r="A61" s="220">
        <v>45484</v>
      </c>
      <c r="B61" s="222">
        <v>73.13</v>
      </c>
      <c r="C61" s="227">
        <f t="shared" si="0"/>
        <v>1.5130483064963673E-2</v>
      </c>
      <c r="D61" s="5">
        <f>C61-C1275</f>
        <v>1.5052437495404785E-2</v>
      </c>
      <c r="F61" s="8"/>
      <c r="H61" s="1">
        <v>45515</v>
      </c>
      <c r="I61">
        <v>17.78</v>
      </c>
      <c r="J61" s="227">
        <f t="shared" si="1"/>
        <v>-4.3571812802581933E-2</v>
      </c>
      <c r="K61" s="5">
        <f>J61-J1276</f>
        <v>-4.5707768718191891E-2</v>
      </c>
      <c r="M61" s="241">
        <v>45637</v>
      </c>
      <c r="N61">
        <v>5983.99</v>
      </c>
      <c r="O61" s="227">
        <f t="shared" si="3"/>
        <v>-2.3223253995574566E-4</v>
      </c>
      <c r="P61" s="5">
        <f>O61-O1278</f>
        <v>1.3352466095742588E-4</v>
      </c>
      <c r="Q61" s="8">
        <f t="shared" si="6"/>
        <v>1.7828835083795531E-8</v>
      </c>
      <c r="S61" s="1">
        <v>45637</v>
      </c>
      <c r="T61">
        <v>4.8899999999999997</v>
      </c>
      <c r="U61" s="29">
        <f t="shared" si="4"/>
        <v>0</v>
      </c>
      <c r="V61" s="5">
        <f>U61-V1274</f>
        <v>-1.736190775707038E-3</v>
      </c>
      <c r="X61" t="s">
        <v>318</v>
      </c>
      <c r="Y61">
        <v>4.78</v>
      </c>
      <c r="Z61" s="48">
        <f t="shared" si="2"/>
        <v>-2.0491803278688492E-2</v>
      </c>
      <c r="AA61" s="5">
        <f>Z61-Y1274</f>
        <v>-2.4709122747962626E-2</v>
      </c>
      <c r="AD61" s="1">
        <v>45637</v>
      </c>
      <c r="AE61">
        <v>176.49</v>
      </c>
      <c r="AF61" s="29">
        <f t="shared" si="5"/>
        <v>4.1533909877107256E-3</v>
      </c>
    </row>
    <row r="62" spans="1:32">
      <c r="A62" s="220">
        <v>45454</v>
      </c>
      <c r="B62" s="222">
        <v>74.36</v>
      </c>
      <c r="C62" s="227">
        <f t="shared" si="0"/>
        <v>1.6819362778613511E-2</v>
      </c>
      <c r="D62" s="5">
        <f>C62-C1275</f>
        <v>1.6741317209054623E-2</v>
      </c>
      <c r="F62" s="8"/>
      <c r="H62" s="1">
        <v>45484</v>
      </c>
      <c r="I62">
        <v>17.690000000000001</v>
      </c>
      <c r="J62" s="227">
        <f t="shared" si="1"/>
        <v>-5.0618672665916353E-3</v>
      </c>
      <c r="K62" s="5">
        <f>J62-J1276</f>
        <v>-7.1978231822015931E-3</v>
      </c>
      <c r="M62" s="241">
        <v>45607</v>
      </c>
      <c r="N62">
        <v>6001.35</v>
      </c>
      <c r="O62" s="227">
        <f t="shared" si="3"/>
        <v>2.9010743667687855E-3</v>
      </c>
      <c r="P62" s="5">
        <f>O62-O1278</f>
        <v>3.266831567681957E-3</v>
      </c>
      <c r="Q62" s="8">
        <f t="shared" si="6"/>
        <v>1.0672188491603353E-5</v>
      </c>
      <c r="S62" s="1">
        <v>45607</v>
      </c>
      <c r="T62">
        <v>4.38</v>
      </c>
      <c r="U62" s="29">
        <f>T62/T61-1</f>
        <v>-0.10429447852760731</v>
      </c>
      <c r="V62" s="5">
        <f>U62-V1274</f>
        <v>-0.10603066930331435</v>
      </c>
      <c r="X62" t="s">
        <v>319</v>
      </c>
      <c r="Y62">
        <v>4.78</v>
      </c>
      <c r="Z62" s="48">
        <f t="shared" si="2"/>
        <v>0</v>
      </c>
      <c r="AA62" s="5">
        <f>Z62-Y1274</f>
        <v>-4.2173194692741341E-3</v>
      </c>
      <c r="AD62" s="1">
        <v>45607</v>
      </c>
      <c r="AE62">
        <v>174.95</v>
      </c>
      <c r="AF62" s="29">
        <f t="shared" si="5"/>
        <v>-8.7257068389144932E-3</v>
      </c>
    </row>
    <row r="63" spans="1:32">
      <c r="A63" s="220">
        <v>45423</v>
      </c>
      <c r="B63" s="222">
        <v>74.150000000000006</v>
      </c>
      <c r="C63" s="227">
        <f t="shared" si="0"/>
        <v>-2.8240989779449999E-3</v>
      </c>
      <c r="D63" s="5">
        <f>C63-C1275</f>
        <v>-2.9021445475038892E-3</v>
      </c>
      <c r="F63" s="8"/>
      <c r="H63" s="1">
        <v>45454</v>
      </c>
      <c r="I63">
        <v>14.4</v>
      </c>
      <c r="J63" s="227">
        <f t="shared" si="1"/>
        <v>-0.18598078010175245</v>
      </c>
      <c r="K63" s="5">
        <f>J63-J1276</f>
        <v>-0.1881167360173624</v>
      </c>
      <c r="M63" s="241">
        <v>45515</v>
      </c>
      <c r="N63">
        <v>5995.54</v>
      </c>
      <c r="O63" s="227">
        <f t="shared" si="3"/>
        <v>-9.6811550734421381E-4</v>
      </c>
      <c r="P63" s="5">
        <f>O63-O1278</f>
        <v>-6.0235830643104232E-4</v>
      </c>
      <c r="Q63" s="8">
        <f t="shared" si="6"/>
        <v>3.6283552932647346E-7</v>
      </c>
      <c r="S63" s="1">
        <v>45515</v>
      </c>
      <c r="T63">
        <v>4.2300000000000004</v>
      </c>
      <c r="U63" s="29">
        <f t="shared" si="4"/>
        <v>-3.4246575342465668E-2</v>
      </c>
      <c r="V63" s="5">
        <f>U63-V1274</f>
        <v>-3.5982766118172707E-2</v>
      </c>
      <c r="X63" t="s">
        <v>320</v>
      </c>
      <c r="Y63">
        <v>4.57</v>
      </c>
      <c r="Z63" s="48">
        <f t="shared" si="2"/>
        <v>-4.3933054393305415E-2</v>
      </c>
      <c r="AA63" s="5">
        <f>Z63-Y1274</f>
        <v>-4.8150373862579546E-2</v>
      </c>
      <c r="AD63" s="1">
        <v>45515</v>
      </c>
      <c r="AE63">
        <v>171.4</v>
      </c>
      <c r="AF63" s="29">
        <f t="shared" si="5"/>
        <v>-2.0291511860531464E-2</v>
      </c>
    </row>
    <row r="64" spans="1:32">
      <c r="A64" s="220">
        <v>45393</v>
      </c>
      <c r="B64" s="222">
        <v>73.25</v>
      </c>
      <c r="C64" s="227">
        <f t="shared" si="0"/>
        <v>-1.2137559002022957E-2</v>
      </c>
      <c r="D64" s="5">
        <f>C64-C1275</f>
        <v>-1.2215604571581846E-2</v>
      </c>
      <c r="F64" s="8"/>
      <c r="H64" s="1">
        <v>45423</v>
      </c>
      <c r="I64">
        <v>13.8</v>
      </c>
      <c r="J64" s="227">
        <f t="shared" si="1"/>
        <v>-4.166666666666663E-2</v>
      </c>
      <c r="K64" s="5">
        <f>J64-J1276</f>
        <v>-4.3802622582276587E-2</v>
      </c>
      <c r="M64" s="241">
        <v>45484</v>
      </c>
      <c r="N64">
        <v>5973.1</v>
      </c>
      <c r="O64" s="227">
        <f t="shared" si="3"/>
        <v>-3.742782134720124E-3</v>
      </c>
      <c r="P64" s="5">
        <f>O64-O1278</f>
        <v>-3.3770249338069525E-3</v>
      </c>
      <c r="Q64" s="8">
        <f t="shared" si="6"/>
        <v>1.1404297403553852E-5</v>
      </c>
      <c r="S64" s="1">
        <v>45484</v>
      </c>
      <c r="T64">
        <v>4.2699999999999996</v>
      </c>
      <c r="U64" s="29">
        <f t="shared" si="4"/>
        <v>9.4562647754135032E-3</v>
      </c>
      <c r="V64" s="5">
        <f>U64-V1274</f>
        <v>7.7200739997064652E-3</v>
      </c>
      <c r="X64" t="s">
        <v>321</v>
      </c>
      <c r="Y64">
        <v>4.72</v>
      </c>
      <c r="Z64" s="48">
        <f t="shared" si="2"/>
        <v>3.2822757111597323E-2</v>
      </c>
      <c r="AA64" s="5">
        <f>Z64-Y1274</f>
        <v>2.8605437642323189E-2</v>
      </c>
      <c r="AD64" s="1">
        <v>45484</v>
      </c>
      <c r="AE64">
        <v>170.59</v>
      </c>
      <c r="AF64" s="29">
        <f t="shared" si="5"/>
        <v>-4.7257876312718494E-3</v>
      </c>
    </row>
    <row r="65" spans="1:32">
      <c r="A65" s="220">
        <v>45302</v>
      </c>
      <c r="B65" s="222">
        <v>73.25</v>
      </c>
      <c r="C65" s="227">
        <f t="shared" si="0"/>
        <v>0</v>
      </c>
      <c r="D65" s="5">
        <f>C65-C1275</f>
        <v>-7.8045569558889217E-5</v>
      </c>
      <c r="F65" s="8"/>
      <c r="H65" s="1">
        <v>45393</v>
      </c>
      <c r="I65">
        <v>13.58</v>
      </c>
      <c r="J65" s="227">
        <f t="shared" si="1"/>
        <v>-1.5942028985507339E-2</v>
      </c>
      <c r="K65" s="5">
        <f>J65-J1276</f>
        <v>-1.8077984901117297E-2</v>
      </c>
      <c r="M65" s="241">
        <v>45454</v>
      </c>
      <c r="N65">
        <v>5929.04</v>
      </c>
      <c r="O65" s="227">
        <f t="shared" si="3"/>
        <v>-7.3764042122181905E-3</v>
      </c>
      <c r="P65" s="5">
        <f>O65-O1278</f>
        <v>-7.0106470113050186E-3</v>
      </c>
      <c r="Q65" s="8">
        <f t="shared" si="6"/>
        <v>4.9149171517119992E-5</v>
      </c>
      <c r="S65" s="1">
        <v>45454</v>
      </c>
      <c r="T65">
        <v>4.22</v>
      </c>
      <c r="U65" s="29">
        <f t="shared" si="4"/>
        <v>-1.1709601873536313E-2</v>
      </c>
      <c r="V65" s="5">
        <f>U65-V1274</f>
        <v>-1.3445792649243352E-2</v>
      </c>
      <c r="X65" t="s">
        <v>322</v>
      </c>
      <c r="Y65">
        <v>4.8600000000000003</v>
      </c>
      <c r="Z65" s="48">
        <f t="shared" si="2"/>
        <v>2.9661016949152685E-2</v>
      </c>
      <c r="AA65" s="5">
        <f>Z65-Y1274</f>
        <v>2.5443697479878551E-2</v>
      </c>
      <c r="AD65" s="1">
        <v>45454</v>
      </c>
      <c r="AE65">
        <v>169.64</v>
      </c>
      <c r="AF65" s="29">
        <f t="shared" si="5"/>
        <v>-5.5689079078493631E-3</v>
      </c>
    </row>
    <row r="66" spans="1:32">
      <c r="A66" s="3" t="s">
        <v>328</v>
      </c>
      <c r="B66" s="222">
        <v>72.05</v>
      </c>
      <c r="C66" s="227">
        <f t="shared" si="0"/>
        <v>-1.6382252559727029E-2</v>
      </c>
      <c r="D66" s="5">
        <f>C66-C1275</f>
        <v>-1.6460298129285917E-2</v>
      </c>
      <c r="F66" s="8"/>
      <c r="H66" s="1">
        <v>45302</v>
      </c>
      <c r="I66">
        <v>13.48</v>
      </c>
      <c r="J66" s="227">
        <f t="shared" si="1"/>
        <v>-7.3637702503681624E-3</v>
      </c>
      <c r="K66" s="5">
        <f>J66-J1276</f>
        <v>-9.4997261659781201E-3</v>
      </c>
      <c r="M66" s="241">
        <v>45423</v>
      </c>
      <c r="N66">
        <v>5782.76</v>
      </c>
      <c r="O66" s="227">
        <f t="shared" si="3"/>
        <v>-2.4671784976994515E-2</v>
      </c>
      <c r="P66" s="5">
        <f>O66-O1278</f>
        <v>-2.4306027776081342E-2</v>
      </c>
      <c r="Q66" s="8">
        <f t="shared" si="6"/>
        <v>5.9078298625163774E-4</v>
      </c>
      <c r="S66" s="1">
        <v>45423</v>
      </c>
      <c r="T66">
        <v>4.1900000000000004</v>
      </c>
      <c r="U66" s="29">
        <f t="shared" si="4"/>
        <v>-7.1090047393362887E-3</v>
      </c>
      <c r="V66" s="5">
        <f>U66-V1274</f>
        <v>-8.8451955150433276E-3</v>
      </c>
      <c r="X66" t="s">
        <v>323</v>
      </c>
      <c r="Y66">
        <v>4.8</v>
      </c>
      <c r="Z66" s="48">
        <f t="shared" si="2"/>
        <v>-1.2345679012345734E-2</v>
      </c>
      <c r="AA66" s="5">
        <f>Z66-Y1274</f>
        <v>-1.6562998481619868E-2</v>
      </c>
      <c r="AD66" s="1">
        <v>45423</v>
      </c>
      <c r="AE66">
        <v>159.46</v>
      </c>
      <c r="AF66" s="29">
        <f t="shared" si="5"/>
        <v>-6.0009431737797603E-2</v>
      </c>
    </row>
    <row r="67" spans="1:32">
      <c r="A67" s="3" t="s">
        <v>329</v>
      </c>
      <c r="B67" s="222">
        <v>79.430000000000007</v>
      </c>
      <c r="C67" s="227">
        <f t="shared" si="0"/>
        <v>0.10242886884108282</v>
      </c>
      <c r="D67" s="5">
        <f>C67-C1275</f>
        <v>0.10235082327152394</v>
      </c>
      <c r="F67" s="8"/>
      <c r="H67" t="s">
        <v>328</v>
      </c>
      <c r="I67">
        <v>12.97</v>
      </c>
      <c r="J67" s="227">
        <f t="shared" si="1"/>
        <v>-3.783382789317502E-2</v>
      </c>
      <c r="K67" s="5">
        <f>J67-J1276</f>
        <v>-3.9969783808784978E-2</v>
      </c>
      <c r="M67" s="241">
        <v>45393</v>
      </c>
      <c r="N67">
        <v>5712.69</v>
      </c>
      <c r="O67" s="227">
        <f t="shared" si="3"/>
        <v>-1.2117051373392695E-2</v>
      </c>
      <c r="P67" s="5">
        <f>O67-O1278</f>
        <v>-1.1751294172479524E-2</v>
      </c>
      <c r="Q67" s="8">
        <f t="shared" si="6"/>
        <v>1.3809291472815122E-4</v>
      </c>
      <c r="S67" s="1">
        <v>45393</v>
      </c>
      <c r="T67">
        <v>4.09</v>
      </c>
      <c r="U67" s="29">
        <f t="shared" si="4"/>
        <v>-2.3866348448687513E-2</v>
      </c>
      <c r="V67" s="5">
        <f>U67-V1274</f>
        <v>-2.5602539224394552E-2</v>
      </c>
      <c r="X67" t="s">
        <v>324</v>
      </c>
      <c r="Y67">
        <v>4.96</v>
      </c>
      <c r="Z67" s="48">
        <f t="shared" si="2"/>
        <v>3.3333333333333437E-2</v>
      </c>
      <c r="AA67" s="5">
        <f>Z67-Y1274</f>
        <v>2.9116013864059303E-2</v>
      </c>
      <c r="AD67" s="1">
        <v>45393</v>
      </c>
      <c r="AE67">
        <v>157.24</v>
      </c>
      <c r="AF67" s="29">
        <f t="shared" si="5"/>
        <v>-1.3921986705129785E-2</v>
      </c>
    </row>
    <row r="68" spans="1:32">
      <c r="A68" s="3" t="s">
        <v>330</v>
      </c>
      <c r="B68" s="222">
        <v>79.209999999999994</v>
      </c>
      <c r="C68" s="227">
        <f t="shared" si="0"/>
        <v>-2.7697343572958832E-3</v>
      </c>
      <c r="D68" s="5">
        <f>C68-C1275</f>
        <v>-2.8477799268547726E-3</v>
      </c>
      <c r="F68" s="8"/>
      <c r="H68" t="s">
        <v>329</v>
      </c>
      <c r="I68">
        <v>13.67</v>
      </c>
      <c r="J68" s="227">
        <f t="shared" si="1"/>
        <v>5.3970701619121098E-2</v>
      </c>
      <c r="K68" s="5">
        <f>J68-J1276</f>
        <v>5.183474570351114E-2</v>
      </c>
      <c r="M68" s="241">
        <v>45302</v>
      </c>
      <c r="N68">
        <v>5728.8</v>
      </c>
      <c r="O68" s="227">
        <f t="shared" si="3"/>
        <v>2.820037495470773E-3</v>
      </c>
      <c r="P68" s="5">
        <f>O68-O1278</f>
        <v>3.1857946963839445E-3</v>
      </c>
      <c r="Q68" s="8">
        <f t="shared" si="6"/>
        <v>1.0149287847508069E-5</v>
      </c>
      <c r="S68" s="1">
        <v>45302</v>
      </c>
      <c r="T68">
        <v>4.07</v>
      </c>
      <c r="U68" s="29">
        <f t="shared" si="4"/>
        <v>-4.8899755501221609E-3</v>
      </c>
      <c r="V68" s="5">
        <f>U68-V1274</f>
        <v>-6.6261663258291989E-3</v>
      </c>
      <c r="X68" t="s">
        <v>325</v>
      </c>
      <c r="Y68">
        <v>4.7699999999999996</v>
      </c>
      <c r="Z68" s="48">
        <f t="shared" si="2"/>
        <v>-3.8306451612903358E-2</v>
      </c>
      <c r="AA68" s="5">
        <f>Z68-Y1274</f>
        <v>-4.2523771082177489E-2</v>
      </c>
      <c r="AD68" s="1">
        <v>45302</v>
      </c>
      <c r="AE68">
        <v>155.66</v>
      </c>
      <c r="AF68" s="29">
        <f t="shared" si="5"/>
        <v>-1.0048333757313732E-2</v>
      </c>
    </row>
    <row r="69" spans="1:32">
      <c r="A69" s="3" t="s">
        <v>331</v>
      </c>
      <c r="B69" s="222">
        <v>77.69</v>
      </c>
      <c r="C69" s="227">
        <f t="shared" si="0"/>
        <v>-1.9189496275722751E-2</v>
      </c>
      <c r="D69" s="5">
        <f>C69-C1275</f>
        <v>-1.9267541845281639E-2</v>
      </c>
      <c r="E69" s="1"/>
      <c r="F69" s="8"/>
      <c r="H69" t="s">
        <v>330</v>
      </c>
      <c r="I69">
        <v>13.91</v>
      </c>
      <c r="J69" s="227">
        <f t="shared" si="1"/>
        <v>1.7556693489392927E-2</v>
      </c>
      <c r="K69" s="5">
        <f>J69-J1276</f>
        <v>1.5420737573782969E-2</v>
      </c>
      <c r="M69" s="240" t="s">
        <v>328</v>
      </c>
      <c r="N69">
        <v>5705.45</v>
      </c>
      <c r="O69" s="227">
        <f t="shared" si="3"/>
        <v>-4.0758972210586109E-3</v>
      </c>
      <c r="P69" s="5">
        <f>O69-O1278</f>
        <v>-3.7101400201454394E-3</v>
      </c>
      <c r="Q69" s="8">
        <f t="shared" si="6"/>
        <v>1.3765138969084801E-5</v>
      </c>
      <c r="S69" t="s">
        <v>328</v>
      </c>
      <c r="T69">
        <v>4.08</v>
      </c>
      <c r="U69" s="29">
        <f t="shared" si="4"/>
        <v>2.4570024570023108E-3</v>
      </c>
      <c r="V69" s="5">
        <f>U69-V1274</f>
        <v>7.2081168129527282E-4</v>
      </c>
      <c r="X69" t="s">
        <v>326</v>
      </c>
      <c r="Y69">
        <v>4.7</v>
      </c>
      <c r="Z69" s="48">
        <f t="shared" si="2"/>
        <v>-1.467505241090139E-2</v>
      </c>
      <c r="AA69" s="5">
        <f>Z69-Y1274</f>
        <v>-1.8892371880175524E-2</v>
      </c>
      <c r="AD69" t="s">
        <v>328</v>
      </c>
      <c r="AE69">
        <v>156.69999999999999</v>
      </c>
      <c r="AF69" s="29">
        <f t="shared" si="5"/>
        <v>6.6812283181292287E-3</v>
      </c>
    </row>
    <row r="70" spans="1:32">
      <c r="A70" s="3" t="s">
        <v>332</v>
      </c>
      <c r="B70" s="222">
        <v>77.62</v>
      </c>
      <c r="C70" s="227">
        <f t="shared" si="0"/>
        <v>-9.0101686188692742E-4</v>
      </c>
      <c r="D70" s="5">
        <f>C70-C1275</f>
        <v>-9.7906243144581673E-4</v>
      </c>
      <c r="E70" s="1"/>
      <c r="F70" s="8"/>
      <c r="H70" t="s">
        <v>331</v>
      </c>
      <c r="I70">
        <v>13.89</v>
      </c>
      <c r="J70" s="227">
        <f t="shared" si="1"/>
        <v>-1.4378145219265948E-3</v>
      </c>
      <c r="K70" s="5">
        <f>J70-J1276</f>
        <v>-3.5737704375365525E-3</v>
      </c>
      <c r="M70" s="240" t="s">
        <v>329</v>
      </c>
      <c r="N70">
        <v>5813.67</v>
      </c>
      <c r="O70" s="227">
        <f t="shared" si="3"/>
        <v>1.8967829005599901E-2</v>
      </c>
      <c r="P70" s="5">
        <f>O70-O1278</f>
        <v>1.9333586206513074E-2</v>
      </c>
      <c r="Q70" s="8">
        <f t="shared" si="6"/>
        <v>3.7378755560467261E-4</v>
      </c>
      <c r="S70" t="s">
        <v>329</v>
      </c>
      <c r="T70">
        <v>4.12</v>
      </c>
      <c r="U70" s="29">
        <f t="shared" si="4"/>
        <v>9.8039215686274161E-3</v>
      </c>
      <c r="V70" s="5">
        <f>U70-V1274</f>
        <v>8.0677307929203773E-3</v>
      </c>
      <c r="X70" t="s">
        <v>327</v>
      </c>
      <c r="Y70">
        <v>4.8</v>
      </c>
      <c r="Z70" s="48">
        <f t="shared" si="2"/>
        <v>2.1276595744680771E-2</v>
      </c>
      <c r="AA70" s="5">
        <f>Z70-Y1274</f>
        <v>1.7059276275406637E-2</v>
      </c>
      <c r="AD70" t="s">
        <v>329</v>
      </c>
      <c r="AE70">
        <v>155.25</v>
      </c>
      <c r="AF70" s="29">
        <f t="shared" si="5"/>
        <v>-9.2533503509890647E-3</v>
      </c>
    </row>
    <row r="71" spans="1:32">
      <c r="A71" s="3" t="s">
        <v>333</v>
      </c>
      <c r="B71" s="222">
        <v>78.38</v>
      </c>
      <c r="C71" s="227">
        <f t="shared" si="0"/>
        <v>9.7912909044060026E-3</v>
      </c>
      <c r="D71" s="5">
        <f>C71-C1275</f>
        <v>9.7132453348471141E-3</v>
      </c>
      <c r="E71" s="1"/>
      <c r="F71" s="8"/>
      <c r="H71" t="s">
        <v>332</v>
      </c>
      <c r="I71">
        <v>13.41</v>
      </c>
      <c r="J71" s="227">
        <f t="shared" si="1"/>
        <v>-3.4557235421166288E-2</v>
      </c>
      <c r="K71" s="5">
        <f>J71-J1276</f>
        <v>-3.6693191336776246E-2</v>
      </c>
      <c r="M71" s="240" t="s">
        <v>330</v>
      </c>
      <c r="N71">
        <v>5832.92</v>
      </c>
      <c r="O71" s="227">
        <f t="shared" si="3"/>
        <v>3.3111614522323141E-3</v>
      </c>
      <c r="P71" s="5">
        <f>O71-O1278</f>
        <v>3.6769186531454856E-3</v>
      </c>
      <c r="Q71" s="8">
        <f t="shared" si="6"/>
        <v>1.3519730781849211E-5</v>
      </c>
      <c r="S71" t="s">
        <v>330</v>
      </c>
      <c r="T71">
        <v>4.17</v>
      </c>
      <c r="U71" s="29">
        <f t="shared" si="4"/>
        <v>1.2135922330096971E-2</v>
      </c>
      <c r="V71" s="5">
        <f>U71-V1274</f>
        <v>1.0399731554389932E-2</v>
      </c>
      <c r="X71" s="1">
        <v>45637</v>
      </c>
      <c r="Y71">
        <v>4.8</v>
      </c>
      <c r="Z71" s="48">
        <f t="shared" si="2"/>
        <v>0</v>
      </c>
      <c r="AA71" s="5">
        <f>Z71-Y1274</f>
        <v>-4.2173194692741341E-3</v>
      </c>
      <c r="AD71" t="s">
        <v>330</v>
      </c>
      <c r="AE71">
        <v>155.19999999999999</v>
      </c>
      <c r="AF71" s="29">
        <f t="shared" si="5"/>
        <v>-3.2206119162647706E-4</v>
      </c>
    </row>
    <row r="72" spans="1:32">
      <c r="A72" s="3" t="s">
        <v>334</v>
      </c>
      <c r="B72" s="222">
        <v>79.83</v>
      </c>
      <c r="C72" s="227">
        <f t="shared" si="0"/>
        <v>1.8499617249298383E-2</v>
      </c>
      <c r="D72" s="5">
        <f>C72-C1275</f>
        <v>1.8421571679739495E-2</v>
      </c>
      <c r="E72" s="1"/>
      <c r="F72" s="8"/>
      <c r="H72" t="s">
        <v>333</v>
      </c>
      <c r="I72">
        <v>13.78</v>
      </c>
      <c r="J72" s="227">
        <f t="shared" si="1"/>
        <v>2.7591349739000792E-2</v>
      </c>
      <c r="K72" s="5">
        <f>J72-J1276</f>
        <v>2.5455393823390834E-2</v>
      </c>
      <c r="M72" s="240" t="s">
        <v>331</v>
      </c>
      <c r="N72">
        <v>5823.52</v>
      </c>
      <c r="O72" s="227">
        <f t="shared" si="3"/>
        <v>-1.6115427607441557E-3</v>
      </c>
      <c r="P72" s="5">
        <f>O72-O1278</f>
        <v>-1.2457855598309842E-3</v>
      </c>
      <c r="Q72" s="8">
        <f t="shared" si="6"/>
        <v>1.5519816610833986E-6</v>
      </c>
      <c r="S72" t="s">
        <v>331</v>
      </c>
      <c r="T72">
        <v>4.17</v>
      </c>
      <c r="U72" s="29">
        <f t="shared" si="4"/>
        <v>0</v>
      </c>
      <c r="V72" s="5">
        <f>U72-V1274</f>
        <v>-1.736190775707038E-3</v>
      </c>
      <c r="X72" s="1">
        <v>45607</v>
      </c>
      <c r="Y72">
        <v>4.82</v>
      </c>
      <c r="Z72" s="48">
        <f t="shared" si="2"/>
        <v>4.1666666666668739E-3</v>
      </c>
      <c r="AA72" s="5">
        <f>Z72-Y1274</f>
        <v>-5.0652802607260156E-5</v>
      </c>
      <c r="AD72" t="s">
        <v>331</v>
      </c>
      <c r="AE72">
        <v>153.37</v>
      </c>
      <c r="AF72" s="29">
        <f t="shared" si="5"/>
        <v>-1.1791237113401909E-2</v>
      </c>
    </row>
    <row r="73" spans="1:32">
      <c r="A73" s="3" t="s">
        <v>335</v>
      </c>
      <c r="B73" s="222">
        <v>80.41</v>
      </c>
      <c r="C73" s="227">
        <f t="shared" si="0"/>
        <v>7.2654390579982575E-3</v>
      </c>
      <c r="D73" s="5">
        <f>C73-C1275</f>
        <v>7.1873934884393682E-3</v>
      </c>
      <c r="E73" s="1"/>
      <c r="F73" s="8"/>
      <c r="H73" t="s">
        <v>334</v>
      </c>
      <c r="I73">
        <v>13.66</v>
      </c>
      <c r="J73" s="227">
        <f t="shared" si="1"/>
        <v>-8.7082728592161596E-3</v>
      </c>
      <c r="K73" s="5">
        <f>J73-J1276</f>
        <v>-1.0844228774826117E-2</v>
      </c>
      <c r="M73" s="240" t="s">
        <v>332</v>
      </c>
      <c r="N73">
        <v>5808.12</v>
      </c>
      <c r="O73" s="227">
        <f t="shared" si="3"/>
        <v>-2.6444487183010512E-3</v>
      </c>
      <c r="P73" s="5">
        <f>O73-O1278</f>
        <v>-2.2786915173878797E-3</v>
      </c>
      <c r="Q73" s="8">
        <f t="shared" si="6"/>
        <v>5.1924350314154775E-6</v>
      </c>
      <c r="S73" t="s">
        <v>332</v>
      </c>
      <c r="T73">
        <v>4.07</v>
      </c>
      <c r="U73" s="29">
        <f t="shared" si="4"/>
        <v>-2.3980815347721784E-2</v>
      </c>
      <c r="V73" s="5">
        <f>U73-V1274</f>
        <v>-2.5717006123428823E-2</v>
      </c>
      <c r="X73" s="1">
        <v>45515</v>
      </c>
      <c r="Y73">
        <v>4.8600000000000003</v>
      </c>
      <c r="Z73" s="48">
        <f t="shared" si="2"/>
        <v>8.2987551867219622E-3</v>
      </c>
      <c r="AA73" s="5">
        <f>Z73-Y1274</f>
        <v>4.0814357174478282E-3</v>
      </c>
      <c r="AD73" t="s">
        <v>332</v>
      </c>
      <c r="AE73">
        <v>153.88</v>
      </c>
      <c r="AF73" s="29">
        <f t="shared" si="5"/>
        <v>3.3252917780530744E-3</v>
      </c>
    </row>
    <row r="74" spans="1:32">
      <c r="A74" s="3" t="s">
        <v>336</v>
      </c>
      <c r="B74" s="222">
        <v>80.459999999999994</v>
      </c>
      <c r="C74" s="227">
        <f t="shared" si="0"/>
        <v>6.2181320731258261E-4</v>
      </c>
      <c r="D74" s="5">
        <f>C74-C1275</f>
        <v>5.437676377536934E-4</v>
      </c>
      <c r="E74" s="1"/>
      <c r="F74" s="8"/>
      <c r="H74" t="s">
        <v>335</v>
      </c>
      <c r="I74">
        <v>13.76</v>
      </c>
      <c r="J74" s="227">
        <f t="shared" si="1"/>
        <v>7.3206442166910968E-3</v>
      </c>
      <c r="K74" s="5">
        <f>J74-J1276</f>
        <v>5.184688301081139E-3</v>
      </c>
      <c r="M74" s="240" t="s">
        <v>333</v>
      </c>
      <c r="N74">
        <v>5809.86</v>
      </c>
      <c r="O74" s="227">
        <f t="shared" si="3"/>
        <v>2.995805871779389E-4</v>
      </c>
      <c r="P74" s="5">
        <f>O74-O1278</f>
        <v>6.6533778809111039E-4</v>
      </c>
      <c r="Q74" s="8">
        <f t="shared" si="6"/>
        <v>4.4267437226197131E-7</v>
      </c>
      <c r="S74" t="s">
        <v>333</v>
      </c>
      <c r="T74">
        <v>4.13</v>
      </c>
      <c r="U74" s="29">
        <f t="shared" si="4"/>
        <v>1.4742014742014753E-2</v>
      </c>
      <c r="V74" s="5">
        <f>U74-V1274</f>
        <v>1.3005823966307714E-2</v>
      </c>
      <c r="X74" s="1">
        <v>45484</v>
      </c>
      <c r="Y74">
        <v>5.0199999999999996</v>
      </c>
      <c r="Z74" s="48">
        <f t="shared" si="2"/>
        <v>3.2921810699588328E-2</v>
      </c>
      <c r="AA74" s="5">
        <f>Z74-Y1274</f>
        <v>2.8704491230314193E-2</v>
      </c>
      <c r="AD74" t="s">
        <v>333</v>
      </c>
      <c r="AE74">
        <v>153.19</v>
      </c>
      <c r="AF74" s="29">
        <f t="shared" si="5"/>
        <v>-4.4840135170262085E-3</v>
      </c>
    </row>
    <row r="75" spans="1:32">
      <c r="A75" s="3" t="s">
        <v>337</v>
      </c>
      <c r="B75" s="222">
        <v>79.16</v>
      </c>
      <c r="C75" s="227">
        <f t="shared" si="0"/>
        <v>-1.6157096694009443E-2</v>
      </c>
      <c r="D75" s="5">
        <f>C75-C1275</f>
        <v>-1.6235142263568331E-2</v>
      </c>
      <c r="E75" s="1"/>
      <c r="F75" s="8"/>
      <c r="H75" t="s">
        <v>336</v>
      </c>
      <c r="I75">
        <v>14.04</v>
      </c>
      <c r="J75" s="227">
        <f t="shared" si="1"/>
        <v>2.0348837209302362E-2</v>
      </c>
      <c r="K75" s="5">
        <f>J75-J1276</f>
        <v>1.8212881293692404E-2</v>
      </c>
      <c r="M75" s="240" t="s">
        <v>334</v>
      </c>
      <c r="N75">
        <v>5797.42</v>
      </c>
      <c r="O75" s="227">
        <f t="shared" si="3"/>
        <v>-2.1411875673423841E-3</v>
      </c>
      <c r="P75" s="5">
        <f>O75-O1278</f>
        <v>-1.7754303664292126E-3</v>
      </c>
      <c r="Q75" s="8">
        <f t="shared" si="6"/>
        <v>3.1521529860389682E-6</v>
      </c>
      <c r="S75" t="s">
        <v>334</v>
      </c>
      <c r="T75">
        <v>4.1399999999999997</v>
      </c>
      <c r="U75" s="29">
        <f t="shared" si="4"/>
        <v>2.421307506053294E-3</v>
      </c>
      <c r="V75" s="5">
        <f>U75-V1274</f>
        <v>6.8511673034625607E-4</v>
      </c>
      <c r="X75" s="1">
        <v>45454</v>
      </c>
      <c r="Y75">
        <v>4.87</v>
      </c>
      <c r="Z75" s="48">
        <f t="shared" si="2"/>
        <v>-2.9880478087649265E-2</v>
      </c>
      <c r="AA75" s="5">
        <f>Z75-Y1274</f>
        <v>-3.4097797556923395E-2</v>
      </c>
      <c r="AD75" t="s">
        <v>334</v>
      </c>
      <c r="AE75">
        <v>150.91999999999999</v>
      </c>
      <c r="AF75" s="29">
        <f t="shared" si="5"/>
        <v>-1.4818199621385308E-2</v>
      </c>
    </row>
    <row r="76" spans="1:32">
      <c r="A76" s="3" t="s">
        <v>338</v>
      </c>
      <c r="B76" s="222">
        <v>79.900000000000006</v>
      </c>
      <c r="C76" s="227">
        <f t="shared" si="0"/>
        <v>9.3481556341588057E-3</v>
      </c>
      <c r="D76" s="5">
        <f>C76-C1275</f>
        <v>9.2701100645999172E-3</v>
      </c>
      <c r="E76" s="1"/>
      <c r="F76" s="8"/>
      <c r="H76" t="s">
        <v>337</v>
      </c>
      <c r="I76">
        <v>13.99</v>
      </c>
      <c r="J76" s="227">
        <f t="shared" si="1"/>
        <v>-3.5612535612534746E-3</v>
      </c>
      <c r="K76" s="5">
        <f>J76-J1276</f>
        <v>-5.6972094768634324E-3</v>
      </c>
      <c r="M76" s="240" t="s">
        <v>335</v>
      </c>
      <c r="N76">
        <v>5851.2</v>
      </c>
      <c r="O76" s="227">
        <f t="shared" si="3"/>
        <v>9.2765402541130637E-3</v>
      </c>
      <c r="P76" s="5">
        <f>O76-O1278</f>
        <v>9.6422974550262348E-3</v>
      </c>
      <c r="Q76" s="8">
        <f t="shared" si="6"/>
        <v>9.2973900211205403E-5</v>
      </c>
      <c r="S76" t="s">
        <v>335</v>
      </c>
      <c r="T76">
        <v>4.16</v>
      </c>
      <c r="U76" s="29">
        <f t="shared" si="4"/>
        <v>4.8309178743961567E-3</v>
      </c>
      <c r="V76" s="5">
        <f>U76-V1274</f>
        <v>3.0947270986891188E-3</v>
      </c>
      <c r="X76" s="1">
        <v>45423</v>
      </c>
      <c r="Y76">
        <v>4.78</v>
      </c>
      <c r="Z76" s="48">
        <f t="shared" si="2"/>
        <v>-1.848049281314168E-2</v>
      </c>
      <c r="AA76" s="5">
        <f>Z76-Y1274</f>
        <v>-2.2697812282415814E-2</v>
      </c>
      <c r="AD76" t="s">
        <v>335</v>
      </c>
      <c r="AE76">
        <v>152.54</v>
      </c>
      <c r="AF76" s="29">
        <f t="shared" si="5"/>
        <v>1.0734163795388385E-2</v>
      </c>
    </row>
    <row r="77" spans="1:32">
      <c r="A77" s="3" t="s">
        <v>339</v>
      </c>
      <c r="B77" s="222">
        <v>81.900000000000006</v>
      </c>
      <c r="C77" s="227">
        <f t="shared" si="0"/>
        <v>2.5031289111389299E-2</v>
      </c>
      <c r="D77" s="5">
        <f>C77-C1275</f>
        <v>2.495324354183041E-2</v>
      </c>
      <c r="E77" s="1"/>
      <c r="F77" s="8"/>
      <c r="H77" t="s">
        <v>338</v>
      </c>
      <c r="I77">
        <v>13.62</v>
      </c>
      <c r="J77" s="227">
        <f t="shared" si="1"/>
        <v>-2.6447462473195182E-2</v>
      </c>
      <c r="K77" s="5">
        <f>J77-J1276</f>
        <v>-2.858341838880514E-2</v>
      </c>
      <c r="M77" s="240" t="s">
        <v>336</v>
      </c>
      <c r="N77">
        <v>5853.98</v>
      </c>
      <c r="O77" s="227">
        <f t="shared" si="3"/>
        <v>4.7511621547702276E-4</v>
      </c>
      <c r="P77" s="5">
        <f>O77-O1278</f>
        <v>8.4087341639019425E-4</v>
      </c>
      <c r="Q77" s="8">
        <f t="shared" si="6"/>
        <v>7.0706810239171705E-7</v>
      </c>
      <c r="S77" t="s">
        <v>336</v>
      </c>
      <c r="T77">
        <v>4.03</v>
      </c>
      <c r="U77" s="29">
        <f t="shared" si="4"/>
        <v>-3.125E-2</v>
      </c>
      <c r="V77" s="5">
        <f>U77-V1274</f>
        <v>-3.2986190775707039E-2</v>
      </c>
      <c r="X77" s="1">
        <v>45393</v>
      </c>
      <c r="Y77">
        <v>4.74</v>
      </c>
      <c r="Z77" s="48">
        <f t="shared" si="2"/>
        <v>-8.3682008368201055E-3</v>
      </c>
      <c r="AA77" s="5">
        <f>Z77-Y1274</f>
        <v>-1.258552030609424E-2</v>
      </c>
      <c r="AD77" t="s">
        <v>336</v>
      </c>
      <c r="AE77">
        <v>152.88999999999999</v>
      </c>
      <c r="AF77" s="29">
        <f t="shared" si="5"/>
        <v>2.2944801363575795E-3</v>
      </c>
    </row>
    <row r="78" spans="1:32">
      <c r="A78" s="3" t="s">
        <v>340</v>
      </c>
      <c r="B78" s="222">
        <v>83.2</v>
      </c>
      <c r="C78" s="227">
        <f t="shared" si="0"/>
        <v>1.5873015873015817E-2</v>
      </c>
      <c r="D78" s="5">
        <f>C78-C1275</f>
        <v>1.5794970303456928E-2</v>
      </c>
      <c r="F78" s="8"/>
      <c r="H78" t="s">
        <v>339</v>
      </c>
      <c r="I78">
        <v>13.39</v>
      </c>
      <c r="J78" s="227">
        <f t="shared" si="1"/>
        <v>-1.6886930983847193E-2</v>
      </c>
      <c r="K78" s="5">
        <f>J78-J1276</f>
        <v>-1.902288689945715E-2</v>
      </c>
      <c r="M78" s="240" t="s">
        <v>337</v>
      </c>
      <c r="N78">
        <v>5864.67</v>
      </c>
      <c r="O78" s="227">
        <f t="shared" si="3"/>
        <v>1.8261080495662885E-3</v>
      </c>
      <c r="P78" s="5">
        <f>O78-O1278</f>
        <v>2.19186525047946E-3</v>
      </c>
      <c r="Q78" s="8">
        <f t="shared" si="6"/>
        <v>4.804273276259386E-6</v>
      </c>
      <c r="S78" t="s">
        <v>337</v>
      </c>
      <c r="T78">
        <v>3.73</v>
      </c>
      <c r="U78" s="29">
        <f t="shared" si="4"/>
        <v>-7.4441687344913188E-2</v>
      </c>
      <c r="V78" s="5">
        <f>U78-V1274</f>
        <v>-7.6177878120620227E-2</v>
      </c>
      <c r="X78" s="1">
        <v>45302</v>
      </c>
      <c r="Y78">
        <v>4.9000000000000004</v>
      </c>
      <c r="Z78" s="48">
        <f t="shared" si="2"/>
        <v>3.3755274261603407E-2</v>
      </c>
      <c r="AA78" s="5">
        <f>Z78-Y1274</f>
        <v>2.9537954792329273E-2</v>
      </c>
      <c r="AD78" t="s">
        <v>337</v>
      </c>
      <c r="AE78">
        <v>151.97999999999999</v>
      </c>
      <c r="AF78" s="29">
        <f t="shared" si="5"/>
        <v>-5.9519916279677787E-3</v>
      </c>
    </row>
    <row r="79" spans="1:32">
      <c r="A79" s="3" t="s">
        <v>341</v>
      </c>
      <c r="B79" s="222">
        <v>84.94</v>
      </c>
      <c r="C79" s="227">
        <f t="shared" si="0"/>
        <v>2.0913461538461409E-2</v>
      </c>
      <c r="D79" s="5">
        <f>C79-C1275</f>
        <v>2.083541596890252E-2</v>
      </c>
      <c r="F79" s="8"/>
      <c r="H79" t="s">
        <v>340</v>
      </c>
      <c r="I79">
        <v>13.3</v>
      </c>
      <c r="J79" s="227">
        <f t="shared" si="1"/>
        <v>-6.721433905899965E-3</v>
      </c>
      <c r="K79" s="5">
        <f>J79-J1276</f>
        <v>-8.8573898215099228E-3</v>
      </c>
      <c r="M79" s="240" t="s">
        <v>338</v>
      </c>
      <c r="N79">
        <v>5841.47</v>
      </c>
      <c r="O79" s="227">
        <f t="shared" si="3"/>
        <v>-3.9558918063590243E-3</v>
      </c>
      <c r="P79" s="5">
        <f>O79-O1278</f>
        <v>-3.5901346054458528E-3</v>
      </c>
      <c r="Q79" s="8">
        <f t="shared" si="6"/>
        <v>1.2889066485219849E-5</v>
      </c>
      <c r="S79" t="s">
        <v>338</v>
      </c>
      <c r="T79">
        <v>3.62</v>
      </c>
      <c r="U79" s="29">
        <f t="shared" si="4"/>
        <v>-2.9490616621983934E-2</v>
      </c>
      <c r="V79" s="5">
        <f>U79-V1274</f>
        <v>-3.1226807397690973E-2</v>
      </c>
      <c r="X79" t="s">
        <v>328</v>
      </c>
      <c r="Y79">
        <v>4.9800000000000004</v>
      </c>
      <c r="Z79" s="48">
        <f t="shared" si="2"/>
        <v>1.6326530612244872E-2</v>
      </c>
      <c r="AA79" s="5">
        <f>Z79-Y1274</f>
        <v>1.2109211142970738E-2</v>
      </c>
      <c r="AD79" t="s">
        <v>338</v>
      </c>
      <c r="AE79">
        <v>151.4</v>
      </c>
      <c r="AF79" s="29">
        <f t="shared" si="5"/>
        <v>-3.8162916173180017E-3</v>
      </c>
    </row>
    <row r="80" spans="1:32">
      <c r="A80" s="220">
        <v>45606</v>
      </c>
      <c r="B80" s="222">
        <v>86.34</v>
      </c>
      <c r="C80" s="227">
        <f t="shared" si="0"/>
        <v>1.6482222745467512E-2</v>
      </c>
      <c r="D80" s="5">
        <f>C80-C1275</f>
        <v>1.6404177175908623E-2</v>
      </c>
      <c r="F80" s="8"/>
      <c r="H80" t="s">
        <v>341</v>
      </c>
      <c r="I80">
        <v>13.26</v>
      </c>
      <c r="J80" s="227">
        <f t="shared" si="1"/>
        <v>-3.0075187969925699E-3</v>
      </c>
      <c r="K80" s="5">
        <f>J80-J1276</f>
        <v>-5.1434747126025276E-3</v>
      </c>
      <c r="M80" s="240" t="s">
        <v>339</v>
      </c>
      <c r="N80">
        <v>5842.47</v>
      </c>
      <c r="O80" s="227">
        <f t="shared" si="3"/>
        <v>1.7118978613250846E-4</v>
      </c>
      <c r="P80" s="5">
        <f>O80-O1278</f>
        <v>5.3694698704567995E-4</v>
      </c>
      <c r="Q80" s="8">
        <f t="shared" si="6"/>
        <v>2.8831206689743357E-7</v>
      </c>
      <c r="S80" t="s">
        <v>339</v>
      </c>
      <c r="T80">
        <v>3.6</v>
      </c>
      <c r="U80" s="29">
        <f t="shared" si="4"/>
        <v>-5.5248618784530246E-3</v>
      </c>
      <c r="V80" s="5">
        <f>U80-V1274</f>
        <v>-7.2610526541600625E-3</v>
      </c>
      <c r="X80" t="s">
        <v>329</v>
      </c>
      <c r="Y80">
        <v>5.01</v>
      </c>
      <c r="Z80" s="48">
        <f t="shared" si="2"/>
        <v>6.0240963855420215E-3</v>
      </c>
      <c r="AA80" s="5">
        <f>Z80-Y1274</f>
        <v>1.8067769162678875E-3</v>
      </c>
      <c r="AD80" t="s">
        <v>339</v>
      </c>
      <c r="AE80">
        <v>149.86000000000001</v>
      </c>
      <c r="AF80" s="29">
        <f t="shared" si="5"/>
        <v>-1.0171730515191491E-2</v>
      </c>
    </row>
    <row r="81" spans="1:32">
      <c r="A81" s="220">
        <v>45575</v>
      </c>
      <c r="B81" s="222">
        <v>77.92</v>
      </c>
      <c r="C81" s="227">
        <f t="shared" si="0"/>
        <v>-9.7521426916840404E-2</v>
      </c>
      <c r="D81" s="5">
        <f>C81-C1275</f>
        <v>-9.7599472486399289E-2</v>
      </c>
      <c r="F81" s="8"/>
      <c r="H81" s="1">
        <v>45606</v>
      </c>
      <c r="I81">
        <v>13.6</v>
      </c>
      <c r="J81" s="227">
        <f t="shared" si="1"/>
        <v>2.564102564102555E-2</v>
      </c>
      <c r="K81" s="5">
        <f>J81-J1276</f>
        <v>2.3505069725415592E-2</v>
      </c>
      <c r="M81" s="240" t="s">
        <v>340</v>
      </c>
      <c r="N81">
        <v>5815.26</v>
      </c>
      <c r="O81" s="227">
        <f t="shared" si="3"/>
        <v>-4.657276802448318E-3</v>
      </c>
      <c r="P81" s="5">
        <f>O81-O1278</f>
        <v>-4.2915196015351461E-3</v>
      </c>
      <c r="Q81" s="8">
        <f t="shared" si="6"/>
        <v>1.841714049036038E-5</v>
      </c>
      <c r="S81" t="s">
        <v>340</v>
      </c>
      <c r="T81">
        <v>3.61</v>
      </c>
      <c r="U81" s="29">
        <f t="shared" si="4"/>
        <v>2.7777777777777679E-3</v>
      </c>
      <c r="V81" s="5">
        <f>U81-V1274</f>
        <v>1.0415870020707299E-3</v>
      </c>
      <c r="X81" t="s">
        <v>330</v>
      </c>
      <c r="Y81">
        <v>5.0449999999999999</v>
      </c>
      <c r="Z81" s="48">
        <f t="shared" si="2"/>
        <v>6.98602794411185E-3</v>
      </c>
      <c r="AA81" s="5">
        <f>Z81-Y1274</f>
        <v>2.768708474837716E-3</v>
      </c>
      <c r="AD81" t="s">
        <v>340</v>
      </c>
      <c r="AE81">
        <v>148.87</v>
      </c>
      <c r="AF81" s="29">
        <f t="shared" si="5"/>
        <v>-6.6061657547044073E-3</v>
      </c>
    </row>
    <row r="82" spans="1:32">
      <c r="A82" s="220">
        <v>45545</v>
      </c>
      <c r="B82" s="222">
        <v>77.87</v>
      </c>
      <c r="C82" s="227">
        <f t="shared" ref="C82:C145" si="7">B82/B81-1</f>
        <v>-6.4168377823403677E-4</v>
      </c>
      <c r="D82" s="5">
        <f>C82-C1275</f>
        <v>-7.1972934779292598E-4</v>
      </c>
      <c r="F82" s="8"/>
      <c r="H82" s="1">
        <v>45575</v>
      </c>
      <c r="I82">
        <v>12.41</v>
      </c>
      <c r="J82" s="227">
        <f t="shared" si="1"/>
        <v>-8.7499999999999911E-2</v>
      </c>
      <c r="K82" s="5">
        <f>J82-J1276</f>
        <v>-8.9635955915609869E-2</v>
      </c>
      <c r="M82" s="240" t="s">
        <v>341</v>
      </c>
      <c r="N82">
        <v>5859.85</v>
      </c>
      <c r="O82" s="227">
        <f t="shared" si="3"/>
        <v>7.6677569016689873E-3</v>
      </c>
      <c r="P82" s="5">
        <f>O82-O1278</f>
        <v>8.0335141025821583E-3</v>
      </c>
      <c r="Q82" s="8">
        <f t="shared" si="6"/>
        <v>6.4537348836386422E-5</v>
      </c>
      <c r="S82" t="s">
        <v>341</v>
      </c>
      <c r="T82">
        <v>3.63</v>
      </c>
      <c r="U82" s="29">
        <f t="shared" si="4"/>
        <v>5.5401662049860967E-3</v>
      </c>
      <c r="V82" s="5">
        <f>U82-V1274</f>
        <v>3.8039754292790587E-3</v>
      </c>
      <c r="X82" t="s">
        <v>331</v>
      </c>
      <c r="Y82">
        <v>5.07</v>
      </c>
      <c r="Z82" s="48">
        <f t="shared" si="2"/>
        <v>4.9554013875123815E-3</v>
      </c>
      <c r="AA82" s="5">
        <f>Z82-Y1274</f>
        <v>7.380819182382474E-4</v>
      </c>
      <c r="AD82" t="s">
        <v>341</v>
      </c>
      <c r="AE82">
        <v>150.02000000000001</v>
      </c>
      <c r="AF82" s="29">
        <f t="shared" si="5"/>
        <v>7.724860616645346E-3</v>
      </c>
    </row>
    <row r="83" spans="1:32">
      <c r="A83" s="220">
        <v>45514</v>
      </c>
      <c r="B83" s="222">
        <v>76.17</v>
      </c>
      <c r="C83" s="227">
        <f t="shared" si="7"/>
        <v>-2.1831257223577816E-2</v>
      </c>
      <c r="D83" s="5">
        <f>C83-C1275</f>
        <v>-2.1909302793136704E-2</v>
      </c>
      <c r="F83" s="8"/>
      <c r="H83" s="1">
        <v>45545</v>
      </c>
      <c r="I83">
        <v>12.51</v>
      </c>
      <c r="J83" s="227">
        <f t="shared" si="1"/>
        <v>8.058017727639033E-3</v>
      </c>
      <c r="K83" s="5">
        <f>J83-J1276</f>
        <v>5.9220618120290752E-3</v>
      </c>
      <c r="M83" s="241">
        <v>45606</v>
      </c>
      <c r="N83">
        <v>5815.03</v>
      </c>
      <c r="O83" s="227">
        <f t="shared" si="3"/>
        <v>-7.6486599486336182E-3</v>
      </c>
      <c r="P83" s="5">
        <f>O83-O1278</f>
        <v>-7.2829027477204463E-3</v>
      </c>
      <c r="Q83" s="8">
        <f t="shared" si="6"/>
        <v>5.3040672432754024E-5</v>
      </c>
      <c r="S83" s="1">
        <v>45606</v>
      </c>
      <c r="T83">
        <v>3.65</v>
      </c>
      <c r="U83" s="29">
        <f t="shared" si="4"/>
        <v>5.5096418732782926E-3</v>
      </c>
      <c r="V83" s="5">
        <f>U83-V1274</f>
        <v>3.7734510975712546E-3</v>
      </c>
      <c r="X83" t="s">
        <v>332</v>
      </c>
      <c r="Y83">
        <v>4.8</v>
      </c>
      <c r="Z83" s="48">
        <f t="shared" si="2"/>
        <v>-5.3254437869822535E-2</v>
      </c>
      <c r="AA83" s="5">
        <f>Z83-Y1274</f>
        <v>-5.7471757339096666E-2</v>
      </c>
      <c r="AD83" s="1">
        <v>45606</v>
      </c>
      <c r="AE83">
        <v>149.44</v>
      </c>
      <c r="AF83" s="29">
        <f t="shared" si="5"/>
        <v>-3.8661511798427917E-3</v>
      </c>
    </row>
    <row r="84" spans="1:32">
      <c r="A84" s="220">
        <v>45483</v>
      </c>
      <c r="B84" s="222">
        <v>74.59</v>
      </c>
      <c r="C84" s="227">
        <f t="shared" si="7"/>
        <v>-2.074307470132597E-2</v>
      </c>
      <c r="D84" s="5">
        <f>C84-C1275</f>
        <v>-2.0821120270884858E-2</v>
      </c>
      <c r="F84" s="8"/>
      <c r="H84" s="1">
        <v>45514</v>
      </c>
      <c r="I84">
        <v>12.44</v>
      </c>
      <c r="J84" s="227">
        <f t="shared" ref="J84:J147" si="8">I84/I83-1</f>
        <v>-5.5955235811351312E-3</v>
      </c>
      <c r="K84" s="5">
        <f>J84-J1276</f>
        <v>-7.7314794967450889E-3</v>
      </c>
      <c r="M84" s="241">
        <v>45575</v>
      </c>
      <c r="N84">
        <v>5780.05</v>
      </c>
      <c r="O84" s="227">
        <f t="shared" si="3"/>
        <v>-6.0154461799852843E-3</v>
      </c>
      <c r="P84" s="5">
        <f>O84-O1278</f>
        <v>-5.6496889790721124E-3</v>
      </c>
      <c r="Q84" s="8">
        <f t="shared" si="6"/>
        <v>3.1918985560248885E-5</v>
      </c>
      <c r="S84" s="1">
        <v>45575</v>
      </c>
      <c r="T84">
        <v>3.63</v>
      </c>
      <c r="U84" s="29">
        <f t="shared" si="4"/>
        <v>-5.479452054794498E-3</v>
      </c>
      <c r="V84" s="5">
        <f>U84-V1274</f>
        <v>-7.215642830501536E-3</v>
      </c>
      <c r="X84" t="s">
        <v>333</v>
      </c>
      <c r="Y84">
        <v>4.71</v>
      </c>
      <c r="Z84" s="48">
        <f t="shared" si="2"/>
        <v>-1.8749999999999933E-2</v>
      </c>
      <c r="AA84" s="5">
        <f>Z84-Y1274</f>
        <v>-2.2967319469274067E-2</v>
      </c>
      <c r="AD84" s="1">
        <v>45575</v>
      </c>
      <c r="AE84">
        <v>144.49</v>
      </c>
      <c r="AF84" s="29">
        <f t="shared" si="5"/>
        <v>-3.3123661670235505E-2</v>
      </c>
    </row>
    <row r="85" spans="1:32">
      <c r="A85" s="220">
        <v>45392</v>
      </c>
      <c r="B85" s="222">
        <v>74.28</v>
      </c>
      <c r="C85" s="227">
        <f t="shared" si="7"/>
        <v>-4.1560530902265969E-3</v>
      </c>
      <c r="D85" s="5">
        <f>C85-C1275</f>
        <v>-4.2340986597854862E-3</v>
      </c>
      <c r="F85" s="8"/>
      <c r="H85" s="1">
        <v>45483</v>
      </c>
      <c r="I85">
        <v>12.51</v>
      </c>
      <c r="J85" s="227">
        <f t="shared" si="8"/>
        <v>5.6270096463022501E-3</v>
      </c>
      <c r="K85" s="5">
        <f>J85-J1276</f>
        <v>3.4910537306922923E-3</v>
      </c>
      <c r="M85" s="241">
        <v>45545</v>
      </c>
      <c r="N85">
        <v>5792.04</v>
      </c>
      <c r="O85" s="227">
        <f t="shared" si="3"/>
        <v>2.0743765192341446E-3</v>
      </c>
      <c r="P85" s="5">
        <f>O85-O1278</f>
        <v>2.4401337201473161E-3</v>
      </c>
      <c r="Q85" s="8">
        <f t="shared" si="6"/>
        <v>5.9542525721999805E-6</v>
      </c>
      <c r="S85" s="1">
        <v>45545</v>
      </c>
      <c r="T85">
        <v>3.66</v>
      </c>
      <c r="U85" s="29">
        <f t="shared" si="4"/>
        <v>8.2644628099173278E-3</v>
      </c>
      <c r="V85" s="5">
        <f>U85-V1274</f>
        <v>6.5282720342102899E-3</v>
      </c>
      <c r="X85" t="s">
        <v>334</v>
      </c>
      <c r="Y85">
        <v>4.6500000000000004</v>
      </c>
      <c r="Z85" s="48">
        <f t="shared" si="2"/>
        <v>-1.27388535031846E-2</v>
      </c>
      <c r="AA85" s="5">
        <f>Z85-Y1274</f>
        <v>-1.6956172972458734E-2</v>
      </c>
      <c r="AD85" s="1">
        <v>45545</v>
      </c>
      <c r="AE85">
        <v>142.65</v>
      </c>
      <c r="AF85" s="29">
        <f t="shared" si="5"/>
        <v>-1.273444529033152E-2</v>
      </c>
    </row>
    <row r="86" spans="1:32">
      <c r="A86" s="220">
        <v>45361</v>
      </c>
      <c r="B86" s="222">
        <v>72.94</v>
      </c>
      <c r="C86" s="227">
        <f t="shared" si="7"/>
        <v>-1.8039849219170789E-2</v>
      </c>
      <c r="D86" s="5">
        <f>C86-C1275</f>
        <v>-1.8117894788729678E-2</v>
      </c>
      <c r="F86" s="8"/>
      <c r="H86" s="1">
        <v>45392</v>
      </c>
      <c r="I86">
        <v>12.57</v>
      </c>
      <c r="J86" s="227">
        <f t="shared" si="8"/>
        <v>4.7961630695443347E-3</v>
      </c>
      <c r="K86" s="5">
        <f>J86-J1276</f>
        <v>2.6602071539343769E-3</v>
      </c>
      <c r="M86" s="241">
        <v>45514</v>
      </c>
      <c r="N86">
        <v>5751.13</v>
      </c>
      <c r="O86" s="227">
        <f t="shared" ref="O86:O149" si="9">N86/N85-1</f>
        <v>-7.0631418291310366E-3</v>
      </c>
      <c r="P86" s="5">
        <f>O86-O1278</f>
        <v>-6.6973846282178647E-3</v>
      </c>
      <c r="Q86" s="8">
        <f t="shared" si="6"/>
        <v>4.4854960858288945E-5</v>
      </c>
      <c r="S86" s="1">
        <v>45514</v>
      </c>
      <c r="T86">
        <v>3.7</v>
      </c>
      <c r="U86" s="29">
        <f t="shared" ref="U86:U149" si="10">T86/T85-1</f>
        <v>1.0928961748633892E-2</v>
      </c>
      <c r="V86" s="5">
        <f>U86-V1274</f>
        <v>9.1927709729268531E-3</v>
      </c>
      <c r="X86" t="s">
        <v>335</v>
      </c>
      <c r="Y86">
        <v>4.62</v>
      </c>
      <c r="Z86" s="48">
        <f t="shared" ref="Z86:Z149" si="11">Y86/Y85-1</f>
        <v>-6.4516129032258229E-3</v>
      </c>
      <c r="AA86" s="5">
        <f>Z86-Y1274</f>
        <v>-1.0668932372499957E-2</v>
      </c>
      <c r="AD86" s="1">
        <v>45514</v>
      </c>
      <c r="AE86">
        <v>143.30000000000001</v>
      </c>
      <c r="AF86" s="29">
        <f t="shared" ref="AF86:AF149" si="12">AE86/AE85-1</f>
        <v>4.556607080266506E-3</v>
      </c>
    </row>
    <row r="87" spans="1:32">
      <c r="A87" s="220">
        <v>45332</v>
      </c>
      <c r="B87" s="222">
        <v>72.87</v>
      </c>
      <c r="C87" s="227">
        <f t="shared" si="7"/>
        <v>-9.596928982724684E-4</v>
      </c>
      <c r="D87" s="5">
        <f>C87-C1275</f>
        <v>-1.0377384678313577E-3</v>
      </c>
      <c r="F87" s="8"/>
      <c r="H87" s="1">
        <v>45361</v>
      </c>
      <c r="I87">
        <v>12.36</v>
      </c>
      <c r="J87" s="227">
        <f t="shared" si="8"/>
        <v>-1.6706443914081159E-2</v>
      </c>
      <c r="K87" s="5">
        <f>J87-J1276</f>
        <v>-1.8842399829691117E-2</v>
      </c>
      <c r="M87" s="241">
        <v>45483</v>
      </c>
      <c r="N87">
        <v>5695.94</v>
      </c>
      <c r="O87" s="227">
        <f t="shared" si="9"/>
        <v>-9.596374973266264E-3</v>
      </c>
      <c r="P87" s="5">
        <f>O87-O1278</f>
        <v>-9.2306177723530929E-3</v>
      </c>
      <c r="Q87" s="8">
        <f t="shared" ref="Q87:Q150" si="13">P87*P87</f>
        <v>8.5204304459280777E-5</v>
      </c>
      <c r="S87" s="1">
        <v>45483</v>
      </c>
      <c r="T87">
        <v>3.69</v>
      </c>
      <c r="U87" s="29">
        <f t="shared" si="10"/>
        <v>-2.7027027027027861E-3</v>
      </c>
      <c r="V87" s="5">
        <f>U87-V1274</f>
        <v>-4.4388934784098241E-3</v>
      </c>
      <c r="X87" t="s">
        <v>336</v>
      </c>
      <c r="Y87">
        <v>4.5</v>
      </c>
      <c r="Z87" s="48">
        <f t="shared" si="11"/>
        <v>-2.5974025974025983E-2</v>
      </c>
      <c r="AA87" s="5">
        <f>Z87-Y1274</f>
        <v>-3.0191345443300117E-2</v>
      </c>
      <c r="AD87" s="1">
        <v>45483</v>
      </c>
      <c r="AE87">
        <v>142.08000000000001</v>
      </c>
      <c r="AF87" s="29">
        <f t="shared" si="12"/>
        <v>-8.5136078157711514E-3</v>
      </c>
    </row>
    <row r="88" spans="1:32">
      <c r="A88" s="220">
        <v>45301</v>
      </c>
      <c r="B88" s="222">
        <v>74.239999999999995</v>
      </c>
      <c r="C88" s="227">
        <f t="shared" si="7"/>
        <v>1.8800603815012806E-2</v>
      </c>
      <c r="D88" s="5">
        <f>C88-C1275</f>
        <v>1.8722558245453918E-2</v>
      </c>
      <c r="F88" s="8"/>
      <c r="H88" s="1">
        <v>45332</v>
      </c>
      <c r="I88">
        <v>12.54</v>
      </c>
      <c r="J88" s="227">
        <f t="shared" si="8"/>
        <v>1.4563106796116498E-2</v>
      </c>
      <c r="K88" s="5">
        <f>J88-J1276</f>
        <v>1.2427150880506541E-2</v>
      </c>
      <c r="M88" s="241">
        <v>45392</v>
      </c>
      <c r="N88">
        <v>5751.07</v>
      </c>
      <c r="O88" s="227">
        <f t="shared" si="9"/>
        <v>9.6788238640155289E-3</v>
      </c>
      <c r="P88" s="5">
        <f>O88-O1278</f>
        <v>1.00445810649287E-2</v>
      </c>
      <c r="Q88" s="8">
        <f t="shared" si="13"/>
        <v>1.0089360876992417E-4</v>
      </c>
      <c r="S88" s="1">
        <v>45392</v>
      </c>
      <c r="T88">
        <v>3.68</v>
      </c>
      <c r="U88" s="29">
        <f t="shared" si="10"/>
        <v>-2.7100271002709064E-3</v>
      </c>
      <c r="V88" s="5">
        <f>U88-V1274</f>
        <v>-4.4462178759779444E-3</v>
      </c>
      <c r="X88" t="s">
        <v>337</v>
      </c>
      <c r="Y88">
        <v>4.71</v>
      </c>
      <c r="Z88" s="48">
        <f t="shared" si="11"/>
        <v>4.6666666666666634E-2</v>
      </c>
      <c r="AA88" s="5">
        <f>Z88-Y1274</f>
        <v>4.2449347197392504E-2</v>
      </c>
      <c r="AD88" s="1">
        <v>45392</v>
      </c>
      <c r="AE88">
        <v>144.86000000000001</v>
      </c>
      <c r="AF88" s="29">
        <f t="shared" si="12"/>
        <v>1.9566441441441373E-2</v>
      </c>
    </row>
    <row r="89" spans="1:32">
      <c r="A89" s="3" t="s">
        <v>342</v>
      </c>
      <c r="B89" s="222">
        <v>75.16</v>
      </c>
      <c r="C89" s="227">
        <f t="shared" si="7"/>
        <v>1.2392241379310276E-2</v>
      </c>
      <c r="D89" s="5">
        <f>C89-C1275</f>
        <v>1.2314195809751387E-2</v>
      </c>
      <c r="F89" s="8"/>
      <c r="H89" s="1">
        <v>45301</v>
      </c>
      <c r="I89">
        <v>12.49</v>
      </c>
      <c r="J89" s="227">
        <f t="shared" si="8"/>
        <v>-3.9872408293459838E-3</v>
      </c>
      <c r="K89" s="5">
        <f>J89-J1276</f>
        <v>-6.1231967449559416E-3</v>
      </c>
      <c r="M89" s="241">
        <v>45361</v>
      </c>
      <c r="N89">
        <v>5699.94</v>
      </c>
      <c r="O89" s="227">
        <f t="shared" si="9"/>
        <v>-8.8905195033271989E-3</v>
      </c>
      <c r="P89" s="5">
        <f>O89-O1278</f>
        <v>-8.5247623024140278E-3</v>
      </c>
      <c r="Q89" s="8">
        <f t="shared" si="13"/>
        <v>7.2671572312659323E-5</v>
      </c>
      <c r="S89" s="1">
        <v>45361</v>
      </c>
      <c r="T89">
        <v>3.7</v>
      </c>
      <c r="U89" s="29">
        <f t="shared" si="10"/>
        <v>5.4347826086955653E-3</v>
      </c>
      <c r="V89" s="5">
        <f>U89-V1274</f>
        <v>3.6985918329885273E-3</v>
      </c>
      <c r="X89" t="s">
        <v>338</v>
      </c>
      <c r="Y89">
        <v>4.66</v>
      </c>
      <c r="Z89" s="48">
        <f t="shared" si="11"/>
        <v>-1.0615711252653925E-2</v>
      </c>
      <c r="AA89" s="5">
        <f>Z89-Y1274</f>
        <v>-1.483303072192806E-2</v>
      </c>
      <c r="AD89" s="1">
        <v>45361</v>
      </c>
      <c r="AE89">
        <v>142.12</v>
      </c>
      <c r="AF89" s="29">
        <f t="shared" si="12"/>
        <v>-1.8914814303465421E-2</v>
      </c>
    </row>
    <row r="90" spans="1:32">
      <c r="A90" s="3" t="s">
        <v>343</v>
      </c>
      <c r="B90" s="222">
        <v>75.75</v>
      </c>
      <c r="C90" s="227">
        <f t="shared" si="7"/>
        <v>7.8499201703035038E-3</v>
      </c>
      <c r="D90" s="5">
        <f>C90-C1275</f>
        <v>7.7718746007446144E-3</v>
      </c>
      <c r="E90" s="1"/>
      <c r="F90" s="8"/>
      <c r="H90" t="s">
        <v>342</v>
      </c>
      <c r="I90">
        <v>12.75</v>
      </c>
      <c r="J90" s="227">
        <f t="shared" si="8"/>
        <v>2.0816653322658141E-2</v>
      </c>
      <c r="K90" s="5">
        <f>J90-J1276</f>
        <v>1.8680697407048183E-2</v>
      </c>
      <c r="M90" s="241">
        <v>45332</v>
      </c>
      <c r="N90">
        <v>5709.54</v>
      </c>
      <c r="O90" s="227">
        <f t="shared" si="9"/>
        <v>1.6842282550342258E-3</v>
      </c>
      <c r="P90" s="5">
        <f>O90-O1278</f>
        <v>2.0499854559473973E-3</v>
      </c>
      <c r="Q90" s="8">
        <f t="shared" si="13"/>
        <v>4.202440369595858E-6</v>
      </c>
      <c r="S90" s="1">
        <v>45332</v>
      </c>
      <c r="T90">
        <v>3.77</v>
      </c>
      <c r="U90" s="29">
        <f t="shared" si="10"/>
        <v>1.8918918918918948E-2</v>
      </c>
      <c r="V90" s="5">
        <f>U90-V1274</f>
        <v>1.7182728143211909E-2</v>
      </c>
      <c r="X90" t="s">
        <v>339</v>
      </c>
      <c r="Y90">
        <v>4.8205</v>
      </c>
      <c r="Z90" s="48">
        <f t="shared" si="11"/>
        <v>3.4442060085836834E-2</v>
      </c>
      <c r="AA90" s="5">
        <f>Z90-Y1274</f>
        <v>3.02247406165627E-2</v>
      </c>
      <c r="AD90" s="1">
        <v>45332</v>
      </c>
      <c r="AE90">
        <v>143.58000000000001</v>
      </c>
      <c r="AF90" s="29">
        <f t="shared" si="12"/>
        <v>1.0273008725021127E-2</v>
      </c>
    </row>
    <row r="91" spans="1:32">
      <c r="A91" s="3" t="s">
        <v>344</v>
      </c>
      <c r="B91" s="222">
        <v>76.69</v>
      </c>
      <c r="C91" s="227">
        <f t="shared" si="7"/>
        <v>1.2409240924092346E-2</v>
      </c>
      <c r="D91" s="5">
        <f>C91-C1275</f>
        <v>1.2331195354533458E-2</v>
      </c>
      <c r="E91" s="1"/>
      <c r="F91" s="8"/>
      <c r="H91" t="s">
        <v>343</v>
      </c>
      <c r="I91">
        <v>12.84</v>
      </c>
      <c r="J91" s="227">
        <f t="shared" si="8"/>
        <v>7.058823529411784E-3</v>
      </c>
      <c r="K91" s="5">
        <f>J91-J1276</f>
        <v>4.9228676138018262E-3</v>
      </c>
      <c r="M91" s="241">
        <v>45301</v>
      </c>
      <c r="N91">
        <v>5708.75</v>
      </c>
      <c r="O91" s="227">
        <f t="shared" si="9"/>
        <v>-1.3836491205942991E-4</v>
      </c>
      <c r="P91" s="5">
        <f>O91-O1278</f>
        <v>2.2739228885374163E-4</v>
      </c>
      <c r="Q91" s="8">
        <f t="shared" si="13"/>
        <v>5.1707253030143473E-8</v>
      </c>
      <c r="S91" s="1">
        <v>45301</v>
      </c>
      <c r="T91">
        <v>3.79</v>
      </c>
      <c r="U91" s="29">
        <f t="shared" si="10"/>
        <v>5.3050397877985045E-3</v>
      </c>
      <c r="V91" s="5">
        <f>U91-V1274</f>
        <v>3.5688490120914665E-3</v>
      </c>
      <c r="X91" t="s">
        <v>340</v>
      </c>
      <c r="Y91">
        <v>4.45</v>
      </c>
      <c r="Z91" s="48">
        <f t="shared" si="11"/>
        <v>-7.6859246966082373E-2</v>
      </c>
      <c r="AA91" s="5">
        <f>Z91-Y1274</f>
        <v>-8.1076566435356504E-2</v>
      </c>
      <c r="AD91" s="1">
        <v>45301</v>
      </c>
      <c r="AE91">
        <v>141.93</v>
      </c>
      <c r="AF91" s="29">
        <f t="shared" si="12"/>
        <v>-1.1491851232762307E-2</v>
      </c>
    </row>
    <row r="92" spans="1:32">
      <c r="A92" s="3" t="s">
        <v>345</v>
      </c>
      <c r="B92" s="222">
        <v>77.14</v>
      </c>
      <c r="C92" s="227">
        <f t="shared" si="7"/>
        <v>5.8677793714956294E-3</v>
      </c>
      <c r="D92" s="5">
        <f>C92-C1275</f>
        <v>5.7897338019367401E-3</v>
      </c>
      <c r="E92" s="1"/>
      <c r="F92" s="8"/>
      <c r="H92" t="s">
        <v>344</v>
      </c>
      <c r="I92">
        <v>13.28</v>
      </c>
      <c r="J92" s="227">
        <f t="shared" si="8"/>
        <v>3.4267912772585563E-2</v>
      </c>
      <c r="K92" s="5">
        <f>J92-J1276</f>
        <v>3.2131956856975605E-2</v>
      </c>
      <c r="M92" s="240" t="s">
        <v>342</v>
      </c>
      <c r="N92">
        <v>5762.48</v>
      </c>
      <c r="O92" s="227">
        <f t="shared" si="9"/>
        <v>9.4118677468797429E-3</v>
      </c>
      <c r="P92" s="5">
        <f>O92-O1278</f>
        <v>9.777624947792914E-3</v>
      </c>
      <c r="Q92" s="8">
        <f t="shared" si="13"/>
        <v>9.560194961970238E-5</v>
      </c>
      <c r="S92" t="s">
        <v>342</v>
      </c>
      <c r="T92">
        <v>3.8</v>
      </c>
      <c r="U92" s="29">
        <f t="shared" si="10"/>
        <v>2.6385224274405594E-3</v>
      </c>
      <c r="V92" s="5">
        <f>U92-V1274</f>
        <v>9.0233165173352146E-4</v>
      </c>
      <c r="X92" t="s">
        <v>341</v>
      </c>
      <c r="Y92">
        <v>4.95</v>
      </c>
      <c r="Z92" s="48">
        <f t="shared" si="11"/>
        <v>0.11235955056179781</v>
      </c>
      <c r="AA92" s="5">
        <f>Z92-Y1274</f>
        <v>0.10814223109252367</v>
      </c>
      <c r="AD92" t="s">
        <v>342</v>
      </c>
      <c r="AE92">
        <v>142.72999999999999</v>
      </c>
      <c r="AF92" s="29">
        <f t="shared" si="12"/>
        <v>5.6365814133727543E-3</v>
      </c>
    </row>
    <row r="93" spans="1:32">
      <c r="A93" s="3" t="s">
        <v>346</v>
      </c>
      <c r="B93" s="222">
        <v>77.44</v>
      </c>
      <c r="C93" s="227">
        <f t="shared" si="7"/>
        <v>3.889032927145486E-3</v>
      </c>
      <c r="D93" s="5">
        <f>C93-C1275</f>
        <v>3.8109873575865967E-3</v>
      </c>
      <c r="E93" s="1"/>
      <c r="F93" s="8"/>
      <c r="H93" t="s">
        <v>345</v>
      </c>
      <c r="I93">
        <v>13.35</v>
      </c>
      <c r="J93" s="227">
        <f t="shared" si="8"/>
        <v>5.2710843373493521E-3</v>
      </c>
      <c r="K93" s="5">
        <f>J93-J1276</f>
        <v>3.1351284217393943E-3</v>
      </c>
      <c r="M93" s="240" t="s">
        <v>343</v>
      </c>
      <c r="N93">
        <v>5738.17</v>
      </c>
      <c r="O93" s="227">
        <f t="shared" si="9"/>
        <v>-4.2186697394176464E-3</v>
      </c>
      <c r="P93" s="5">
        <f>O93-O1278</f>
        <v>-3.852912538504475E-3</v>
      </c>
      <c r="Q93" s="8">
        <f t="shared" si="13"/>
        <v>1.4844935029364997E-5</v>
      </c>
      <c r="S93" t="s">
        <v>343</v>
      </c>
      <c r="T93">
        <v>3.85</v>
      </c>
      <c r="U93" s="29">
        <f t="shared" si="10"/>
        <v>1.3157894736842257E-2</v>
      </c>
      <c r="V93" s="5">
        <f>U93-V1274</f>
        <v>1.1421703961135218E-2</v>
      </c>
      <c r="X93" s="1">
        <v>45606</v>
      </c>
      <c r="Y93">
        <v>4.97</v>
      </c>
      <c r="Z93" s="48">
        <f t="shared" si="11"/>
        <v>4.0404040404038444E-3</v>
      </c>
      <c r="AA93" s="5">
        <f>Z93-Y1274</f>
        <v>-1.7691542887028969E-4</v>
      </c>
      <c r="AD93" t="s">
        <v>343</v>
      </c>
      <c r="AE93">
        <v>142.22999999999999</v>
      </c>
      <c r="AF93" s="29">
        <f t="shared" si="12"/>
        <v>-3.5031177748195974E-3</v>
      </c>
    </row>
    <row r="94" spans="1:32">
      <c r="A94" s="3" t="s">
        <v>347</v>
      </c>
      <c r="B94" s="222">
        <v>74.709999999999994</v>
      </c>
      <c r="C94" s="227">
        <f t="shared" si="7"/>
        <v>-3.5253099173553792E-2</v>
      </c>
      <c r="D94" s="5">
        <f>C94-C1275</f>
        <v>-3.5331144743112684E-2</v>
      </c>
      <c r="E94" s="1"/>
      <c r="F94" s="8"/>
      <c r="H94" t="s">
        <v>346</v>
      </c>
      <c r="I94">
        <v>13.33</v>
      </c>
      <c r="J94" s="227">
        <f t="shared" si="8"/>
        <v>-1.4981273408238849E-3</v>
      </c>
      <c r="K94" s="5">
        <f>J94-J1276</f>
        <v>-3.6340832564338427E-3</v>
      </c>
      <c r="M94" s="240" t="s">
        <v>344</v>
      </c>
      <c r="N94">
        <v>5745.37</v>
      </c>
      <c r="O94" s="227">
        <f t="shared" si="9"/>
        <v>1.2547554359665369E-3</v>
      </c>
      <c r="P94" s="5">
        <f>O94-O1278</f>
        <v>1.6205126368797084E-3</v>
      </c>
      <c r="Q94" s="8">
        <f t="shared" si="13"/>
        <v>2.6260612062868259E-6</v>
      </c>
      <c r="S94" t="s">
        <v>344</v>
      </c>
      <c r="T94">
        <v>3.8</v>
      </c>
      <c r="U94" s="29">
        <f t="shared" si="10"/>
        <v>-1.2987012987013102E-2</v>
      </c>
      <c r="V94" s="5">
        <f>U94-V1274</f>
        <v>-1.4723203762720141E-2</v>
      </c>
      <c r="X94" s="1">
        <v>45575</v>
      </c>
      <c r="Y94">
        <v>4.97</v>
      </c>
      <c r="Z94" s="48">
        <f t="shared" si="11"/>
        <v>0</v>
      </c>
      <c r="AA94" s="5">
        <f>Z94-Y1274</f>
        <v>-4.2173194692741341E-3</v>
      </c>
      <c r="AD94" t="s">
        <v>344</v>
      </c>
      <c r="AE94">
        <v>143.02000000000001</v>
      </c>
      <c r="AF94" s="29">
        <f t="shared" si="12"/>
        <v>5.5543837446390132E-3</v>
      </c>
    </row>
    <row r="95" spans="1:32">
      <c r="A95" s="3" t="s">
        <v>348</v>
      </c>
      <c r="B95" s="222">
        <v>73.94</v>
      </c>
      <c r="C95" s="227">
        <f t="shared" si="7"/>
        <v>-1.0306518538348186E-2</v>
      </c>
      <c r="D95" s="5">
        <f>C95-C1275</f>
        <v>-1.0384564107907075E-2</v>
      </c>
      <c r="E95" s="1"/>
      <c r="F95" s="8"/>
      <c r="H95" t="s">
        <v>347</v>
      </c>
      <c r="I95">
        <v>12.72</v>
      </c>
      <c r="J95" s="227">
        <f t="shared" si="8"/>
        <v>-4.576144036009E-2</v>
      </c>
      <c r="K95" s="5">
        <f>J95-J1276</f>
        <v>-4.7897396275699958E-2</v>
      </c>
      <c r="M95" s="240" t="s">
        <v>345</v>
      </c>
      <c r="N95">
        <v>5722.26</v>
      </c>
      <c r="O95" s="227">
        <f t="shared" si="9"/>
        <v>-4.0223693165104546E-3</v>
      </c>
      <c r="P95" s="5">
        <f>O95-O1278</f>
        <v>-3.6566121155972831E-3</v>
      </c>
      <c r="Q95" s="8">
        <f t="shared" si="13"/>
        <v>1.3370812163932839E-5</v>
      </c>
      <c r="S95" t="s">
        <v>345</v>
      </c>
      <c r="T95">
        <v>3.78</v>
      </c>
      <c r="U95" s="29">
        <f t="shared" si="10"/>
        <v>-5.2631578947368585E-3</v>
      </c>
      <c r="V95" s="5">
        <f>U95-V1274</f>
        <v>-6.9993486704438964E-3</v>
      </c>
      <c r="X95" s="1">
        <v>45545</v>
      </c>
      <c r="Y95">
        <v>4.8099999999999996</v>
      </c>
      <c r="Z95" s="48">
        <f t="shared" si="11"/>
        <v>-3.2193158953722323E-2</v>
      </c>
      <c r="AA95" s="5">
        <f>Z95-Y1274</f>
        <v>-3.6410478422996453E-2</v>
      </c>
      <c r="AD95" t="s">
        <v>345</v>
      </c>
      <c r="AE95">
        <v>143.93</v>
      </c>
      <c r="AF95" s="29">
        <f t="shared" si="12"/>
        <v>6.3627464690252378E-3</v>
      </c>
    </row>
    <row r="96" spans="1:32">
      <c r="A96" s="3" t="s">
        <v>349</v>
      </c>
      <c r="B96" s="222">
        <v>75.28</v>
      </c>
      <c r="C96" s="227">
        <f t="shared" si="7"/>
        <v>1.8122802272112493E-2</v>
      </c>
      <c r="D96" s="5">
        <f>C96-C1275</f>
        <v>1.8044756702553604E-2</v>
      </c>
      <c r="E96" s="1"/>
      <c r="F96" s="8"/>
      <c r="H96" t="s">
        <v>348</v>
      </c>
      <c r="I96">
        <v>12.47</v>
      </c>
      <c r="J96" s="227">
        <f t="shared" si="8"/>
        <v>-1.9654088050314433E-2</v>
      </c>
      <c r="K96" s="5">
        <f>J96-J1276</f>
        <v>-2.1790043965924391E-2</v>
      </c>
      <c r="M96" s="240" t="s">
        <v>346</v>
      </c>
      <c r="N96">
        <v>5732.93</v>
      </c>
      <c r="O96" s="227">
        <f t="shared" si="9"/>
        <v>1.8646478838779679E-3</v>
      </c>
      <c r="P96" s="5">
        <f>O96-O1278</f>
        <v>2.2304050847911394E-3</v>
      </c>
      <c r="Q96" s="8">
        <f t="shared" si="13"/>
        <v>4.9747068422621694E-6</v>
      </c>
      <c r="S96" t="s">
        <v>346</v>
      </c>
      <c r="T96">
        <v>3.7</v>
      </c>
      <c r="U96" s="29">
        <f t="shared" si="10"/>
        <v>-2.1164021164021052E-2</v>
      </c>
      <c r="V96" s="5">
        <f>U96-V1274</f>
        <v>-2.2900211939728091E-2</v>
      </c>
      <c r="X96" s="1">
        <v>45514</v>
      </c>
      <c r="Y96">
        <v>4.8</v>
      </c>
      <c r="Z96" s="48">
        <f t="shared" si="11"/>
        <v>-2.0790020790020236E-3</v>
      </c>
      <c r="AA96" s="5">
        <f>Z96-Y1274</f>
        <v>-6.2963215482761577E-3</v>
      </c>
      <c r="AD96" t="s">
        <v>346</v>
      </c>
      <c r="AE96">
        <v>141.68</v>
      </c>
      <c r="AF96" s="29">
        <f t="shared" si="12"/>
        <v>-1.5632599180157025E-2</v>
      </c>
    </row>
    <row r="97" spans="1:32">
      <c r="A97" s="3" t="s">
        <v>350</v>
      </c>
      <c r="B97" s="222">
        <v>73.5</v>
      </c>
      <c r="C97" s="227">
        <f t="shared" si="7"/>
        <v>-2.36450584484591E-2</v>
      </c>
      <c r="D97" s="5">
        <f>C97-C1275</f>
        <v>-2.3723104018017988E-2</v>
      </c>
      <c r="E97" s="1"/>
      <c r="F97" s="8"/>
      <c r="H97" t="s">
        <v>349</v>
      </c>
      <c r="I97">
        <v>12.53</v>
      </c>
      <c r="J97" s="227">
        <f t="shared" si="8"/>
        <v>4.8115477145147523E-3</v>
      </c>
      <c r="K97" s="5">
        <f>J97-J1276</f>
        <v>2.6755917989047945E-3</v>
      </c>
      <c r="M97" s="240" t="s">
        <v>347</v>
      </c>
      <c r="N97">
        <v>5718.57</v>
      </c>
      <c r="O97" s="227">
        <f t="shared" si="9"/>
        <v>-2.5048273744839866E-3</v>
      </c>
      <c r="P97" s="5">
        <f>O97-O1278</f>
        <v>-2.1390701735708151E-3</v>
      </c>
      <c r="Q97" s="8">
        <f t="shared" si="13"/>
        <v>4.5756212074602771E-6</v>
      </c>
      <c r="S97" t="s">
        <v>347</v>
      </c>
      <c r="T97">
        <v>3.65</v>
      </c>
      <c r="U97" s="29">
        <f t="shared" si="10"/>
        <v>-1.3513513513513598E-2</v>
      </c>
      <c r="V97" s="5">
        <f>U97-V1274</f>
        <v>-1.5249704289220636E-2</v>
      </c>
      <c r="X97" s="1">
        <v>45483</v>
      </c>
      <c r="Y97">
        <v>5.0199999999999996</v>
      </c>
      <c r="Z97" s="48">
        <f t="shared" si="11"/>
        <v>4.5833333333333393E-2</v>
      </c>
      <c r="AA97" s="5">
        <f>Z97-Y1274</f>
        <v>4.1616013864059262E-2</v>
      </c>
      <c r="AD97" t="s">
        <v>347</v>
      </c>
      <c r="AE97">
        <v>139.51</v>
      </c>
      <c r="AF97" s="29">
        <f t="shared" si="12"/>
        <v>-1.5316205533596916E-2</v>
      </c>
    </row>
    <row r="98" spans="1:32">
      <c r="A98" s="3" t="s">
        <v>351</v>
      </c>
      <c r="B98" s="222">
        <v>72.78</v>
      </c>
      <c r="C98" s="227">
        <f t="shared" si="7"/>
        <v>-9.7959183673469452E-3</v>
      </c>
      <c r="D98" s="5">
        <f>C98-C1275</f>
        <v>-9.8739639369058337E-3</v>
      </c>
      <c r="F98" s="8"/>
      <c r="H98" t="s">
        <v>350</v>
      </c>
      <c r="I98">
        <v>12.17</v>
      </c>
      <c r="J98" s="227">
        <f t="shared" si="8"/>
        <v>-2.8731045490821949E-2</v>
      </c>
      <c r="K98" s="5">
        <f>J98-J1276</f>
        <v>-3.0867001406431907E-2</v>
      </c>
      <c r="M98" s="240" t="s">
        <v>348</v>
      </c>
      <c r="N98">
        <v>5702.55</v>
      </c>
      <c r="O98" s="227">
        <f t="shared" si="9"/>
        <v>-2.8013996506118799E-3</v>
      </c>
      <c r="P98" s="5">
        <f>O98-O1278</f>
        <v>-2.4356424496987084E-3</v>
      </c>
      <c r="Q98" s="8">
        <f t="shared" si="13"/>
        <v>5.9323541427743254E-6</v>
      </c>
      <c r="S98" t="s">
        <v>348</v>
      </c>
      <c r="T98">
        <v>3.64</v>
      </c>
      <c r="U98" s="29">
        <f t="shared" si="10"/>
        <v>-2.739726027397249E-3</v>
      </c>
      <c r="V98" s="5">
        <f>U98-V1274</f>
        <v>-4.475916803104287E-3</v>
      </c>
      <c r="X98" s="1">
        <v>45392</v>
      </c>
      <c r="Y98">
        <v>4.99</v>
      </c>
      <c r="Z98" s="48">
        <f t="shared" si="11"/>
        <v>-5.9760956175297641E-3</v>
      </c>
      <c r="AA98" s="5">
        <f>Z98-Y1274</f>
        <v>-1.0193415086803898E-2</v>
      </c>
      <c r="AD98" t="s">
        <v>348</v>
      </c>
      <c r="AE98">
        <v>139.72</v>
      </c>
      <c r="AF98" s="29">
        <f t="shared" si="12"/>
        <v>1.5052684395384652E-3</v>
      </c>
    </row>
    <row r="99" spans="1:32">
      <c r="A99" s="3" t="s">
        <v>352</v>
      </c>
      <c r="B99" s="222">
        <v>71.52</v>
      </c>
      <c r="C99" s="227">
        <f t="shared" si="7"/>
        <v>-1.7312448474855802E-2</v>
      </c>
      <c r="D99" s="5">
        <f>C99-C1275</f>
        <v>-1.739049404441469E-2</v>
      </c>
      <c r="F99" s="8"/>
      <c r="H99" t="s">
        <v>351</v>
      </c>
      <c r="I99">
        <v>12.25</v>
      </c>
      <c r="J99" s="227">
        <f t="shared" si="8"/>
        <v>6.5735414954806171E-3</v>
      </c>
      <c r="K99" s="5">
        <f>J99-J1276</f>
        <v>4.4375855798706593E-3</v>
      </c>
      <c r="M99" s="240" t="s">
        <v>349</v>
      </c>
      <c r="N99">
        <v>5713.64</v>
      </c>
      <c r="O99" s="227">
        <f t="shared" si="9"/>
        <v>1.9447440180271336E-3</v>
      </c>
      <c r="P99" s="5">
        <f>O99-O1278</f>
        <v>2.3105012189403051E-3</v>
      </c>
      <c r="Q99" s="8">
        <f t="shared" si="13"/>
        <v>5.3384158827246352E-6</v>
      </c>
      <c r="S99" t="s">
        <v>349</v>
      </c>
      <c r="T99">
        <v>3.66</v>
      </c>
      <c r="U99" s="29">
        <f t="shared" si="10"/>
        <v>5.494505494505475E-3</v>
      </c>
      <c r="V99" s="5">
        <f>U99-V1274</f>
        <v>3.758314718798437E-3</v>
      </c>
      <c r="X99" s="1">
        <v>45361</v>
      </c>
      <c r="Y99">
        <v>4.6399999999999997</v>
      </c>
      <c r="Z99" s="48">
        <f t="shared" si="11"/>
        <v>-7.0140280561122315E-2</v>
      </c>
      <c r="AA99" s="5">
        <f>Z99-Y1274</f>
        <v>-7.4357600030396445E-2</v>
      </c>
      <c r="AD99" t="s">
        <v>349</v>
      </c>
      <c r="AE99">
        <v>137.29</v>
      </c>
      <c r="AF99" s="29">
        <f t="shared" si="12"/>
        <v>-1.7391926710563999E-2</v>
      </c>
    </row>
    <row r="100" spans="1:32">
      <c r="A100" s="3" t="s">
        <v>353</v>
      </c>
      <c r="B100" s="222">
        <v>72.48</v>
      </c>
      <c r="C100" s="227">
        <f t="shared" si="7"/>
        <v>1.3422818791946511E-2</v>
      </c>
      <c r="D100" s="5">
        <f>C100-C1275</f>
        <v>1.3344773222387623E-2</v>
      </c>
      <c r="F100" s="8"/>
      <c r="H100" t="s">
        <v>352</v>
      </c>
      <c r="I100">
        <v>11.68</v>
      </c>
      <c r="J100" s="227">
        <f t="shared" si="8"/>
        <v>-4.6530612244897962E-2</v>
      </c>
      <c r="K100" s="5">
        <f>J100-J1276</f>
        <v>-4.866656816050792E-2</v>
      </c>
      <c r="M100" s="240" t="s">
        <v>350</v>
      </c>
      <c r="N100">
        <v>5618.26</v>
      </c>
      <c r="O100" s="227">
        <f t="shared" si="9"/>
        <v>-1.6693386352657824E-2</v>
      </c>
      <c r="P100" s="5">
        <f>O100-O1278</f>
        <v>-1.6327629151744651E-2</v>
      </c>
      <c r="Q100" s="8">
        <f t="shared" si="13"/>
        <v>2.6659147371690175E-4</v>
      </c>
      <c r="S100" t="s">
        <v>350</v>
      </c>
      <c r="T100">
        <v>3.66</v>
      </c>
      <c r="U100" s="29">
        <f t="shared" si="10"/>
        <v>0</v>
      </c>
      <c r="V100" s="5">
        <f>U100-V1274</f>
        <v>-1.736190775707038E-3</v>
      </c>
      <c r="X100" s="1">
        <v>45332</v>
      </c>
      <c r="Y100">
        <v>4.7</v>
      </c>
      <c r="Z100" s="48">
        <f t="shared" si="11"/>
        <v>1.2931034482758674E-2</v>
      </c>
      <c r="AA100" s="5">
        <f>Z100-Y1274</f>
        <v>8.7137150134845402E-3</v>
      </c>
      <c r="AD100" t="s">
        <v>350</v>
      </c>
      <c r="AE100">
        <v>132.47999999999999</v>
      </c>
      <c r="AF100" s="29">
        <f t="shared" si="12"/>
        <v>-3.5035326680748824E-2</v>
      </c>
    </row>
    <row r="101" spans="1:32">
      <c r="A101" s="220">
        <v>45635</v>
      </c>
      <c r="B101" s="222">
        <v>68.09</v>
      </c>
      <c r="C101" s="227">
        <f t="shared" si="7"/>
        <v>-6.0568432671081696E-2</v>
      </c>
      <c r="D101" s="5">
        <f>C101-C1275</f>
        <v>-6.0646478240640588E-2</v>
      </c>
      <c r="F101" s="8"/>
      <c r="H101" t="s">
        <v>353</v>
      </c>
      <c r="I101">
        <v>11.35</v>
      </c>
      <c r="J101" s="227">
        <f t="shared" si="8"/>
        <v>-2.8253424657534221E-2</v>
      </c>
      <c r="K101" s="5">
        <f>J101-J1276</f>
        <v>-3.0389380573144179E-2</v>
      </c>
      <c r="M101" s="240" t="s">
        <v>351</v>
      </c>
      <c r="N101">
        <v>5634.58</v>
      </c>
      <c r="O101" s="227">
        <f t="shared" si="9"/>
        <v>2.904813945954654E-3</v>
      </c>
      <c r="P101" s="5">
        <f>O101-O1278</f>
        <v>3.2705711468678255E-3</v>
      </c>
      <c r="Q101" s="8">
        <f t="shared" si="13"/>
        <v>1.0696635626724324E-5</v>
      </c>
      <c r="S101" t="s">
        <v>351</v>
      </c>
      <c r="T101">
        <v>3.57</v>
      </c>
      <c r="U101" s="29">
        <f t="shared" si="10"/>
        <v>-2.4590163934426257E-2</v>
      </c>
      <c r="V101" s="5">
        <f>U101-V1274</f>
        <v>-2.6326354710133296E-2</v>
      </c>
      <c r="X101" s="1">
        <v>45301</v>
      </c>
      <c r="Y101">
        <v>4.6900000000000004</v>
      </c>
      <c r="Z101" s="48">
        <f t="shared" si="11"/>
        <v>-2.1276595744680327E-3</v>
      </c>
      <c r="AA101" s="5">
        <f>Z101-Y1274</f>
        <v>-6.3449790437421667E-3</v>
      </c>
      <c r="AD101" t="s">
        <v>351</v>
      </c>
      <c r="AE101">
        <v>129.88</v>
      </c>
      <c r="AF101" s="29">
        <f t="shared" si="12"/>
        <v>-1.962560386473422E-2</v>
      </c>
    </row>
    <row r="102" spans="1:32">
      <c r="A102" s="220">
        <v>45605</v>
      </c>
      <c r="B102" s="222">
        <v>70.11</v>
      </c>
      <c r="C102" s="227">
        <f t="shared" si="7"/>
        <v>2.9666617711851861E-2</v>
      </c>
      <c r="D102" s="5">
        <f>C102-C1275</f>
        <v>2.9588572142292973E-2</v>
      </c>
      <c r="F102" s="8"/>
      <c r="H102" s="1">
        <v>45635</v>
      </c>
      <c r="I102">
        <v>11.62</v>
      </c>
      <c r="J102" s="227">
        <f t="shared" si="8"/>
        <v>2.3788546255506526E-2</v>
      </c>
      <c r="K102" s="5">
        <f>J102-J1276</f>
        <v>2.1652590339896569E-2</v>
      </c>
      <c r="M102" s="240" t="s">
        <v>352</v>
      </c>
      <c r="N102">
        <v>5633.09</v>
      </c>
      <c r="O102" s="227">
        <f t="shared" si="9"/>
        <v>-2.6443852070601181E-4</v>
      </c>
      <c r="P102" s="5">
        <f>O102-O1278</f>
        <v>1.0131868020715973E-4</v>
      </c>
      <c r="Q102" s="8">
        <f t="shared" si="13"/>
        <v>1.0265474958920701E-8</v>
      </c>
      <c r="S102" t="s">
        <v>352</v>
      </c>
      <c r="T102">
        <v>3.5</v>
      </c>
      <c r="U102" s="29">
        <f t="shared" si="10"/>
        <v>-1.9607843137254832E-2</v>
      </c>
      <c r="V102" s="5">
        <f>U102-V1274</f>
        <v>-2.1344033912961871E-2</v>
      </c>
      <c r="X102" t="s">
        <v>342</v>
      </c>
      <c r="Y102">
        <v>4.7</v>
      </c>
      <c r="Z102" s="48">
        <f t="shared" si="11"/>
        <v>2.132196162046851E-3</v>
      </c>
      <c r="AA102" s="5">
        <f>Z102-Y1274</f>
        <v>-2.085123307227283E-3</v>
      </c>
      <c r="AD102" t="s">
        <v>352</v>
      </c>
      <c r="AE102">
        <v>130.87</v>
      </c>
      <c r="AF102" s="29">
        <f t="shared" si="12"/>
        <v>7.6224206960271434E-3</v>
      </c>
    </row>
    <row r="103" spans="1:32">
      <c r="A103" s="220">
        <v>45574</v>
      </c>
      <c r="B103" s="222">
        <v>68.989999999999995</v>
      </c>
      <c r="C103" s="227">
        <f t="shared" si="7"/>
        <v>-1.5974896591071208E-2</v>
      </c>
      <c r="D103" s="5">
        <f>C103-C1275</f>
        <v>-1.6052942160630097E-2</v>
      </c>
      <c r="F103" s="8"/>
      <c r="H103" s="1">
        <v>45605</v>
      </c>
      <c r="I103">
        <v>11.95</v>
      </c>
      <c r="J103" s="227">
        <f t="shared" si="8"/>
        <v>2.839931153184172E-2</v>
      </c>
      <c r="K103" s="5">
        <f>J103-J1276</f>
        <v>2.6263355616231762E-2</v>
      </c>
      <c r="M103" s="240" t="s">
        <v>353</v>
      </c>
      <c r="N103">
        <v>5626.02</v>
      </c>
      <c r="O103" s="227">
        <f t="shared" si="9"/>
        <v>-1.2550837994776964E-3</v>
      </c>
      <c r="P103" s="5">
        <f>O103-O1278</f>
        <v>-8.8932659856452495E-4</v>
      </c>
      <c r="Q103" s="8">
        <f t="shared" si="13"/>
        <v>7.9090179891434769E-7</v>
      </c>
      <c r="S103" t="s">
        <v>353</v>
      </c>
      <c r="T103">
        <v>3.47</v>
      </c>
      <c r="U103" s="29">
        <f t="shared" si="10"/>
        <v>-8.5714285714285632E-3</v>
      </c>
      <c r="V103" s="5">
        <f>U103-V1274</f>
        <v>-1.0307619347135602E-2</v>
      </c>
      <c r="X103" t="s">
        <v>343</v>
      </c>
      <c r="Y103">
        <v>4.79</v>
      </c>
      <c r="Z103" s="48">
        <f t="shared" si="11"/>
        <v>1.9148936170212627E-2</v>
      </c>
      <c r="AA103" s="5">
        <f>Z103-Y1274</f>
        <v>1.4931616700938493E-2</v>
      </c>
      <c r="AD103" t="s">
        <v>353</v>
      </c>
      <c r="AE103">
        <v>131.35</v>
      </c>
      <c r="AF103" s="29">
        <f t="shared" si="12"/>
        <v>3.6677619011231677E-3</v>
      </c>
    </row>
    <row r="104" spans="1:32">
      <c r="A104" s="220">
        <v>45544</v>
      </c>
      <c r="B104" s="222">
        <v>69.8</v>
      </c>
      <c r="C104" s="227">
        <f t="shared" si="7"/>
        <v>1.174083200463838E-2</v>
      </c>
      <c r="D104" s="5">
        <f>C104-C1275</f>
        <v>1.1662786435079491E-2</v>
      </c>
      <c r="F104" s="8"/>
      <c r="H104" s="1">
        <v>45574</v>
      </c>
      <c r="I104">
        <v>11.27</v>
      </c>
      <c r="J104" s="227">
        <f t="shared" si="8"/>
        <v>-5.6903765690376584E-2</v>
      </c>
      <c r="K104" s="5">
        <f>J104-J1276</f>
        <v>-5.9039721605986542E-2</v>
      </c>
      <c r="M104" s="241">
        <v>45635</v>
      </c>
      <c r="N104">
        <v>5595.76</v>
      </c>
      <c r="O104" s="227">
        <f t="shared" si="9"/>
        <v>-5.3785802396720817E-3</v>
      </c>
      <c r="P104" s="5">
        <f>O104-O1278</f>
        <v>-5.0128230387589097E-3</v>
      </c>
      <c r="Q104" s="8">
        <f t="shared" si="13"/>
        <v>2.5128394817912109E-5</v>
      </c>
      <c r="S104" s="1">
        <v>45635</v>
      </c>
      <c r="T104">
        <v>3.45</v>
      </c>
      <c r="U104" s="29">
        <f t="shared" si="10"/>
        <v>-5.7636887608069065E-3</v>
      </c>
      <c r="V104" s="5">
        <f>U104-V1274</f>
        <v>-7.4998795365139445E-3</v>
      </c>
      <c r="X104" t="s">
        <v>344</v>
      </c>
      <c r="Y104">
        <v>4.5999999999999996</v>
      </c>
      <c r="Z104" s="48">
        <f t="shared" si="11"/>
        <v>-3.9665970772442716E-2</v>
      </c>
      <c r="AA104" s="5">
        <f>Z104-Y1274</f>
        <v>-4.3883290241716846E-2</v>
      </c>
      <c r="AD104" s="1">
        <v>45635</v>
      </c>
      <c r="AE104">
        <v>130.19</v>
      </c>
      <c r="AF104" s="29">
        <f t="shared" si="12"/>
        <v>-8.8313665778454453E-3</v>
      </c>
    </row>
    <row r="105" spans="1:32">
      <c r="A105" s="220">
        <v>45452</v>
      </c>
      <c r="B105" s="222">
        <v>69.58</v>
      </c>
      <c r="C105" s="227">
        <f t="shared" si="7"/>
        <v>-3.1518624641834192E-3</v>
      </c>
      <c r="D105" s="5">
        <f>C105-C1275</f>
        <v>-3.2299080337423085E-3</v>
      </c>
      <c r="F105" s="8"/>
      <c r="H105" s="1">
        <v>45544</v>
      </c>
      <c r="I105">
        <v>10.8</v>
      </c>
      <c r="J105" s="227">
        <f t="shared" si="8"/>
        <v>-4.1703637976929775E-2</v>
      </c>
      <c r="K105" s="5">
        <f>J105-J1276</f>
        <v>-4.3839593892539733E-2</v>
      </c>
      <c r="M105" s="241">
        <v>45605</v>
      </c>
      <c r="N105">
        <v>5554.13</v>
      </c>
      <c r="O105" s="227">
        <f t="shared" si="9"/>
        <v>-7.4395613821893747E-3</v>
      </c>
      <c r="P105" s="5">
        <f>O105-O1278</f>
        <v>-7.0738041812762028E-3</v>
      </c>
      <c r="Q105" s="8">
        <f t="shared" si="13"/>
        <v>5.0038705595040692E-5</v>
      </c>
      <c r="S105" s="1">
        <v>45605</v>
      </c>
      <c r="T105">
        <v>3.45</v>
      </c>
      <c r="U105" s="29">
        <f t="shared" si="10"/>
        <v>0</v>
      </c>
      <c r="V105" s="5">
        <f>U105-V1274</f>
        <v>-1.736190775707038E-3</v>
      </c>
      <c r="X105" t="s">
        <v>345</v>
      </c>
      <c r="Y105">
        <v>4.4000000000000004</v>
      </c>
      <c r="Z105" s="48">
        <f t="shared" si="11"/>
        <v>-4.3478260869565077E-2</v>
      </c>
      <c r="AA105" s="5">
        <f>Z105-Y1274</f>
        <v>-4.7695580338839208E-2</v>
      </c>
      <c r="AD105" s="1">
        <v>45605</v>
      </c>
      <c r="AE105">
        <v>130.02000000000001</v>
      </c>
      <c r="AF105" s="29">
        <f t="shared" si="12"/>
        <v>-1.3057838543666378E-3</v>
      </c>
    </row>
    <row r="106" spans="1:32">
      <c r="A106" s="220">
        <v>45421</v>
      </c>
      <c r="B106" s="222">
        <v>71.25</v>
      </c>
      <c r="C106" s="227">
        <f t="shared" si="7"/>
        <v>2.4001149755676909E-2</v>
      </c>
      <c r="D106" s="5">
        <f>C106-C1275</f>
        <v>2.3923104186118021E-2</v>
      </c>
      <c r="F106" s="8"/>
      <c r="H106" s="1">
        <v>45452</v>
      </c>
      <c r="I106">
        <v>11.06</v>
      </c>
      <c r="J106" s="227">
        <f t="shared" si="8"/>
        <v>2.4074074074074137E-2</v>
      </c>
      <c r="K106" s="5">
        <f>J106-J1276</f>
        <v>2.1938118158464179E-2</v>
      </c>
      <c r="M106" s="241">
        <v>45574</v>
      </c>
      <c r="N106">
        <v>5495.52</v>
      </c>
      <c r="O106" s="227">
        <f t="shared" si="9"/>
        <v>-1.055250777349459E-2</v>
      </c>
      <c r="P106" s="5">
        <f>O106-O1278</f>
        <v>-1.0186750572581419E-2</v>
      </c>
      <c r="Q106" s="8">
        <f t="shared" si="13"/>
        <v>1.0376988722798787E-4</v>
      </c>
      <c r="S106" s="1">
        <v>45574</v>
      </c>
      <c r="T106">
        <v>3.35</v>
      </c>
      <c r="U106" s="29">
        <f t="shared" si="10"/>
        <v>-2.8985507246376829E-2</v>
      </c>
      <c r="V106" s="5">
        <f>U106-V1274</f>
        <v>-3.0721698022083868E-2</v>
      </c>
      <c r="X106" t="s">
        <v>346</v>
      </c>
      <c r="Y106">
        <v>4.5199999999999996</v>
      </c>
      <c r="Z106" s="48">
        <f t="shared" si="11"/>
        <v>2.7272727272727115E-2</v>
      </c>
      <c r="AA106" s="5">
        <f>Z106-Y1274</f>
        <v>2.3055407803452981E-2</v>
      </c>
      <c r="AD106" s="1">
        <v>45574</v>
      </c>
      <c r="AE106">
        <v>125.81</v>
      </c>
      <c r="AF106" s="29">
        <f t="shared" si="12"/>
        <v>-3.2379633902476557E-2</v>
      </c>
    </row>
    <row r="107" spans="1:32">
      <c r="A107" s="220">
        <v>45391</v>
      </c>
      <c r="B107" s="222">
        <v>71.56</v>
      </c>
      <c r="C107" s="227">
        <f t="shared" si="7"/>
        <v>4.3508771929825496E-3</v>
      </c>
      <c r="D107" s="5">
        <f>C107-C1275</f>
        <v>4.2728316234236603E-3</v>
      </c>
      <c r="F107" s="8"/>
      <c r="H107" s="1">
        <v>45421</v>
      </c>
      <c r="I107">
        <v>11.25</v>
      </c>
      <c r="J107" s="227">
        <f t="shared" si="8"/>
        <v>1.7179023508137492E-2</v>
      </c>
      <c r="K107" s="5">
        <f>J107-J1276</f>
        <v>1.5043067592527534E-2</v>
      </c>
      <c r="M107" s="241">
        <v>45544</v>
      </c>
      <c r="N107">
        <v>5471.05</v>
      </c>
      <c r="O107" s="227">
        <f t="shared" si="9"/>
        <v>-4.4527178501762021E-3</v>
      </c>
      <c r="P107" s="5">
        <f>O107-O1278</f>
        <v>-4.0869606492630302E-3</v>
      </c>
      <c r="Q107" s="8">
        <f t="shared" si="13"/>
        <v>1.6703247348624488E-5</v>
      </c>
      <c r="S107" s="1">
        <v>45544</v>
      </c>
      <c r="T107">
        <v>3.35</v>
      </c>
      <c r="U107" s="29">
        <f t="shared" si="10"/>
        <v>0</v>
      </c>
      <c r="V107" s="5">
        <f>U107-V1274</f>
        <v>-1.736190775707038E-3</v>
      </c>
      <c r="X107" t="s">
        <v>347</v>
      </c>
      <c r="Y107">
        <v>4.05</v>
      </c>
      <c r="Z107" s="48">
        <f t="shared" si="11"/>
        <v>-0.10398230088495575</v>
      </c>
      <c r="AA107" s="5">
        <f>Z107-Y1274</f>
        <v>-0.10819962035422988</v>
      </c>
      <c r="AD107" s="1">
        <v>45544</v>
      </c>
      <c r="AE107">
        <v>124.61</v>
      </c>
      <c r="AF107" s="29">
        <f t="shared" si="12"/>
        <v>-9.5381925125188616E-3</v>
      </c>
    </row>
    <row r="108" spans="1:32">
      <c r="A108" s="220">
        <v>45360</v>
      </c>
      <c r="B108" s="222">
        <v>71.89</v>
      </c>
      <c r="C108" s="227">
        <f t="shared" si="7"/>
        <v>4.6115148127445771E-3</v>
      </c>
      <c r="D108" s="5">
        <f>C108-C1275</f>
        <v>4.5334692431856878E-3</v>
      </c>
      <c r="F108" s="8"/>
      <c r="H108" s="1">
        <v>45391</v>
      </c>
      <c r="I108">
        <v>11.34</v>
      </c>
      <c r="J108" s="227">
        <f t="shared" si="8"/>
        <v>8.0000000000000071E-3</v>
      </c>
      <c r="K108" s="5">
        <f>J108-J1276</f>
        <v>5.8640440843900493E-3</v>
      </c>
      <c r="M108" s="241">
        <v>45452</v>
      </c>
      <c r="N108">
        <v>5408.42</v>
      </c>
      <c r="O108" s="227">
        <f t="shared" si="9"/>
        <v>-1.1447528353789482E-2</v>
      </c>
      <c r="P108" s="5">
        <f>O108-O1278</f>
        <v>-1.1081771152876311E-2</v>
      </c>
      <c r="Q108" s="8">
        <f t="shared" si="13"/>
        <v>1.2280565188472158E-4</v>
      </c>
      <c r="S108" s="1">
        <v>45452</v>
      </c>
      <c r="T108">
        <v>3.29</v>
      </c>
      <c r="U108" s="29">
        <f t="shared" si="10"/>
        <v>-1.7910447761193993E-2</v>
      </c>
      <c r="V108" s="5">
        <f>U108-V1274</f>
        <v>-1.9646638536901032E-2</v>
      </c>
      <c r="X108" t="s">
        <v>348</v>
      </c>
      <c r="Y108">
        <v>3.99</v>
      </c>
      <c r="Z108" s="48">
        <f t="shared" si="11"/>
        <v>-1.4814814814814725E-2</v>
      </c>
      <c r="AA108" s="5">
        <f>Z108-Y1274</f>
        <v>-1.9032134284088859E-2</v>
      </c>
      <c r="AD108" s="1">
        <v>45452</v>
      </c>
      <c r="AE108">
        <v>123.56</v>
      </c>
      <c r="AF108" s="29">
        <f t="shared" si="12"/>
        <v>-8.4262900248776029E-3</v>
      </c>
    </row>
    <row r="109" spans="1:32">
      <c r="A109" s="3" t="s">
        <v>354</v>
      </c>
      <c r="B109" s="222">
        <v>73.13</v>
      </c>
      <c r="C109" s="227">
        <f t="shared" si="7"/>
        <v>1.7248574210599443E-2</v>
      </c>
      <c r="D109" s="5">
        <f>C109-C1275</f>
        <v>1.7170528641040555E-2</v>
      </c>
      <c r="F109" s="8"/>
      <c r="H109" s="1">
        <v>45360</v>
      </c>
      <c r="I109">
        <v>11.35</v>
      </c>
      <c r="J109" s="227">
        <f t="shared" si="8"/>
        <v>8.818342151675207E-4</v>
      </c>
      <c r="K109" s="5">
        <f>J109-J1276</f>
        <v>-1.2541217004424371E-3</v>
      </c>
      <c r="M109" s="241">
        <v>45421</v>
      </c>
      <c r="N109">
        <v>5503.41</v>
      </c>
      <c r="O109" s="227">
        <f t="shared" si="9"/>
        <v>1.7563354916962703E-2</v>
      </c>
      <c r="P109" s="5">
        <f>O109-O1278</f>
        <v>1.7929112117875876E-2</v>
      </c>
      <c r="Q109" s="8">
        <f t="shared" si="13"/>
        <v>3.2145306133536357E-4</v>
      </c>
      <c r="S109" s="1">
        <v>45421</v>
      </c>
      <c r="T109">
        <v>3.34</v>
      </c>
      <c r="U109" s="29">
        <f t="shared" si="10"/>
        <v>1.5197568389057725E-2</v>
      </c>
      <c r="V109" s="5">
        <f>U109-V1274</f>
        <v>1.3461377613350686E-2</v>
      </c>
      <c r="X109" t="s">
        <v>349</v>
      </c>
      <c r="Y109">
        <v>3.96</v>
      </c>
      <c r="Z109" s="48">
        <f t="shared" si="11"/>
        <v>-7.5187969924812581E-3</v>
      </c>
      <c r="AA109" s="5">
        <f>Z109-Y1274</f>
        <v>-1.1736116461755392E-2</v>
      </c>
      <c r="AD109" s="1">
        <v>45421</v>
      </c>
      <c r="AE109">
        <v>126.35</v>
      </c>
      <c r="AF109" s="29">
        <f t="shared" si="12"/>
        <v>2.2580123017157616E-2</v>
      </c>
    </row>
    <row r="110" spans="1:32">
      <c r="A110" s="3" t="s">
        <v>355</v>
      </c>
      <c r="B110" s="222">
        <v>72.239999999999995</v>
      </c>
      <c r="C110" s="227">
        <f t="shared" si="7"/>
        <v>-1.2170108026801629E-2</v>
      </c>
      <c r="D110" s="5">
        <f>C110-C1275</f>
        <v>-1.2248153596360518E-2</v>
      </c>
      <c r="F110" s="8"/>
      <c r="H110" t="s">
        <v>354</v>
      </c>
      <c r="I110">
        <v>11.67</v>
      </c>
      <c r="J110" s="227">
        <f t="shared" si="8"/>
        <v>2.8193832599118895E-2</v>
      </c>
      <c r="K110" s="5">
        <f>J110-J1276</f>
        <v>2.6057876683508938E-2</v>
      </c>
      <c r="M110" s="241">
        <v>45391</v>
      </c>
      <c r="N110">
        <v>5520.07</v>
      </c>
      <c r="O110" s="227">
        <f t="shared" si="9"/>
        <v>3.0272140363882816E-3</v>
      </c>
      <c r="P110" s="5">
        <f>O110-O1278</f>
        <v>3.3929712373014531E-3</v>
      </c>
      <c r="Q110" s="8">
        <f t="shared" si="13"/>
        <v>1.1512253817154954E-5</v>
      </c>
      <c r="S110" s="1">
        <v>45391</v>
      </c>
      <c r="T110">
        <v>3.33</v>
      </c>
      <c r="U110" s="29">
        <f t="shared" si="10"/>
        <v>-2.9940119760478723E-3</v>
      </c>
      <c r="V110" s="5">
        <f>U110-V1274</f>
        <v>-4.7302027517549102E-3</v>
      </c>
      <c r="X110" t="s">
        <v>350</v>
      </c>
      <c r="Y110">
        <v>3.9</v>
      </c>
      <c r="Z110" s="48">
        <f t="shared" si="11"/>
        <v>-1.5151515151515138E-2</v>
      </c>
      <c r="AA110" s="5">
        <f>Z110-Y1274</f>
        <v>-1.9368834620789272E-2</v>
      </c>
      <c r="AD110" s="1">
        <v>45391</v>
      </c>
      <c r="AE110">
        <v>125.42</v>
      </c>
      <c r="AF110" s="29">
        <f t="shared" si="12"/>
        <v>-7.3605065294815031E-3</v>
      </c>
    </row>
    <row r="111" spans="1:32">
      <c r="A111" s="3" t="s">
        <v>356</v>
      </c>
      <c r="B111" s="222">
        <v>71.849999999999994</v>
      </c>
      <c r="C111" s="227">
        <f t="shared" si="7"/>
        <v>-5.3986710963455087E-3</v>
      </c>
      <c r="D111" s="5">
        <f>C111-C1275</f>
        <v>-5.476716665904398E-3</v>
      </c>
      <c r="F111" s="8"/>
      <c r="H111" t="s">
        <v>355</v>
      </c>
      <c r="I111">
        <v>11.55</v>
      </c>
      <c r="J111" s="227">
        <f t="shared" si="8"/>
        <v>-1.0282776349614275E-2</v>
      </c>
      <c r="K111" s="5">
        <f>J111-J1276</f>
        <v>-1.2418732265224233E-2</v>
      </c>
      <c r="M111" s="241">
        <v>45360</v>
      </c>
      <c r="N111">
        <v>5528.93</v>
      </c>
      <c r="O111" s="227">
        <f t="shared" si="9"/>
        <v>1.6050521098465165E-3</v>
      </c>
      <c r="P111" s="5">
        <f>O111-O1278</f>
        <v>1.970809310759688E-3</v>
      </c>
      <c r="Q111" s="8">
        <f t="shared" si="13"/>
        <v>3.8840893393770764E-6</v>
      </c>
      <c r="S111" s="1">
        <v>45360</v>
      </c>
      <c r="T111">
        <v>3.32</v>
      </c>
      <c r="U111" s="29">
        <f t="shared" si="10"/>
        <v>-3.0030030030030463E-3</v>
      </c>
      <c r="V111" s="5">
        <f>U111-V1274</f>
        <v>-4.7391937787100843E-3</v>
      </c>
      <c r="X111" t="s">
        <v>351</v>
      </c>
      <c r="Y111">
        <v>3.87</v>
      </c>
      <c r="Z111" s="48">
        <f t="shared" si="11"/>
        <v>-7.692307692307665E-3</v>
      </c>
      <c r="AA111" s="5">
        <f>Z111-Y1274</f>
        <v>-1.1909627161581799E-2</v>
      </c>
      <c r="AD111" s="1">
        <v>45360</v>
      </c>
      <c r="AE111">
        <v>125.05</v>
      </c>
      <c r="AF111" s="29">
        <f t="shared" si="12"/>
        <v>-2.9500877053102448E-3</v>
      </c>
    </row>
    <row r="112" spans="1:32">
      <c r="A112" s="3" t="s">
        <v>357</v>
      </c>
      <c r="B112" s="222">
        <v>72.56</v>
      </c>
      <c r="C112" s="227">
        <f t="shared" si="7"/>
        <v>9.8816979819069672E-3</v>
      </c>
      <c r="D112" s="5">
        <f>C112-C1275</f>
        <v>9.8036524123480788E-3</v>
      </c>
      <c r="E112" s="1"/>
      <c r="F112" s="8"/>
      <c r="H112" t="s">
        <v>356</v>
      </c>
      <c r="I112">
        <v>11.46</v>
      </c>
      <c r="J112" s="227">
        <f t="shared" si="8"/>
        <v>-7.7922077922077948E-3</v>
      </c>
      <c r="K112" s="5">
        <f>J112-J1276</f>
        <v>-9.9281637078177526E-3</v>
      </c>
      <c r="M112" s="240" t="s">
        <v>354</v>
      </c>
      <c r="N112">
        <v>5648.4</v>
      </c>
      <c r="O112" s="227">
        <f t="shared" si="9"/>
        <v>2.1608159264088878E-2</v>
      </c>
      <c r="P112" s="5">
        <f>O112-O1278</f>
        <v>2.197391646500205E-2</v>
      </c>
      <c r="Q112" s="8">
        <f t="shared" si="13"/>
        <v>4.8285300481088823E-4</v>
      </c>
      <c r="S112" t="s">
        <v>354</v>
      </c>
      <c r="T112">
        <v>3.22</v>
      </c>
      <c r="U112" s="29">
        <f t="shared" si="10"/>
        <v>-3.0120481927710774E-2</v>
      </c>
      <c r="V112" s="5">
        <f>U112-V1274</f>
        <v>-3.1856672703417813E-2</v>
      </c>
      <c r="X112" t="s">
        <v>352</v>
      </c>
      <c r="Y112">
        <v>3.89</v>
      </c>
      <c r="Z112" s="48">
        <f t="shared" si="11"/>
        <v>5.1679586563306845E-3</v>
      </c>
      <c r="AA112" s="5">
        <f>Z112-Y1274</f>
        <v>9.5063918705655046E-4</v>
      </c>
      <c r="AD112" t="s">
        <v>354</v>
      </c>
      <c r="AE112">
        <v>128.71</v>
      </c>
      <c r="AF112" s="29">
        <f t="shared" si="12"/>
        <v>2.9268292682926855E-2</v>
      </c>
    </row>
    <row r="113" spans="1:32">
      <c r="A113" s="3" t="s">
        <v>358</v>
      </c>
      <c r="B113" s="222">
        <v>72.61</v>
      </c>
      <c r="C113" s="227">
        <f t="shared" si="7"/>
        <v>6.8908489525898453E-4</v>
      </c>
      <c r="D113" s="5">
        <f>C113-C1275</f>
        <v>6.1103932570009533E-4</v>
      </c>
      <c r="E113" s="1"/>
      <c r="F113" s="8"/>
      <c r="H113" t="s">
        <v>357</v>
      </c>
      <c r="I113">
        <v>11.62</v>
      </c>
      <c r="J113" s="227">
        <f t="shared" si="8"/>
        <v>1.3961605584642101E-2</v>
      </c>
      <c r="K113" s="5">
        <f>J113-J1276</f>
        <v>1.1825649669032143E-2</v>
      </c>
      <c r="M113" s="240" t="s">
        <v>355</v>
      </c>
      <c r="N113">
        <v>5591.96</v>
      </c>
      <c r="O113" s="227">
        <f t="shared" si="9"/>
        <v>-9.9922101834146737E-3</v>
      </c>
      <c r="P113" s="5">
        <f>O113-O1278</f>
        <v>-9.6264529825015027E-3</v>
      </c>
      <c r="Q113" s="8">
        <f t="shared" si="13"/>
        <v>9.2668597024312069E-5</v>
      </c>
      <c r="S113" t="s">
        <v>355</v>
      </c>
      <c r="T113">
        <v>3.2</v>
      </c>
      <c r="U113" s="29">
        <f t="shared" si="10"/>
        <v>-6.2111801242236142E-3</v>
      </c>
      <c r="V113" s="5">
        <f>U113-V1274</f>
        <v>-7.947370899930653E-3</v>
      </c>
      <c r="X113" t="s">
        <v>353</v>
      </c>
      <c r="Y113">
        <v>3.9</v>
      </c>
      <c r="Z113" s="48">
        <f t="shared" si="11"/>
        <v>2.5706940874035134E-3</v>
      </c>
      <c r="AA113" s="5">
        <f>Z113-Y1274</f>
        <v>-1.6466253818706207E-3</v>
      </c>
      <c r="AD113" t="s">
        <v>355</v>
      </c>
      <c r="AE113">
        <v>126.53</v>
      </c>
      <c r="AF113" s="29">
        <f t="shared" si="12"/>
        <v>-1.6937300909020347E-2</v>
      </c>
    </row>
    <row r="114" spans="1:32">
      <c r="A114" s="3" t="s">
        <v>359</v>
      </c>
      <c r="B114" s="222">
        <v>74.3</v>
      </c>
      <c r="C114" s="227">
        <f t="shared" si="7"/>
        <v>2.3275030987467193E-2</v>
      </c>
      <c r="D114" s="5">
        <f>C114-C1275</f>
        <v>2.3196985417908305E-2</v>
      </c>
      <c r="E114" s="1"/>
      <c r="F114" s="8"/>
      <c r="H114" t="s">
        <v>358</v>
      </c>
      <c r="I114">
        <v>11.78</v>
      </c>
      <c r="J114" s="227">
        <f t="shared" si="8"/>
        <v>1.3769363166953541E-2</v>
      </c>
      <c r="K114" s="5">
        <f>J114-J1276</f>
        <v>1.1633407251343583E-2</v>
      </c>
      <c r="M114" s="240" t="s">
        <v>356</v>
      </c>
      <c r="N114">
        <v>5592.18</v>
      </c>
      <c r="O114" s="227">
        <f t="shared" si="9"/>
        <v>3.9342198442149368E-5</v>
      </c>
      <c r="P114" s="5">
        <f>O114-O1278</f>
        <v>4.0509939935532091E-4</v>
      </c>
      <c r="Q114" s="8">
        <f t="shared" si="13"/>
        <v>1.6410552335804177E-7</v>
      </c>
      <c r="S114" t="s">
        <v>356</v>
      </c>
      <c r="T114">
        <v>3.21</v>
      </c>
      <c r="U114" s="29">
        <f t="shared" si="10"/>
        <v>3.1249999999998224E-3</v>
      </c>
      <c r="V114" s="5">
        <f>U114-V1274</f>
        <v>1.3888092242927844E-3</v>
      </c>
      <c r="X114" s="1">
        <v>45635</v>
      </c>
      <c r="Y114">
        <v>3.94</v>
      </c>
      <c r="Z114" s="48">
        <f t="shared" si="11"/>
        <v>1.025641025641022E-2</v>
      </c>
      <c r="AA114" s="5">
        <f>Z114-Y1274</f>
        <v>6.0390907871360859E-3</v>
      </c>
      <c r="AD114" t="s">
        <v>356</v>
      </c>
      <c r="AE114">
        <v>127.16</v>
      </c>
      <c r="AF114" s="29">
        <f t="shared" si="12"/>
        <v>4.979056350272737E-3</v>
      </c>
    </row>
    <row r="115" spans="1:32">
      <c r="A115" s="3" t="s">
        <v>360</v>
      </c>
      <c r="B115" s="222">
        <v>73.31</v>
      </c>
      <c r="C115" s="227">
        <f t="shared" si="7"/>
        <v>-1.3324360699865312E-2</v>
      </c>
      <c r="D115" s="5">
        <f>C115-C1275</f>
        <v>-1.34024062694242E-2</v>
      </c>
      <c r="E115" s="1"/>
      <c r="F115" s="8"/>
      <c r="H115" t="s">
        <v>359</v>
      </c>
      <c r="I115">
        <v>11.68</v>
      </c>
      <c r="J115" s="227">
        <f t="shared" si="8"/>
        <v>-8.4889643463497144E-3</v>
      </c>
      <c r="K115" s="5">
        <f>J115-J1276</f>
        <v>-1.0624920261959672E-2</v>
      </c>
      <c r="M115" s="240" t="s">
        <v>357</v>
      </c>
      <c r="N115">
        <v>5625.8</v>
      </c>
      <c r="O115" s="227">
        <f t="shared" si="9"/>
        <v>6.0119667106566244E-3</v>
      </c>
      <c r="P115" s="5">
        <f>O115-O1278</f>
        <v>6.3777239115697963E-3</v>
      </c>
      <c r="Q115" s="8">
        <f t="shared" si="13"/>
        <v>4.0675362292209145E-5</v>
      </c>
      <c r="S115" t="s">
        <v>357</v>
      </c>
      <c r="T115">
        <v>3.24</v>
      </c>
      <c r="U115" s="29">
        <f t="shared" si="10"/>
        <v>9.3457943925234765E-3</v>
      </c>
      <c r="V115" s="5">
        <f>U115-V1274</f>
        <v>7.6096036168164386E-3</v>
      </c>
      <c r="X115" s="1">
        <v>45605</v>
      </c>
      <c r="Y115">
        <v>3.9</v>
      </c>
      <c r="Z115" s="48">
        <f t="shared" si="11"/>
        <v>-1.0152284263959421E-2</v>
      </c>
      <c r="AA115" s="5">
        <f>Z115-Y1274</f>
        <v>-1.4369603733233555E-2</v>
      </c>
      <c r="AD115" t="s">
        <v>357</v>
      </c>
      <c r="AE115">
        <v>128.47999999999999</v>
      </c>
      <c r="AF115" s="29">
        <f t="shared" si="12"/>
        <v>1.0380622837370179E-2</v>
      </c>
    </row>
    <row r="116" spans="1:32">
      <c r="A116" s="3" t="s">
        <v>361</v>
      </c>
      <c r="B116" s="222">
        <v>73.48</v>
      </c>
      <c r="C116" s="227">
        <f t="shared" si="7"/>
        <v>2.3189196562543035E-3</v>
      </c>
      <c r="D116" s="5">
        <f>C116-C1275</f>
        <v>2.2408740866954142E-3</v>
      </c>
      <c r="E116" s="1"/>
      <c r="F116" s="8"/>
      <c r="H116" t="s">
        <v>360</v>
      </c>
      <c r="I116">
        <v>11.47</v>
      </c>
      <c r="J116" s="227">
        <f t="shared" si="8"/>
        <v>-1.7979452054794454E-2</v>
      </c>
      <c r="K116" s="5">
        <f>J116-J1276</f>
        <v>-2.0115407970404411E-2</v>
      </c>
      <c r="M116" s="240" t="s">
        <v>358</v>
      </c>
      <c r="N116">
        <v>5616.84</v>
      </c>
      <c r="O116" s="227">
        <f t="shared" si="9"/>
        <v>-1.5926623769063619E-3</v>
      </c>
      <c r="P116" s="5">
        <f>O116-O1278</f>
        <v>-1.2269051759931904E-3</v>
      </c>
      <c r="Q116" s="8">
        <f t="shared" si="13"/>
        <v>1.5052963108788816E-6</v>
      </c>
      <c r="S116" t="s">
        <v>358</v>
      </c>
      <c r="T116">
        <v>3.24</v>
      </c>
      <c r="U116" s="29">
        <f t="shared" si="10"/>
        <v>0</v>
      </c>
      <c r="V116" s="5">
        <f>U116-V1274</f>
        <v>-1.736190775707038E-3</v>
      </c>
      <c r="X116" s="1">
        <v>45574</v>
      </c>
      <c r="Y116">
        <v>3.9</v>
      </c>
      <c r="Z116" s="48">
        <f t="shared" si="11"/>
        <v>0</v>
      </c>
      <c r="AA116" s="5">
        <f>Z116-Y1274</f>
        <v>-4.2173194692741341E-3</v>
      </c>
      <c r="AD116" t="s">
        <v>358</v>
      </c>
      <c r="AE116">
        <v>128.62</v>
      </c>
      <c r="AF116" s="29">
        <f t="shared" si="12"/>
        <v>1.0896637608968085E-3</v>
      </c>
    </row>
    <row r="117" spans="1:32">
      <c r="A117" s="3" t="s">
        <v>362</v>
      </c>
      <c r="B117" s="222">
        <v>73.31</v>
      </c>
      <c r="C117" s="227">
        <f t="shared" si="7"/>
        <v>-2.3135547087642649E-3</v>
      </c>
      <c r="D117" s="5">
        <f>C117-C1275</f>
        <v>-2.3916002783231543E-3</v>
      </c>
      <c r="E117" s="1"/>
      <c r="F117" s="8"/>
      <c r="H117" t="s">
        <v>361</v>
      </c>
      <c r="I117">
        <v>11.69</v>
      </c>
      <c r="J117" s="227">
        <f t="shared" si="8"/>
        <v>1.9180470793373816E-2</v>
      </c>
      <c r="K117" s="5">
        <f>J117-J1276</f>
        <v>1.7044514877763858E-2</v>
      </c>
      <c r="M117" s="240" t="s">
        <v>359</v>
      </c>
      <c r="N117">
        <v>5634.61</v>
      </c>
      <c r="O117" s="227">
        <f t="shared" si="9"/>
        <v>3.1637005860944978E-3</v>
      </c>
      <c r="P117" s="5">
        <f>O117-O1278</f>
        <v>3.5294577870076693E-3</v>
      </c>
      <c r="Q117" s="8">
        <f t="shared" si="13"/>
        <v>1.2457072270269074E-5</v>
      </c>
      <c r="S117" t="s">
        <v>359</v>
      </c>
      <c r="T117">
        <v>3.23</v>
      </c>
      <c r="U117" s="29">
        <f t="shared" si="10"/>
        <v>-3.0864197530865445E-3</v>
      </c>
      <c r="V117" s="5">
        <f>U117-V1274</f>
        <v>-4.8226105287935825E-3</v>
      </c>
      <c r="X117" s="1">
        <v>45544</v>
      </c>
      <c r="Y117">
        <v>3.93</v>
      </c>
      <c r="Z117" s="48">
        <f t="shared" si="11"/>
        <v>7.692307692307665E-3</v>
      </c>
      <c r="AA117" s="5">
        <f>Z117-Y1274</f>
        <v>3.4749882230335309E-3</v>
      </c>
      <c r="AD117" t="s">
        <v>359</v>
      </c>
      <c r="AE117">
        <v>128.81</v>
      </c>
      <c r="AF117" s="29">
        <f t="shared" si="12"/>
        <v>1.4772197169958812E-3</v>
      </c>
    </row>
    <row r="118" spans="1:32">
      <c r="A118" s="3" t="s">
        <v>363</v>
      </c>
      <c r="B118" s="222">
        <v>74.180000000000007</v>
      </c>
      <c r="C118" s="227">
        <f t="shared" si="7"/>
        <v>1.1867412358477658E-2</v>
      </c>
      <c r="D118" s="5">
        <f>C118-C1275</f>
        <v>1.178936678891877E-2</v>
      </c>
      <c r="E118" s="1"/>
      <c r="F118" s="8"/>
      <c r="H118" t="s">
        <v>362</v>
      </c>
      <c r="I118">
        <v>11.29</v>
      </c>
      <c r="J118" s="227">
        <f t="shared" si="8"/>
        <v>-3.4217279726261762E-2</v>
      </c>
      <c r="K118" s="5">
        <f>J118-J1276</f>
        <v>-3.635323564187172E-2</v>
      </c>
      <c r="M118" s="240" t="s">
        <v>360</v>
      </c>
      <c r="N118">
        <v>5570.64</v>
      </c>
      <c r="O118" s="227">
        <f t="shared" si="9"/>
        <v>-1.1353048391991472E-2</v>
      </c>
      <c r="P118" s="5">
        <f>O118-O1278</f>
        <v>-1.09872911910783E-2</v>
      </c>
      <c r="Q118" s="8">
        <f t="shared" si="13"/>
        <v>1.2072056771754682E-4</v>
      </c>
      <c r="S118" t="s">
        <v>360</v>
      </c>
      <c r="T118">
        <v>3.2</v>
      </c>
      <c r="U118" s="29">
        <f t="shared" si="10"/>
        <v>-9.2879256965943124E-3</v>
      </c>
      <c r="V118" s="5">
        <f>U118-V1274</f>
        <v>-1.1024116472301351E-2</v>
      </c>
      <c r="X118" s="1">
        <v>45452</v>
      </c>
      <c r="Y118">
        <v>3.92</v>
      </c>
      <c r="Z118" s="48">
        <f t="shared" si="11"/>
        <v>-2.5445292620865922E-3</v>
      </c>
      <c r="AA118" s="5">
        <f>Z118-Y1274</f>
        <v>-6.7618487313607263E-3</v>
      </c>
      <c r="AD118" t="s">
        <v>360</v>
      </c>
      <c r="AE118">
        <v>128.80000000000001</v>
      </c>
      <c r="AF118" s="29">
        <f t="shared" si="12"/>
        <v>-7.7633724089642975E-5</v>
      </c>
    </row>
    <row r="119" spans="1:32">
      <c r="A119" s="3" t="s">
        <v>364</v>
      </c>
      <c r="B119" s="222">
        <v>72.040000000000006</v>
      </c>
      <c r="C119" s="227">
        <f t="shared" si="7"/>
        <v>-2.8848746292801319E-2</v>
      </c>
      <c r="D119" s="5">
        <f>C119-C1275</f>
        <v>-2.8926791862360208E-2</v>
      </c>
      <c r="E119" s="1"/>
      <c r="F119" s="8"/>
      <c r="H119" t="s">
        <v>363</v>
      </c>
      <c r="I119">
        <v>11.6</v>
      </c>
      <c r="J119" s="227">
        <f t="shared" si="8"/>
        <v>2.7457927369353374E-2</v>
      </c>
      <c r="K119" s="5">
        <f>J119-J1276</f>
        <v>2.5321971453743417E-2</v>
      </c>
      <c r="M119" s="240" t="s">
        <v>361</v>
      </c>
      <c r="N119">
        <v>5620.85</v>
      </c>
      <c r="O119" s="227">
        <f t="shared" si="9"/>
        <v>9.0133270144903133E-3</v>
      </c>
      <c r="P119" s="5">
        <f>O119-O1278</f>
        <v>9.3790842154034843E-3</v>
      </c>
      <c r="Q119" s="8">
        <f t="shared" si="13"/>
        <v>8.7967220719630798E-5</v>
      </c>
      <c r="S119" t="s">
        <v>361</v>
      </c>
      <c r="T119">
        <v>3.21</v>
      </c>
      <c r="U119" s="29">
        <f t="shared" si="10"/>
        <v>3.1249999999998224E-3</v>
      </c>
      <c r="V119" s="5">
        <f>U119-V1274</f>
        <v>1.3888092242927844E-3</v>
      </c>
      <c r="X119" s="1">
        <v>45421</v>
      </c>
      <c r="Y119">
        <v>3.99</v>
      </c>
      <c r="Z119" s="48">
        <f t="shared" si="11"/>
        <v>1.7857142857143016E-2</v>
      </c>
      <c r="AA119" s="5">
        <f>Z119-Y1274</f>
        <v>1.3639823387868882E-2</v>
      </c>
      <c r="AD119" t="s">
        <v>361</v>
      </c>
      <c r="AE119">
        <v>129.44999999999999</v>
      </c>
      <c r="AF119" s="29">
        <f t="shared" si="12"/>
        <v>5.0465838509314853E-3</v>
      </c>
    </row>
    <row r="120" spans="1:32">
      <c r="A120" s="3" t="s">
        <v>365</v>
      </c>
      <c r="B120" s="222">
        <v>72.73</v>
      </c>
      <c r="C120" s="227">
        <f t="shared" si="7"/>
        <v>9.5780122154358605E-3</v>
      </c>
      <c r="D120" s="5">
        <f>C120-C1275</f>
        <v>9.499966645876972E-3</v>
      </c>
      <c r="F120" s="8"/>
      <c r="H120" t="s">
        <v>364</v>
      </c>
      <c r="I120">
        <v>11.2</v>
      </c>
      <c r="J120" s="227">
        <f t="shared" si="8"/>
        <v>-3.4482758620689724E-2</v>
      </c>
      <c r="K120" s="5">
        <f>J120-J1276</f>
        <v>-3.6618714536299682E-2</v>
      </c>
      <c r="M120" s="240" t="s">
        <v>362</v>
      </c>
      <c r="N120">
        <v>5597.12</v>
      </c>
      <c r="O120" s="227">
        <f t="shared" si="9"/>
        <v>-4.2217814031686451E-3</v>
      </c>
      <c r="P120" s="5">
        <f>O120-O1278</f>
        <v>-3.8560242022554737E-3</v>
      </c>
      <c r="Q120" s="8">
        <f t="shared" si="13"/>
        <v>1.4868922648379961E-5</v>
      </c>
      <c r="S120" t="s">
        <v>362</v>
      </c>
      <c r="T120">
        <v>3.23</v>
      </c>
      <c r="U120" s="29">
        <f t="shared" si="10"/>
        <v>6.230529595015577E-3</v>
      </c>
      <c r="V120" s="5">
        <f>U120-V1274</f>
        <v>4.494338819308539E-3</v>
      </c>
      <c r="X120" s="1">
        <v>45391</v>
      </c>
      <c r="Y120">
        <v>3.8</v>
      </c>
      <c r="Z120" s="48">
        <f t="shared" si="11"/>
        <v>-4.7619047619047672E-2</v>
      </c>
      <c r="AA120" s="5">
        <f>Z120-Y1274</f>
        <v>-5.1836367088321803E-2</v>
      </c>
      <c r="AD120" t="s">
        <v>362</v>
      </c>
      <c r="AE120">
        <v>127.54</v>
      </c>
      <c r="AF120" s="29">
        <f t="shared" si="12"/>
        <v>-1.4754731556585465E-2</v>
      </c>
    </row>
    <row r="121" spans="1:32">
      <c r="A121" s="3" t="s">
        <v>366</v>
      </c>
      <c r="B121" s="222">
        <v>71.930000000000007</v>
      </c>
      <c r="C121" s="227">
        <f t="shared" si="7"/>
        <v>-1.0999587515468146E-2</v>
      </c>
      <c r="D121" s="5">
        <f>C121-C1275</f>
        <v>-1.1077633085027034E-2</v>
      </c>
      <c r="F121" s="8"/>
      <c r="H121" t="s">
        <v>365</v>
      </c>
      <c r="I121">
        <v>10.81</v>
      </c>
      <c r="J121" s="227">
        <f t="shared" si="8"/>
        <v>-3.4821428571428448E-2</v>
      </c>
      <c r="K121" s="5">
        <f>J121-J1276</f>
        <v>-3.6957384487038406E-2</v>
      </c>
      <c r="M121" s="240" t="s">
        <v>363</v>
      </c>
      <c r="N121">
        <v>5608.25</v>
      </c>
      <c r="O121" s="227">
        <f t="shared" si="9"/>
        <v>1.9885226688010071E-3</v>
      </c>
      <c r="P121" s="5">
        <f>O121-O1278</f>
        <v>2.3542798697141786E-3</v>
      </c>
      <c r="Q121" s="8">
        <f t="shared" si="13"/>
        <v>5.5426337049414097E-6</v>
      </c>
      <c r="S121" t="s">
        <v>363</v>
      </c>
      <c r="T121">
        <v>3.33</v>
      </c>
      <c r="U121" s="29">
        <f t="shared" si="10"/>
        <v>3.095975232198156E-2</v>
      </c>
      <c r="V121" s="5">
        <f>U121-V1274</f>
        <v>2.9223561546274521E-2</v>
      </c>
      <c r="X121" s="1">
        <v>45360</v>
      </c>
      <c r="Y121">
        <v>3.76</v>
      </c>
      <c r="Z121" s="48">
        <f t="shared" si="11"/>
        <v>-1.0526315789473717E-2</v>
      </c>
      <c r="AA121" s="5">
        <f>Z121-Y1274</f>
        <v>-1.4743635258747851E-2</v>
      </c>
      <c r="AD121" t="s">
        <v>363</v>
      </c>
      <c r="AE121">
        <v>129.56</v>
      </c>
      <c r="AF121" s="29">
        <f t="shared" si="12"/>
        <v>1.5838168417751319E-2</v>
      </c>
    </row>
    <row r="122" spans="1:32">
      <c r="A122" s="3" t="s">
        <v>367</v>
      </c>
      <c r="B122" s="222">
        <v>71.06</v>
      </c>
      <c r="C122" s="227">
        <f t="shared" si="7"/>
        <v>-1.2095092450994049E-2</v>
      </c>
      <c r="D122" s="5">
        <f>C122-C1275</f>
        <v>-1.2173138020552938E-2</v>
      </c>
      <c r="F122" s="8"/>
      <c r="H122" t="s">
        <v>366</v>
      </c>
      <c r="I122">
        <v>10.08</v>
      </c>
      <c r="J122" s="227">
        <f t="shared" si="8"/>
        <v>-6.7530064754856678E-2</v>
      </c>
      <c r="K122" s="5">
        <f>J122-J1276</f>
        <v>-6.9666020670466636E-2</v>
      </c>
      <c r="M122" s="240" t="s">
        <v>364</v>
      </c>
      <c r="N122">
        <v>5554.25</v>
      </c>
      <c r="O122" s="227">
        <f t="shared" si="9"/>
        <v>-9.628672045646991E-3</v>
      </c>
      <c r="P122" s="5">
        <f>O122-O1278</f>
        <v>-9.2629148447338199E-3</v>
      </c>
      <c r="Q122" s="8">
        <f t="shared" si="13"/>
        <v>8.5801591420790163E-5</v>
      </c>
      <c r="S122" t="s">
        <v>364</v>
      </c>
      <c r="T122">
        <v>3.17</v>
      </c>
      <c r="U122" s="29">
        <f t="shared" si="10"/>
        <v>-4.8048048048048075E-2</v>
      </c>
      <c r="V122" s="5">
        <f>U122-V1274</f>
        <v>-4.9784238823755114E-2</v>
      </c>
      <c r="X122" t="s">
        <v>354</v>
      </c>
      <c r="Y122">
        <v>3.79</v>
      </c>
      <c r="Z122" s="48">
        <f t="shared" si="11"/>
        <v>7.9787234042554278E-3</v>
      </c>
      <c r="AA122" s="5">
        <f>Z122-Y1274</f>
        <v>3.7614039349812937E-3</v>
      </c>
      <c r="AD122" t="s">
        <v>364</v>
      </c>
      <c r="AE122">
        <v>129.03</v>
      </c>
      <c r="AF122" s="29">
        <f t="shared" si="12"/>
        <v>-4.0907687557888428E-3</v>
      </c>
    </row>
    <row r="123" spans="1:32">
      <c r="A123" s="220">
        <v>45634</v>
      </c>
      <c r="B123" s="222">
        <v>69.260000000000005</v>
      </c>
      <c r="C123" s="227">
        <f t="shared" si="7"/>
        <v>-2.5330706445257478E-2</v>
      </c>
      <c r="D123" s="5">
        <f>C123-C1275</f>
        <v>-2.5408752014816367E-2</v>
      </c>
      <c r="F123" s="8"/>
      <c r="H123" t="s">
        <v>367</v>
      </c>
      <c r="I123">
        <v>10.06</v>
      </c>
      <c r="J123" s="227">
        <f t="shared" si="8"/>
        <v>-1.9841269841269771E-3</v>
      </c>
      <c r="K123" s="5">
        <f>J123-J1276</f>
        <v>-4.1200828997369349E-3</v>
      </c>
      <c r="M123" s="240" t="s">
        <v>365</v>
      </c>
      <c r="N123">
        <v>5543.22</v>
      </c>
      <c r="O123" s="227">
        <f t="shared" si="9"/>
        <v>-1.9858666786694013E-3</v>
      </c>
      <c r="P123" s="5">
        <f>O123-O1278</f>
        <v>-1.6201094777562298E-3</v>
      </c>
      <c r="Q123" s="8">
        <f t="shared" si="13"/>
        <v>2.6247547199155634E-6</v>
      </c>
      <c r="S123" t="s">
        <v>365</v>
      </c>
      <c r="T123">
        <v>3.12</v>
      </c>
      <c r="U123" s="29">
        <f t="shared" si="10"/>
        <v>-1.577287066246047E-2</v>
      </c>
      <c r="V123" s="5">
        <f>U123-V1274</f>
        <v>-1.7509061438167509E-2</v>
      </c>
      <c r="X123" t="s">
        <v>355</v>
      </c>
      <c r="Y123">
        <v>3.59</v>
      </c>
      <c r="Z123" s="48">
        <f t="shared" si="11"/>
        <v>-5.2770448548812743E-2</v>
      </c>
      <c r="AA123" s="5">
        <f>Z123-Y1274</f>
        <v>-5.6987768018086873E-2</v>
      </c>
      <c r="AD123" t="s">
        <v>365</v>
      </c>
      <c r="AE123">
        <v>130.29</v>
      </c>
      <c r="AF123" s="29">
        <f t="shared" si="12"/>
        <v>9.7651708904904488E-3</v>
      </c>
    </row>
    <row r="124" spans="1:32">
      <c r="A124" s="220">
        <v>45543</v>
      </c>
      <c r="B124" s="222">
        <v>68.540000000000006</v>
      </c>
      <c r="C124" s="227">
        <f t="shared" si="7"/>
        <v>-1.0395610742131134E-2</v>
      </c>
      <c r="D124" s="5">
        <f>C124-C1275</f>
        <v>-1.0473656311690022E-2</v>
      </c>
      <c r="F124" s="8"/>
      <c r="H124" s="1">
        <v>45634</v>
      </c>
      <c r="I124">
        <v>9.7100000000000009</v>
      </c>
      <c r="J124" s="227">
        <f t="shared" si="8"/>
        <v>-3.4791252485089408E-2</v>
      </c>
      <c r="K124" s="5">
        <f>J124-J1276</f>
        <v>-3.6927208400699366E-2</v>
      </c>
      <c r="M124" s="240" t="s">
        <v>366</v>
      </c>
      <c r="N124">
        <v>5455.21</v>
      </c>
      <c r="O124" s="227">
        <f t="shared" si="9"/>
        <v>-1.5877053409390274E-2</v>
      </c>
      <c r="P124" s="5">
        <f>O124-O1278</f>
        <v>-1.5511296208477103E-2</v>
      </c>
      <c r="Q124" s="8">
        <f t="shared" si="13"/>
        <v>2.4060031006711615E-4</v>
      </c>
      <c r="S124" t="s">
        <v>366</v>
      </c>
      <c r="T124">
        <v>3.37</v>
      </c>
      <c r="U124" s="29">
        <f t="shared" si="10"/>
        <v>8.0128205128205066E-2</v>
      </c>
      <c r="V124" s="5">
        <f>U124-V1274</f>
        <v>7.8392014352498027E-2</v>
      </c>
      <c r="X124" t="s">
        <v>356</v>
      </c>
      <c r="Y124">
        <v>3.69</v>
      </c>
      <c r="Z124" s="48">
        <f t="shared" si="11"/>
        <v>2.7855153203342642E-2</v>
      </c>
      <c r="AA124" s="5">
        <f>Z124-Y1274</f>
        <v>2.3637833734068508E-2</v>
      </c>
      <c r="AD124" t="s">
        <v>366</v>
      </c>
      <c r="AE124">
        <v>126.93</v>
      </c>
      <c r="AF124" s="29">
        <f t="shared" si="12"/>
        <v>-2.5788625374165264E-2</v>
      </c>
    </row>
    <row r="125" spans="1:32">
      <c r="A125" s="220">
        <v>45512</v>
      </c>
      <c r="B125" s="222">
        <v>69.010000000000005</v>
      </c>
      <c r="C125" s="227">
        <f t="shared" si="7"/>
        <v>6.8573096002333411E-3</v>
      </c>
      <c r="D125" s="5">
        <f>C125-C1275</f>
        <v>6.7792640306744518E-3</v>
      </c>
      <c r="F125" s="8"/>
      <c r="H125" s="1">
        <v>45543</v>
      </c>
      <c r="I125">
        <v>9.76</v>
      </c>
      <c r="J125" s="227">
        <f t="shared" si="8"/>
        <v>5.1493305870236039E-3</v>
      </c>
      <c r="K125" s="5">
        <f>J125-J1276</f>
        <v>3.0133746714136461E-3</v>
      </c>
      <c r="M125" s="240" t="s">
        <v>367</v>
      </c>
      <c r="N125">
        <v>5434.43</v>
      </c>
      <c r="O125" s="227">
        <f t="shared" si="9"/>
        <v>-3.8092025788191153E-3</v>
      </c>
      <c r="P125" s="5">
        <f>O125-O1278</f>
        <v>-3.4434453779059438E-3</v>
      </c>
      <c r="Q125" s="8">
        <f t="shared" si="13"/>
        <v>1.1857316070621809E-5</v>
      </c>
      <c r="S125" t="s">
        <v>367</v>
      </c>
      <c r="T125">
        <v>3.37</v>
      </c>
      <c r="U125" s="29">
        <f t="shared" si="10"/>
        <v>0</v>
      </c>
      <c r="V125" s="5">
        <f>U125-V1274</f>
        <v>-1.736190775707038E-3</v>
      </c>
      <c r="X125" t="s">
        <v>357</v>
      </c>
      <c r="Y125">
        <v>3.84</v>
      </c>
      <c r="Z125" s="48">
        <f t="shared" si="11"/>
        <v>4.0650406504064929E-2</v>
      </c>
      <c r="AA125" s="5">
        <f>Z125-Y1274</f>
        <v>3.6433087034790798E-2</v>
      </c>
      <c r="AD125" t="s">
        <v>367</v>
      </c>
      <c r="AE125">
        <v>127.94</v>
      </c>
      <c r="AF125" s="29">
        <f t="shared" si="12"/>
        <v>7.9571417316630644E-3</v>
      </c>
    </row>
    <row r="126" spans="1:32">
      <c r="A126" s="220">
        <v>45481</v>
      </c>
      <c r="B126" s="222">
        <v>65.540000000000006</v>
      </c>
      <c r="C126" s="227">
        <f t="shared" si="7"/>
        <v>-5.028256774380524E-2</v>
      </c>
      <c r="D126" s="5">
        <f>C126-C1275</f>
        <v>-5.0360613313364132E-2</v>
      </c>
      <c r="F126" s="8"/>
      <c r="H126" s="1">
        <v>45512</v>
      </c>
      <c r="I126">
        <v>10.07</v>
      </c>
      <c r="J126" s="227">
        <f t="shared" si="8"/>
        <v>3.1762295081967373E-2</v>
      </c>
      <c r="K126" s="5">
        <f>J126-J1276</f>
        <v>2.9626339166357415E-2</v>
      </c>
      <c r="M126" s="241">
        <v>45634</v>
      </c>
      <c r="N126">
        <v>5344.39</v>
      </c>
      <c r="O126" s="227">
        <f t="shared" si="9"/>
        <v>-1.6568434960060219E-2</v>
      </c>
      <c r="P126" s="5">
        <f>O126-O1278</f>
        <v>-1.6202677759147046E-2</v>
      </c>
      <c r="Q126" s="8">
        <f t="shared" si="13"/>
        <v>2.6252676656675833E-4</v>
      </c>
      <c r="S126" s="1">
        <v>45634</v>
      </c>
      <c r="T126">
        <v>3.26</v>
      </c>
      <c r="U126" s="29">
        <f t="shared" si="10"/>
        <v>-3.264094955489627E-2</v>
      </c>
      <c r="V126" s="5">
        <f>U126-V1274</f>
        <v>-3.4377140330603309E-2</v>
      </c>
      <c r="X126" t="s">
        <v>358</v>
      </c>
      <c r="Y126">
        <v>3.8</v>
      </c>
      <c r="Z126" s="48">
        <f t="shared" si="11"/>
        <v>-1.041666666666663E-2</v>
      </c>
      <c r="AA126" s="5">
        <f>Z126-Y1274</f>
        <v>-1.4633986135940764E-2</v>
      </c>
      <c r="AD126" s="1">
        <v>45634</v>
      </c>
      <c r="AE126">
        <v>124.04</v>
      </c>
      <c r="AF126" s="29">
        <f t="shared" si="12"/>
        <v>-3.0483038924495776E-2</v>
      </c>
    </row>
    <row r="127" spans="1:32">
      <c r="A127" s="220">
        <v>45451</v>
      </c>
      <c r="B127" s="222">
        <v>64.87</v>
      </c>
      <c r="C127" s="227">
        <f t="shared" si="7"/>
        <v>-1.0222764723832767E-2</v>
      </c>
      <c r="D127" s="5">
        <f>C127-C1275</f>
        <v>-1.0300810293391655E-2</v>
      </c>
      <c r="F127" s="8"/>
      <c r="H127" s="1">
        <v>45481</v>
      </c>
      <c r="I127">
        <v>9.08</v>
      </c>
      <c r="J127" s="227">
        <f t="shared" si="8"/>
        <v>-9.8311817279046698E-2</v>
      </c>
      <c r="K127" s="5">
        <f>J127-J1276</f>
        <v>-0.10044777319465666</v>
      </c>
      <c r="M127" s="241">
        <v>45543</v>
      </c>
      <c r="N127">
        <v>5344.16</v>
      </c>
      <c r="O127" s="227">
        <f t="shared" si="9"/>
        <v>-4.3035781445710519E-5</v>
      </c>
      <c r="P127" s="5">
        <f>O127-O1278</f>
        <v>3.2272141946746103E-4</v>
      </c>
      <c r="Q127" s="8">
        <f t="shared" si="13"/>
        <v>1.0414911458309293E-7</v>
      </c>
      <c r="S127" s="1">
        <v>45543</v>
      </c>
      <c r="T127">
        <v>3.24</v>
      </c>
      <c r="U127" s="29">
        <f t="shared" si="10"/>
        <v>-6.1349693251532278E-3</v>
      </c>
      <c r="V127" s="5">
        <f>U127-V1274</f>
        <v>-7.8711601008602666E-3</v>
      </c>
      <c r="X127" t="s">
        <v>359</v>
      </c>
      <c r="Y127">
        <v>3.89</v>
      </c>
      <c r="Z127" s="48">
        <f t="shared" si="11"/>
        <v>2.3684210526315974E-2</v>
      </c>
      <c r="AA127" s="5">
        <f>Z127-Y1274</f>
        <v>1.946689105704184E-2</v>
      </c>
      <c r="AD127" s="1">
        <v>45543</v>
      </c>
      <c r="AE127">
        <v>123.81</v>
      </c>
      <c r="AF127" s="29">
        <f t="shared" si="12"/>
        <v>-1.8542405675588958E-3</v>
      </c>
    </row>
    <row r="128" spans="1:32">
      <c r="A128" s="220">
        <v>45420</v>
      </c>
      <c r="B128" s="222">
        <v>58.48</v>
      </c>
      <c r="C128" s="227">
        <f t="shared" si="7"/>
        <v>-9.8504701711114695E-2</v>
      </c>
      <c r="D128" s="5">
        <f>C128-C1275</f>
        <v>-9.858274728067358E-2</v>
      </c>
      <c r="F128" s="8"/>
      <c r="H128" s="1">
        <v>45451</v>
      </c>
      <c r="I128">
        <v>10.97</v>
      </c>
      <c r="J128" s="227">
        <f t="shared" si="8"/>
        <v>0.20814977973568283</v>
      </c>
      <c r="K128" s="5">
        <f>J128-J1276</f>
        <v>0.20601382382007288</v>
      </c>
      <c r="M128" s="241">
        <v>45512</v>
      </c>
      <c r="N128">
        <v>5319.31</v>
      </c>
      <c r="O128" s="227">
        <f t="shared" si="9"/>
        <v>-4.6499356306696216E-3</v>
      </c>
      <c r="P128" s="5">
        <f>O128-O1278</f>
        <v>-4.2841784297564496E-3</v>
      </c>
      <c r="Q128" s="8">
        <f t="shared" si="13"/>
        <v>1.8354184817990438E-5</v>
      </c>
      <c r="S128" s="1">
        <v>45512</v>
      </c>
      <c r="T128">
        <v>3.23</v>
      </c>
      <c r="U128" s="29">
        <f t="shared" si="10"/>
        <v>-3.0864197530865445E-3</v>
      </c>
      <c r="V128" s="5">
        <f>U128-V1274</f>
        <v>-4.8226105287935825E-3</v>
      </c>
      <c r="X128" t="s">
        <v>360</v>
      </c>
      <c r="Y128">
        <v>3.87</v>
      </c>
      <c r="Z128" s="48">
        <f t="shared" si="11"/>
        <v>-5.1413881748072487E-3</v>
      </c>
      <c r="AA128" s="5">
        <f>Z128-Y1274</f>
        <v>-9.3587076440813828E-3</v>
      </c>
      <c r="AD128" s="1">
        <v>45512</v>
      </c>
      <c r="AE128">
        <v>124.76</v>
      </c>
      <c r="AF128" s="29">
        <f t="shared" si="12"/>
        <v>7.6730474113562153E-3</v>
      </c>
    </row>
    <row r="129" spans="1:32">
      <c r="A129" s="220">
        <v>45330</v>
      </c>
      <c r="B129" s="222">
        <v>58.99</v>
      </c>
      <c r="C129" s="227">
        <f t="shared" si="7"/>
        <v>8.720930232558155E-3</v>
      </c>
      <c r="D129" s="5">
        <f>C129-C1275</f>
        <v>8.6428846629992666E-3</v>
      </c>
      <c r="F129" s="8"/>
      <c r="H129" s="1">
        <v>45420</v>
      </c>
      <c r="I129">
        <v>10.57</v>
      </c>
      <c r="J129" s="227">
        <f t="shared" si="8"/>
        <v>-3.6463081130355568E-2</v>
      </c>
      <c r="K129" s="5">
        <f>J129-J1276</f>
        <v>-3.8599037045965526E-2</v>
      </c>
      <c r="M129" s="241">
        <v>45481</v>
      </c>
      <c r="N129">
        <v>5199.5</v>
      </c>
      <c r="O129" s="227">
        <f t="shared" si="9"/>
        <v>-2.2523597985453114E-2</v>
      </c>
      <c r="P129" s="5">
        <f>O129-O1278</f>
        <v>-2.2157840784539942E-2</v>
      </c>
      <c r="Q129" s="8">
        <f t="shared" si="13"/>
        <v>4.9096990823302162E-4</v>
      </c>
      <c r="S129" s="1">
        <v>45481</v>
      </c>
      <c r="T129">
        <v>3.17</v>
      </c>
      <c r="U129" s="29">
        <f t="shared" si="10"/>
        <v>-1.8575851393188847E-2</v>
      </c>
      <c r="V129" s="5">
        <f>U129-V1274</f>
        <v>-2.0312042168895886E-2</v>
      </c>
      <c r="X129" t="s">
        <v>361</v>
      </c>
      <c r="Y129">
        <v>3.96</v>
      </c>
      <c r="Z129" s="48">
        <f t="shared" si="11"/>
        <v>2.3255813953488413E-2</v>
      </c>
      <c r="AA129" s="5">
        <f>Z129-Y1274</f>
        <v>1.9038494484214279E-2</v>
      </c>
      <c r="AD129" s="1">
        <v>45481</v>
      </c>
      <c r="AE129">
        <v>121.49</v>
      </c>
      <c r="AF129" s="29">
        <f t="shared" si="12"/>
        <v>-2.6210323821737824E-2</v>
      </c>
    </row>
    <row r="130" spans="1:32">
      <c r="A130" s="220">
        <v>45299</v>
      </c>
      <c r="B130" s="222">
        <v>61.02</v>
      </c>
      <c r="C130" s="227">
        <f t="shared" si="7"/>
        <v>3.4412612307170631E-2</v>
      </c>
      <c r="D130" s="5">
        <f>C130-C1275</f>
        <v>3.4334566737611739E-2</v>
      </c>
      <c r="F130" s="8"/>
      <c r="H130" s="1">
        <v>45330</v>
      </c>
      <c r="I130">
        <v>10.92</v>
      </c>
      <c r="J130" s="227">
        <f t="shared" si="8"/>
        <v>3.3112582781456901E-2</v>
      </c>
      <c r="K130" s="5">
        <f>J130-J1276</f>
        <v>3.0976626865846943E-2</v>
      </c>
      <c r="M130" s="241">
        <v>45451</v>
      </c>
      <c r="N130">
        <v>5240.03</v>
      </c>
      <c r="O130" s="227">
        <f t="shared" si="9"/>
        <v>7.7949802865660001E-3</v>
      </c>
      <c r="P130" s="5">
        <f>O130-O1278</f>
        <v>8.1607374874791711E-3</v>
      </c>
      <c r="Q130" s="8">
        <f t="shared" si="13"/>
        <v>6.6597636339547854E-5</v>
      </c>
      <c r="S130" s="1">
        <v>45451</v>
      </c>
      <c r="T130">
        <v>3.17</v>
      </c>
      <c r="U130" s="29">
        <f t="shared" si="10"/>
        <v>0</v>
      </c>
      <c r="V130" s="5">
        <f>U130-V1274</f>
        <v>-1.736190775707038E-3</v>
      </c>
      <c r="X130" t="s">
        <v>362</v>
      </c>
      <c r="Y130">
        <v>3.87</v>
      </c>
      <c r="Z130" s="48">
        <f t="shared" si="11"/>
        <v>-2.2727272727272707E-2</v>
      </c>
      <c r="AA130" s="5">
        <f>Z130-Y1274</f>
        <v>-2.6944592196546841E-2</v>
      </c>
      <c r="AD130" s="1">
        <v>45451</v>
      </c>
      <c r="AE130">
        <v>122.64</v>
      </c>
      <c r="AF130" s="29">
        <f t="shared" si="12"/>
        <v>9.465799654292617E-3</v>
      </c>
    </row>
    <row r="131" spans="1:32">
      <c r="A131" s="3" t="s">
        <v>368</v>
      </c>
      <c r="B131" s="222">
        <v>64.47</v>
      </c>
      <c r="C131" s="227">
        <f t="shared" si="7"/>
        <v>5.6538839724680434E-2</v>
      </c>
      <c r="D131" s="5">
        <f>C131-C1275</f>
        <v>5.6460794155121542E-2</v>
      </c>
      <c r="F131" s="8"/>
      <c r="H131" s="1">
        <v>45299</v>
      </c>
      <c r="I131">
        <v>11.42</v>
      </c>
      <c r="J131" s="227">
        <f t="shared" si="8"/>
        <v>4.5787545787545847E-2</v>
      </c>
      <c r="K131" s="5">
        <f>J131-J1276</f>
        <v>4.3651589871935889E-2</v>
      </c>
      <c r="M131" s="241">
        <v>45420</v>
      </c>
      <c r="N131">
        <v>5186.33</v>
      </c>
      <c r="O131" s="227">
        <f t="shared" si="9"/>
        <v>-1.0248032931109097E-2</v>
      </c>
      <c r="P131" s="5">
        <f>O131-O1278</f>
        <v>-9.8822757301959257E-3</v>
      </c>
      <c r="Q131" s="8">
        <f t="shared" si="13"/>
        <v>9.7659373607619418E-5</v>
      </c>
      <c r="S131" s="1">
        <v>45420</v>
      </c>
      <c r="T131">
        <v>3.22</v>
      </c>
      <c r="U131" s="29">
        <f t="shared" si="10"/>
        <v>1.5772870662460692E-2</v>
      </c>
      <c r="V131" s="5">
        <f>U131-V1274</f>
        <v>1.4036679886753653E-2</v>
      </c>
      <c r="X131" t="s">
        <v>363</v>
      </c>
      <c r="Y131">
        <v>3.95</v>
      </c>
      <c r="Z131" s="48">
        <f t="shared" si="11"/>
        <v>2.067183462532296E-2</v>
      </c>
      <c r="AA131" s="5">
        <f>Z131-Y1274</f>
        <v>1.6454515156048826E-2</v>
      </c>
      <c r="AD131" s="1">
        <v>45420</v>
      </c>
      <c r="AE131">
        <v>121.3</v>
      </c>
      <c r="AF131" s="29">
        <f t="shared" si="12"/>
        <v>-1.0926288323548583E-2</v>
      </c>
    </row>
    <row r="132" spans="1:32">
      <c r="A132" s="3" t="s">
        <v>369</v>
      </c>
      <c r="B132" s="222">
        <v>63.09</v>
      </c>
      <c r="C132" s="227">
        <f t="shared" si="7"/>
        <v>-2.1405304792926905E-2</v>
      </c>
      <c r="D132" s="5">
        <f>C132-C1275</f>
        <v>-2.1483350362485793E-2</v>
      </c>
      <c r="F132" s="8"/>
      <c r="H132" t="s">
        <v>368</v>
      </c>
      <c r="I132">
        <v>12.05</v>
      </c>
      <c r="J132" s="227">
        <f t="shared" si="8"/>
        <v>5.5166374781085992E-2</v>
      </c>
      <c r="K132" s="5">
        <f>J132-J1276</f>
        <v>5.3030418865476034E-2</v>
      </c>
      <c r="M132" s="241">
        <v>45330</v>
      </c>
      <c r="N132">
        <v>5346.56</v>
      </c>
      <c r="O132" s="227">
        <f t="shared" si="9"/>
        <v>3.0894678896252303E-2</v>
      </c>
      <c r="P132" s="5">
        <f>O132-O1278</f>
        <v>3.1260436097165473E-2</v>
      </c>
      <c r="Q132" s="8">
        <f t="shared" si="13"/>
        <v>9.7721486498496615E-4</v>
      </c>
      <c r="S132" s="1">
        <v>45330</v>
      </c>
      <c r="T132">
        <v>3.24</v>
      </c>
      <c r="U132" s="29">
        <f t="shared" si="10"/>
        <v>6.2111801242235032E-3</v>
      </c>
      <c r="V132" s="5">
        <f>U132-V1274</f>
        <v>4.4749893485164652E-3</v>
      </c>
      <c r="X132" t="s">
        <v>364</v>
      </c>
      <c r="Y132">
        <v>4</v>
      </c>
      <c r="Z132" s="48">
        <f t="shared" si="11"/>
        <v>1.2658227848101111E-2</v>
      </c>
      <c r="AA132" s="5">
        <f>Z132-Y1274</f>
        <v>8.4409083788269772E-3</v>
      </c>
      <c r="AD132" s="1">
        <v>45330</v>
      </c>
      <c r="AE132">
        <v>117.23</v>
      </c>
      <c r="AF132" s="29">
        <f t="shared" si="12"/>
        <v>-3.3553173948887016E-2</v>
      </c>
    </row>
    <row r="133" spans="1:32">
      <c r="A133" s="3" t="s">
        <v>370</v>
      </c>
      <c r="B133" s="222">
        <v>63.76</v>
      </c>
      <c r="C133" s="227">
        <f t="shared" si="7"/>
        <v>1.0619749564114711E-2</v>
      </c>
      <c r="D133" s="5">
        <f>C133-C1275</f>
        <v>1.0541703994555823E-2</v>
      </c>
      <c r="E133" s="1"/>
      <c r="F133" s="8"/>
      <c r="H133" t="s">
        <v>369</v>
      </c>
      <c r="I133">
        <v>11.94</v>
      </c>
      <c r="J133" s="227">
        <f t="shared" si="8"/>
        <v>-9.1286307053942695E-3</v>
      </c>
      <c r="K133" s="5">
        <f>J133-J1276</f>
        <v>-1.1264586621004227E-2</v>
      </c>
      <c r="M133" s="241">
        <v>45299</v>
      </c>
      <c r="N133">
        <v>5446.68</v>
      </c>
      <c r="O133" s="227">
        <f t="shared" si="9"/>
        <v>1.8726059372755621E-2</v>
      </c>
      <c r="P133" s="5">
        <f>O133-O1278</f>
        <v>1.9091816573668794E-2</v>
      </c>
      <c r="Q133" s="8">
        <f t="shared" si="13"/>
        <v>3.6449746008261445E-4</v>
      </c>
      <c r="S133" s="1">
        <v>45299</v>
      </c>
      <c r="T133">
        <v>3.24</v>
      </c>
      <c r="U133" s="29">
        <f t="shared" si="10"/>
        <v>0</v>
      </c>
      <c r="V133" s="5">
        <f>U133-V1274</f>
        <v>-1.736190775707038E-3</v>
      </c>
      <c r="X133" t="s">
        <v>365</v>
      </c>
      <c r="Y133">
        <v>3.91</v>
      </c>
      <c r="Z133" s="48">
        <f t="shared" si="11"/>
        <v>-2.2499999999999964E-2</v>
      </c>
      <c r="AA133" s="5">
        <f>Z133-Y1274</f>
        <v>-2.6717319469274099E-2</v>
      </c>
      <c r="AD133" s="1">
        <v>45299</v>
      </c>
      <c r="AE133">
        <v>108.2</v>
      </c>
      <c r="AF133" s="29">
        <f t="shared" si="12"/>
        <v>-7.7028064488612102E-2</v>
      </c>
    </row>
    <row r="134" spans="1:32">
      <c r="A134" s="3" t="s">
        <v>371</v>
      </c>
      <c r="B134" s="222">
        <v>64.400000000000006</v>
      </c>
      <c r="C134" s="227">
        <f t="shared" si="7"/>
        <v>1.0037641154328814E-2</v>
      </c>
      <c r="D134" s="5">
        <f>C134-C1275</f>
        <v>9.9595955847699251E-3</v>
      </c>
      <c r="E134" s="1"/>
      <c r="F134" s="8"/>
      <c r="H134" t="s">
        <v>370</v>
      </c>
      <c r="I134">
        <v>12.1</v>
      </c>
      <c r="J134" s="227">
        <f t="shared" si="8"/>
        <v>1.3400335008375119E-2</v>
      </c>
      <c r="K134" s="5">
        <f>J134-J1276</f>
        <v>1.1264379092765162E-2</v>
      </c>
      <c r="M134" s="240" t="s">
        <v>368</v>
      </c>
      <c r="N134">
        <v>5522.3</v>
      </c>
      <c r="O134" s="227">
        <f t="shared" si="9"/>
        <v>1.3883686943238827E-2</v>
      </c>
      <c r="P134" s="5">
        <f>O134-O1278</f>
        <v>1.4249444144151998E-2</v>
      </c>
      <c r="Q134" s="8">
        <f t="shared" si="13"/>
        <v>2.0304665841730765E-4</v>
      </c>
      <c r="S134" t="s">
        <v>368</v>
      </c>
      <c r="T134">
        <v>3.3</v>
      </c>
      <c r="U134" s="29">
        <f t="shared" si="10"/>
        <v>1.8518518518518379E-2</v>
      </c>
      <c r="V134" s="5">
        <f>U134-V1274</f>
        <v>1.678232774281134E-2</v>
      </c>
      <c r="X134" t="s">
        <v>366</v>
      </c>
      <c r="Y134">
        <v>3.91</v>
      </c>
      <c r="Z134" s="48">
        <f t="shared" si="11"/>
        <v>0</v>
      </c>
      <c r="AA134" s="5">
        <f>Z134-Y1274</f>
        <v>-4.2173194692741341E-3</v>
      </c>
      <c r="AD134" t="s">
        <v>368</v>
      </c>
      <c r="AE134">
        <v>110.72</v>
      </c>
      <c r="AF134" s="29">
        <f t="shared" si="12"/>
        <v>2.3290203327171799E-2</v>
      </c>
    </row>
    <row r="135" spans="1:32">
      <c r="A135" s="3" t="s">
        <v>372</v>
      </c>
      <c r="B135" s="222">
        <v>65.739999999999995</v>
      </c>
      <c r="C135" s="227">
        <f t="shared" si="7"/>
        <v>2.0807453416148869E-2</v>
      </c>
      <c r="D135" s="5">
        <f>C135-C1275</f>
        <v>2.072940784658998E-2</v>
      </c>
      <c r="E135" s="1"/>
      <c r="F135" s="8"/>
      <c r="H135" t="s">
        <v>371</v>
      </c>
      <c r="I135">
        <v>12.23</v>
      </c>
      <c r="J135" s="227">
        <f t="shared" si="8"/>
        <v>1.0743801652892682E-2</v>
      </c>
      <c r="K135" s="5">
        <f>J135-J1276</f>
        <v>8.6078457372827238E-3</v>
      </c>
      <c r="M135" s="240" t="s">
        <v>369</v>
      </c>
      <c r="N135">
        <v>5436.44</v>
      </c>
      <c r="O135" s="227">
        <f t="shared" si="9"/>
        <v>-1.5547869547109072E-2</v>
      </c>
      <c r="P135" s="5">
        <f>O135-O1278</f>
        <v>-1.5182112346195901E-2</v>
      </c>
      <c r="Q135" s="8">
        <f t="shared" si="13"/>
        <v>2.3049653529251402E-4</v>
      </c>
      <c r="S135" t="s">
        <v>369</v>
      </c>
      <c r="T135">
        <v>3.3</v>
      </c>
      <c r="U135" s="29">
        <f t="shared" si="10"/>
        <v>0</v>
      </c>
      <c r="V135" s="5">
        <f>U135-V1274</f>
        <v>-1.736190775707038E-3</v>
      </c>
      <c r="X135" t="s">
        <v>367</v>
      </c>
      <c r="Y135">
        <v>3.95</v>
      </c>
      <c r="Z135" s="48">
        <f t="shared" si="11"/>
        <v>1.0230179028132946E-2</v>
      </c>
      <c r="AA135" s="5">
        <f>Z135-Y1274</f>
        <v>6.0128595588588123E-3</v>
      </c>
      <c r="AD135" t="s">
        <v>369</v>
      </c>
      <c r="AE135">
        <v>107.21</v>
      </c>
      <c r="AF135" s="29">
        <f t="shared" si="12"/>
        <v>-3.1701589595375723E-2</v>
      </c>
    </row>
    <row r="136" spans="1:32">
      <c r="A136" s="3" t="s">
        <v>373</v>
      </c>
      <c r="B136" s="222">
        <v>66.14</v>
      </c>
      <c r="C136" s="227">
        <f t="shared" si="7"/>
        <v>6.0845756008518492E-3</v>
      </c>
      <c r="D136" s="5">
        <f>C136-C1275</f>
        <v>6.0065300312929599E-3</v>
      </c>
      <c r="E136" s="1"/>
      <c r="F136" s="8"/>
      <c r="H136" t="s">
        <v>372</v>
      </c>
      <c r="I136">
        <v>12.21</v>
      </c>
      <c r="J136" s="227">
        <f t="shared" si="8"/>
        <v>-1.6353229762877675E-3</v>
      </c>
      <c r="K136" s="5">
        <f>J136-J1276</f>
        <v>-3.7712788918977252E-3</v>
      </c>
      <c r="M136" s="240" t="s">
        <v>370</v>
      </c>
      <c r="N136">
        <v>5463.54</v>
      </c>
      <c r="O136" s="227">
        <f t="shared" si="9"/>
        <v>4.9848798110527781E-3</v>
      </c>
      <c r="P136" s="5">
        <f>O136-O1278</f>
        <v>5.35063701196595E-3</v>
      </c>
      <c r="Q136" s="8">
        <f t="shared" si="13"/>
        <v>2.8629316433819909E-5</v>
      </c>
      <c r="S136" t="s">
        <v>370</v>
      </c>
      <c r="T136">
        <v>3.31</v>
      </c>
      <c r="U136" s="29">
        <f t="shared" si="10"/>
        <v>3.0303030303031608E-3</v>
      </c>
      <c r="V136" s="5">
        <f>U136-V1274</f>
        <v>1.2941122545961229E-3</v>
      </c>
      <c r="X136" s="1">
        <v>45634</v>
      </c>
      <c r="Y136">
        <v>3.72</v>
      </c>
      <c r="Z136" s="48">
        <f t="shared" si="11"/>
        <v>-5.82278481012658E-2</v>
      </c>
      <c r="AA136" s="5">
        <f>Z136-Y1274</f>
        <v>-6.2445167570539931E-2</v>
      </c>
      <c r="AD136" t="s">
        <v>370</v>
      </c>
      <c r="AE136">
        <v>105.99</v>
      </c>
      <c r="AF136" s="29">
        <f t="shared" si="12"/>
        <v>-1.1379535491092274E-2</v>
      </c>
    </row>
    <row r="137" spans="1:32">
      <c r="A137" s="3" t="s">
        <v>374</v>
      </c>
      <c r="B137" s="222">
        <v>67.52</v>
      </c>
      <c r="C137" s="227">
        <f t="shared" si="7"/>
        <v>2.0864832174176007E-2</v>
      </c>
      <c r="D137" s="5">
        <f>C137-C1275</f>
        <v>2.0786786604617118E-2</v>
      </c>
      <c r="E137" s="1"/>
      <c r="F137" s="8"/>
      <c r="H137" t="s">
        <v>373</v>
      </c>
      <c r="I137">
        <v>12.38</v>
      </c>
      <c r="J137" s="227">
        <f t="shared" si="8"/>
        <v>1.3923013923013983E-2</v>
      </c>
      <c r="K137" s="5">
        <f>J137-J1276</f>
        <v>1.1787058007404025E-2</v>
      </c>
      <c r="M137" s="240" t="s">
        <v>371</v>
      </c>
      <c r="N137">
        <v>5459.1</v>
      </c>
      <c r="O137" s="227">
        <f t="shared" si="9"/>
        <v>-8.1265992378565244E-4</v>
      </c>
      <c r="P137" s="5">
        <f>O137-O1278</f>
        <v>-4.4690272287248089E-4</v>
      </c>
      <c r="Q137" s="8">
        <f t="shared" si="13"/>
        <v>1.9972204371083745E-7</v>
      </c>
      <c r="S137" t="s">
        <v>371</v>
      </c>
      <c r="T137">
        <v>3.33</v>
      </c>
      <c r="U137" s="29">
        <f t="shared" si="10"/>
        <v>6.0422960725075026E-3</v>
      </c>
      <c r="V137" s="5">
        <f>U137-V1274</f>
        <v>4.3061052968004646E-3</v>
      </c>
      <c r="X137" s="1">
        <v>45543</v>
      </c>
      <c r="Y137">
        <v>3.74</v>
      </c>
      <c r="Z137" s="48">
        <f t="shared" si="11"/>
        <v>5.3763440860215006E-3</v>
      </c>
      <c r="AA137" s="5">
        <f>Z137-Y1274</f>
        <v>1.1590246167473665E-3</v>
      </c>
      <c r="AD137" t="s">
        <v>371</v>
      </c>
      <c r="AE137">
        <v>104.74</v>
      </c>
      <c r="AF137" s="29">
        <f t="shared" si="12"/>
        <v>-1.1793565430700981E-2</v>
      </c>
    </row>
    <row r="138" spans="1:32">
      <c r="A138" s="3" t="s">
        <v>375</v>
      </c>
      <c r="B138" s="222">
        <v>67.73</v>
      </c>
      <c r="C138" s="227">
        <f t="shared" si="7"/>
        <v>3.1101895734597651E-3</v>
      </c>
      <c r="D138" s="5">
        <f>C138-C1275</f>
        <v>3.0321440039008758E-3</v>
      </c>
      <c r="E138" s="1"/>
      <c r="F138" s="8"/>
      <c r="H138" t="s">
        <v>374</v>
      </c>
      <c r="I138">
        <v>12.59</v>
      </c>
      <c r="J138" s="227">
        <f t="shared" si="8"/>
        <v>1.696284329563813E-2</v>
      </c>
      <c r="K138" s="5">
        <f>J138-J1276</f>
        <v>1.4826887380028173E-2</v>
      </c>
      <c r="M138" s="240" t="s">
        <v>372</v>
      </c>
      <c r="N138">
        <v>5399.22</v>
      </c>
      <c r="O138" s="227">
        <f t="shared" si="9"/>
        <v>-1.0968841017750197E-2</v>
      </c>
      <c r="P138" s="5">
        <f>O138-O1278</f>
        <v>-1.0603083816837026E-2</v>
      </c>
      <c r="Q138" s="8">
        <f t="shared" si="13"/>
        <v>1.1242538642687124E-4</v>
      </c>
      <c r="S138" t="s">
        <v>372</v>
      </c>
      <c r="T138">
        <v>3.32</v>
      </c>
      <c r="U138" s="29">
        <f t="shared" si="10"/>
        <v>-3.0030030030030463E-3</v>
      </c>
      <c r="V138" s="5">
        <f>U138-V1274</f>
        <v>-4.7391937787100843E-3</v>
      </c>
      <c r="X138" s="1">
        <v>45512</v>
      </c>
      <c r="Y138">
        <v>3.54</v>
      </c>
      <c r="Z138" s="48">
        <f t="shared" si="11"/>
        <v>-5.3475935828876997E-2</v>
      </c>
      <c r="AA138" s="5">
        <f>Z138-Y1274</f>
        <v>-5.7693255298151128E-2</v>
      </c>
      <c r="AD138" t="s">
        <v>372</v>
      </c>
      <c r="AE138">
        <v>100.78</v>
      </c>
      <c r="AF138" s="29">
        <f t="shared" si="12"/>
        <v>-3.780790528928768E-2</v>
      </c>
    </row>
    <row r="139" spans="1:32">
      <c r="A139" s="3" t="s">
        <v>376</v>
      </c>
      <c r="B139" s="222">
        <v>67.31</v>
      </c>
      <c r="C139" s="227">
        <f t="shared" si="7"/>
        <v>-6.2010925734534705E-3</v>
      </c>
      <c r="D139" s="5">
        <f>C139-C1275</f>
        <v>-6.2791381430123598E-3</v>
      </c>
      <c r="E139" s="1"/>
      <c r="F139" s="8"/>
      <c r="H139" t="s">
        <v>375</v>
      </c>
      <c r="I139">
        <v>12.48</v>
      </c>
      <c r="J139" s="227">
        <f t="shared" si="8"/>
        <v>-8.7370929308975276E-3</v>
      </c>
      <c r="K139" s="5">
        <f>J139-J1276</f>
        <v>-1.0873048846507485E-2</v>
      </c>
      <c r="M139" s="240" t="s">
        <v>373</v>
      </c>
      <c r="N139">
        <v>5427.13</v>
      </c>
      <c r="O139" s="227">
        <f t="shared" si="9"/>
        <v>5.1692651901571463E-3</v>
      </c>
      <c r="P139" s="5">
        <f>O139-O1278</f>
        <v>5.5350223910703182E-3</v>
      </c>
      <c r="Q139" s="8">
        <f t="shared" si="13"/>
        <v>3.0636472869649785E-5</v>
      </c>
      <c r="S139" t="s">
        <v>373</v>
      </c>
      <c r="T139">
        <v>3.36</v>
      </c>
      <c r="U139" s="29">
        <f t="shared" si="10"/>
        <v>1.2048192771084265E-2</v>
      </c>
      <c r="V139" s="5">
        <f>U139-V1274</f>
        <v>1.0312001995377226E-2</v>
      </c>
      <c r="X139" s="1">
        <v>45481</v>
      </c>
      <c r="Y139">
        <v>3.52</v>
      </c>
      <c r="Z139" s="48">
        <f t="shared" si="11"/>
        <v>-5.6497175141243527E-3</v>
      </c>
      <c r="AA139" s="5">
        <f>Z139-Y1274</f>
        <v>-9.8670369833984868E-3</v>
      </c>
      <c r="AD139" t="s">
        <v>373</v>
      </c>
      <c r="AE139">
        <v>102.46</v>
      </c>
      <c r="AF139" s="29">
        <f t="shared" si="12"/>
        <v>1.6669974201230398E-2</v>
      </c>
    </row>
    <row r="140" spans="1:32">
      <c r="A140" s="3" t="s">
        <v>377</v>
      </c>
      <c r="B140" s="222">
        <v>66.260000000000005</v>
      </c>
      <c r="C140" s="227">
        <f t="shared" si="7"/>
        <v>-1.5599465161194481E-2</v>
      </c>
      <c r="D140" s="5">
        <f>C140-C1275</f>
        <v>-1.567751073075337E-2</v>
      </c>
      <c r="E140" s="1"/>
      <c r="F140" s="8"/>
      <c r="H140" t="s">
        <v>376</v>
      </c>
      <c r="I140">
        <v>12.34</v>
      </c>
      <c r="J140" s="227">
        <f t="shared" si="8"/>
        <v>-1.1217948717948789E-2</v>
      </c>
      <c r="K140" s="5">
        <f>J140-J1276</f>
        <v>-1.3353904633558747E-2</v>
      </c>
      <c r="M140" s="240" t="s">
        <v>374</v>
      </c>
      <c r="N140">
        <v>5555.74</v>
      </c>
      <c r="O140" s="227">
        <f t="shared" si="9"/>
        <v>2.3697608128052883E-2</v>
      </c>
      <c r="P140" s="5">
        <f>O140-O1278</f>
        <v>2.4063365328966056E-2</v>
      </c>
      <c r="Q140" s="8">
        <f t="shared" si="13"/>
        <v>5.7904555095528566E-4</v>
      </c>
      <c r="S140" t="s">
        <v>374</v>
      </c>
      <c r="T140">
        <v>3.38</v>
      </c>
      <c r="U140" s="29">
        <f t="shared" si="10"/>
        <v>5.9523809523809312E-3</v>
      </c>
      <c r="V140" s="5">
        <f>U140-V1274</f>
        <v>4.2161901766738933E-3</v>
      </c>
      <c r="X140" s="1">
        <v>45451</v>
      </c>
      <c r="Y140">
        <v>3.52</v>
      </c>
      <c r="Z140" s="48">
        <f t="shared" si="11"/>
        <v>0</v>
      </c>
      <c r="AA140" s="5">
        <f>Z140-Y1274</f>
        <v>-4.2173194692741341E-3</v>
      </c>
      <c r="AD140" t="s">
        <v>374</v>
      </c>
      <c r="AE140">
        <v>105.76</v>
      </c>
      <c r="AF140" s="29">
        <f t="shared" si="12"/>
        <v>3.2207690806168365E-2</v>
      </c>
    </row>
    <row r="141" spans="1:32">
      <c r="A141" s="3" t="s">
        <v>378</v>
      </c>
      <c r="B141" s="222">
        <v>68.62</v>
      </c>
      <c r="C141" s="227">
        <f t="shared" si="7"/>
        <v>3.5617265318442559E-2</v>
      </c>
      <c r="D141" s="5">
        <f>C141-C1275</f>
        <v>3.5539219748883667E-2</v>
      </c>
      <c r="E141" s="1"/>
      <c r="F141" s="8"/>
      <c r="H141" t="s">
        <v>377</v>
      </c>
      <c r="I141">
        <v>12.43</v>
      </c>
      <c r="J141" s="227">
        <f t="shared" si="8"/>
        <v>7.2933549432738776E-3</v>
      </c>
      <c r="K141" s="5">
        <f>J141-J1276</f>
        <v>5.1573990276639198E-3</v>
      </c>
      <c r="M141" s="240" t="s">
        <v>375</v>
      </c>
      <c r="N141">
        <v>5564.41</v>
      </c>
      <c r="O141" s="227">
        <f t="shared" si="9"/>
        <v>1.560548189800004E-3</v>
      </c>
      <c r="P141" s="5">
        <f>O141-O1278</f>
        <v>1.9263053907131755E-3</v>
      </c>
      <c r="Q141" s="8">
        <f t="shared" si="13"/>
        <v>3.7106524582906395E-6</v>
      </c>
      <c r="S141" t="s">
        <v>375</v>
      </c>
      <c r="T141">
        <v>3.38</v>
      </c>
      <c r="U141" s="29">
        <f t="shared" si="10"/>
        <v>0</v>
      </c>
      <c r="V141" s="5">
        <f>U141-V1274</f>
        <v>-1.736190775707038E-3</v>
      </c>
      <c r="X141" s="1">
        <v>45420</v>
      </c>
      <c r="Y141">
        <v>3.48</v>
      </c>
      <c r="Z141" s="48">
        <f t="shared" si="11"/>
        <v>-1.1363636363636354E-2</v>
      </c>
      <c r="AA141" s="5">
        <f>Z141-Y1274</f>
        <v>-1.5580955832910488E-2</v>
      </c>
      <c r="AD141" t="s">
        <v>375</v>
      </c>
      <c r="AE141">
        <v>104.5</v>
      </c>
      <c r="AF141" s="29">
        <f t="shared" si="12"/>
        <v>-1.1913767019667176E-2</v>
      </c>
    </row>
    <row r="142" spans="1:32">
      <c r="A142" s="3" t="s">
        <v>379</v>
      </c>
      <c r="B142" s="222">
        <v>74.3</v>
      </c>
      <c r="C142" s="227">
        <f t="shared" si="7"/>
        <v>8.2774701253278904E-2</v>
      </c>
      <c r="D142" s="5">
        <f>C142-C1275</f>
        <v>8.2696655683720019E-2</v>
      </c>
      <c r="F142" s="8"/>
      <c r="H142" t="s">
        <v>378</v>
      </c>
      <c r="I142">
        <v>12.73</v>
      </c>
      <c r="J142" s="227">
        <f t="shared" si="8"/>
        <v>2.4135156878519748E-2</v>
      </c>
      <c r="K142" s="5">
        <f>J142-J1276</f>
        <v>2.199920096290979E-2</v>
      </c>
      <c r="M142" s="240" t="s">
        <v>376</v>
      </c>
      <c r="N142">
        <v>5505</v>
      </c>
      <c r="O142" s="227">
        <f t="shared" si="9"/>
        <v>-1.0676783342708385E-2</v>
      </c>
      <c r="P142" s="5">
        <f>O142-O1278</f>
        <v>-1.0311026141795214E-2</v>
      </c>
      <c r="Q142" s="8">
        <f t="shared" si="13"/>
        <v>1.0631726009678429E-4</v>
      </c>
      <c r="S142" t="s">
        <v>376</v>
      </c>
      <c r="T142">
        <v>3.38</v>
      </c>
      <c r="U142" s="29">
        <f t="shared" si="10"/>
        <v>0</v>
      </c>
      <c r="V142" s="5">
        <f>U142-V1274</f>
        <v>-1.736190775707038E-3</v>
      </c>
      <c r="X142" s="1">
        <v>45330</v>
      </c>
      <c r="Y142">
        <v>3.48</v>
      </c>
      <c r="Z142" s="48">
        <f t="shared" si="11"/>
        <v>0</v>
      </c>
      <c r="AA142" s="5">
        <f>Z142-Y1274</f>
        <v>-4.2173194692741341E-3</v>
      </c>
      <c r="AD142" t="s">
        <v>376</v>
      </c>
      <c r="AE142">
        <v>106.1</v>
      </c>
      <c r="AF142" s="29">
        <f t="shared" si="12"/>
        <v>1.5311004784688942E-2</v>
      </c>
    </row>
    <row r="143" spans="1:32">
      <c r="A143" s="3" t="s">
        <v>380</v>
      </c>
      <c r="B143" s="222">
        <v>72.290000000000006</v>
      </c>
      <c r="C143" s="227">
        <f t="shared" si="7"/>
        <v>-2.7052489905787236E-2</v>
      </c>
      <c r="D143" s="5">
        <f>C143-C1275</f>
        <v>-2.7130535475346124E-2</v>
      </c>
      <c r="F143" s="8"/>
      <c r="H143" t="s">
        <v>379</v>
      </c>
      <c r="I143">
        <v>13.38</v>
      </c>
      <c r="J143" s="227">
        <f t="shared" si="8"/>
        <v>5.1060487038491864E-2</v>
      </c>
      <c r="K143" s="5">
        <f>J143-J1276</f>
        <v>4.8924531122881906E-2</v>
      </c>
      <c r="M143" s="240" t="s">
        <v>377</v>
      </c>
      <c r="N143">
        <v>5544.59</v>
      </c>
      <c r="O143" s="227">
        <f t="shared" si="9"/>
        <v>7.1916439600363535E-3</v>
      </c>
      <c r="P143" s="5">
        <f>O143-O1278</f>
        <v>7.5574011609495255E-3</v>
      </c>
      <c r="Q143" s="8">
        <f t="shared" si="13"/>
        <v>5.7114312307521236E-5</v>
      </c>
      <c r="S143" t="s">
        <v>377</v>
      </c>
      <c r="T143">
        <v>3.41</v>
      </c>
      <c r="U143" s="29">
        <f t="shared" si="10"/>
        <v>8.8757396449705706E-3</v>
      </c>
      <c r="V143" s="5">
        <f>U143-V1274</f>
        <v>7.1395488692635326E-3</v>
      </c>
      <c r="X143" s="1">
        <v>45299</v>
      </c>
      <c r="Y143">
        <v>3.65</v>
      </c>
      <c r="Z143" s="48">
        <f t="shared" si="11"/>
        <v>4.8850574712643757E-2</v>
      </c>
      <c r="AA143" s="5">
        <f>Z143-Y1274</f>
        <v>4.4633255243369627E-2</v>
      </c>
      <c r="AD143" t="s">
        <v>377</v>
      </c>
      <c r="AE143">
        <v>100.28</v>
      </c>
      <c r="AF143" s="29">
        <f t="shared" si="12"/>
        <v>-5.4853911404335487E-2</v>
      </c>
    </row>
    <row r="144" spans="1:32">
      <c r="A144" s="220">
        <v>45633</v>
      </c>
      <c r="B144" s="222">
        <v>72.430000000000007</v>
      </c>
      <c r="C144" s="227">
        <f t="shared" si="7"/>
        <v>1.936644072485727E-3</v>
      </c>
      <c r="D144" s="5">
        <f>C144-C1275</f>
        <v>1.8585985029268377E-3</v>
      </c>
      <c r="F144" s="8"/>
      <c r="H144" t="s">
        <v>380</v>
      </c>
      <c r="I144">
        <v>13.08</v>
      </c>
      <c r="J144" s="227">
        <f t="shared" si="8"/>
        <v>-2.2421524663677195E-2</v>
      </c>
      <c r="K144" s="5">
        <f>J144-J1276</f>
        <v>-2.4557480579287153E-2</v>
      </c>
      <c r="M144" s="240" t="s">
        <v>378</v>
      </c>
      <c r="N144">
        <v>5588.27</v>
      </c>
      <c r="O144" s="227">
        <f t="shared" si="9"/>
        <v>7.8779494967167185E-3</v>
      </c>
      <c r="P144" s="5">
        <f>O144-O1278</f>
        <v>8.2437066976298896E-3</v>
      </c>
      <c r="Q144" s="8">
        <f t="shared" si="13"/>
        <v>6.7958700116547895E-5</v>
      </c>
      <c r="S144" t="s">
        <v>378</v>
      </c>
      <c r="T144">
        <v>3.49</v>
      </c>
      <c r="U144" s="29">
        <f t="shared" si="10"/>
        <v>2.346041055718473E-2</v>
      </c>
      <c r="V144" s="5">
        <f>U144-V1274</f>
        <v>2.1724219781477691E-2</v>
      </c>
      <c r="X144" t="s">
        <v>368</v>
      </c>
      <c r="Y144">
        <v>3.67</v>
      </c>
      <c r="Z144" s="48">
        <f t="shared" si="11"/>
        <v>5.479452054794498E-3</v>
      </c>
      <c r="AA144" s="5">
        <f>Z144-Y1274</f>
        <v>1.262132585520364E-3</v>
      </c>
      <c r="AD144" t="s">
        <v>378</v>
      </c>
      <c r="AE144">
        <v>103.16</v>
      </c>
      <c r="AF144" s="29">
        <f t="shared" si="12"/>
        <v>2.8719585161547601E-2</v>
      </c>
    </row>
    <row r="145" spans="1:32">
      <c r="A145" s="220">
        <v>45603</v>
      </c>
      <c r="B145" s="222">
        <v>73.53</v>
      </c>
      <c r="C145" s="227">
        <f t="shared" si="7"/>
        <v>1.5187077177964747E-2</v>
      </c>
      <c r="D145" s="5">
        <f>C145-C1275</f>
        <v>1.5109031608405859E-2</v>
      </c>
      <c r="F145" s="8"/>
      <c r="H145" s="1">
        <v>45633</v>
      </c>
      <c r="I145">
        <v>13.11</v>
      </c>
      <c r="J145" s="227">
        <f t="shared" si="8"/>
        <v>2.2935779816513069E-3</v>
      </c>
      <c r="K145" s="5">
        <f>J145-J1276</f>
        <v>1.576220660413491E-4</v>
      </c>
      <c r="M145" s="240" t="s">
        <v>379</v>
      </c>
      <c r="N145">
        <v>5667.2</v>
      </c>
      <c r="O145" s="227">
        <f t="shared" si="9"/>
        <v>1.4124228070583555E-2</v>
      </c>
      <c r="P145" s="5">
        <f>O145-O1278</f>
        <v>1.4489985271496727E-2</v>
      </c>
      <c r="Q145" s="8">
        <f t="shared" si="13"/>
        <v>2.0995967316819207E-4</v>
      </c>
      <c r="S145" t="s">
        <v>379</v>
      </c>
      <c r="T145">
        <v>3.55</v>
      </c>
      <c r="U145" s="29">
        <f t="shared" si="10"/>
        <v>1.7191977077363862E-2</v>
      </c>
      <c r="V145" s="5">
        <f>U145-V1274</f>
        <v>1.5455786301656824E-2</v>
      </c>
      <c r="X145" t="s">
        <v>369</v>
      </c>
      <c r="Y145">
        <v>3.55</v>
      </c>
      <c r="Z145" s="48">
        <f t="shared" si="11"/>
        <v>-3.2697547683923744E-2</v>
      </c>
      <c r="AA145" s="5">
        <f>Z145-Y1274</f>
        <v>-3.6914867153197875E-2</v>
      </c>
      <c r="AD145" t="s">
        <v>379</v>
      </c>
      <c r="AE145">
        <v>108.74</v>
      </c>
      <c r="AF145" s="29">
        <f t="shared" si="12"/>
        <v>5.4090732842186906E-2</v>
      </c>
    </row>
    <row r="146" spans="1:32">
      <c r="A146" s="220">
        <v>45572</v>
      </c>
      <c r="B146" s="222">
        <v>69.27</v>
      </c>
      <c r="C146" s="227">
        <f t="shared" ref="C146:C209" si="14">B146/B145-1</f>
        <v>-5.7935536515707931E-2</v>
      </c>
      <c r="D146" s="5">
        <f>C146-C1275</f>
        <v>-5.8013582085266822E-2</v>
      </c>
      <c r="F146" s="8"/>
      <c r="H146" s="1">
        <v>45603</v>
      </c>
      <c r="I146">
        <v>13.53</v>
      </c>
      <c r="J146" s="227">
        <f t="shared" si="8"/>
        <v>3.203661327231111E-2</v>
      </c>
      <c r="K146" s="5">
        <f>J146-J1276</f>
        <v>2.9900657356701152E-2</v>
      </c>
      <c r="M146" s="240" t="s">
        <v>380</v>
      </c>
      <c r="N146">
        <v>5631.22</v>
      </c>
      <c r="O146" s="227">
        <f t="shared" si="9"/>
        <v>-6.3488142292489336E-3</v>
      </c>
      <c r="P146" s="5">
        <f>O146-O1278</f>
        <v>-5.9830570283357616E-3</v>
      </c>
      <c r="Q146" s="8">
        <f t="shared" si="13"/>
        <v>3.5796971404317954E-5</v>
      </c>
      <c r="S146" t="s">
        <v>380</v>
      </c>
      <c r="T146">
        <v>3.55</v>
      </c>
      <c r="U146" s="29">
        <f t="shared" si="10"/>
        <v>0</v>
      </c>
      <c r="V146" s="5">
        <f>U146-V1274</f>
        <v>-1.736190775707038E-3</v>
      </c>
      <c r="X146" t="s">
        <v>370</v>
      </c>
      <c r="Y146">
        <v>3.56</v>
      </c>
      <c r="Z146" s="48">
        <f t="shared" si="11"/>
        <v>2.8169014084507005E-3</v>
      </c>
      <c r="AA146" s="5">
        <f>Z146-Y1274</f>
        <v>-1.4004180608234336E-3</v>
      </c>
      <c r="AD146" t="s">
        <v>380</v>
      </c>
      <c r="AE146">
        <v>105.65</v>
      </c>
      <c r="AF146" s="29">
        <f t="shared" si="12"/>
        <v>-2.8416406106308578E-2</v>
      </c>
    </row>
    <row r="147" spans="1:32">
      <c r="A147" s="220">
        <v>45542</v>
      </c>
      <c r="B147" s="222">
        <v>71.319999999999993</v>
      </c>
      <c r="C147" s="227">
        <f t="shared" si="14"/>
        <v>2.9594340984553158E-2</v>
      </c>
      <c r="D147" s="5">
        <f>C147-C1275</f>
        <v>2.951629541499427E-2</v>
      </c>
      <c r="F147" s="8"/>
      <c r="H147" s="1">
        <v>45572</v>
      </c>
      <c r="I147">
        <v>12.93</v>
      </c>
      <c r="J147" s="227">
        <f t="shared" si="8"/>
        <v>-4.4345898004434559E-2</v>
      </c>
      <c r="K147" s="5">
        <f>J147-J1276</f>
        <v>-4.6481853920044516E-2</v>
      </c>
      <c r="M147" s="241">
        <v>45633</v>
      </c>
      <c r="N147">
        <v>5615.35</v>
      </c>
      <c r="O147" s="227">
        <f t="shared" si="9"/>
        <v>-2.8182170115889082E-3</v>
      </c>
      <c r="P147" s="5">
        <f>O147-O1278</f>
        <v>-2.4524598106757368E-3</v>
      </c>
      <c r="Q147" s="8">
        <f t="shared" si="13"/>
        <v>6.0145591229796704E-6</v>
      </c>
      <c r="S147" s="1">
        <v>45633</v>
      </c>
      <c r="T147">
        <v>3.61</v>
      </c>
      <c r="U147" s="29">
        <f t="shared" si="10"/>
        <v>1.6901408450704203E-2</v>
      </c>
      <c r="V147" s="5">
        <f>U147-V1274</f>
        <v>1.5165217674997164E-2</v>
      </c>
      <c r="X147" t="s">
        <v>371</v>
      </c>
      <c r="Y147">
        <v>3.6</v>
      </c>
      <c r="Z147" s="48">
        <f t="shared" si="11"/>
        <v>1.1235955056179803E-2</v>
      </c>
      <c r="AA147" s="5">
        <f>Z147-Y1274</f>
        <v>7.0186355869056687E-3</v>
      </c>
      <c r="AD147" s="1">
        <v>45633</v>
      </c>
      <c r="AE147">
        <v>105</v>
      </c>
      <c r="AF147" s="29">
        <f t="shared" si="12"/>
        <v>-6.1523899668718407E-3</v>
      </c>
    </row>
    <row r="148" spans="1:32">
      <c r="A148" s="220">
        <v>45511</v>
      </c>
      <c r="B148" s="222">
        <v>71.25</v>
      </c>
      <c r="C148" s="227">
        <f t="shared" si="14"/>
        <v>-9.8149186763873963E-4</v>
      </c>
      <c r="D148" s="5">
        <f>C148-C1275</f>
        <v>-1.0595374371976289E-3</v>
      </c>
      <c r="F148" s="8"/>
      <c r="H148" s="1">
        <v>45542</v>
      </c>
      <c r="I148">
        <v>13.43</v>
      </c>
      <c r="J148" s="227">
        <f t="shared" ref="J148:J211" si="15">I148/I147-1</f>
        <v>3.8669760247486362E-2</v>
      </c>
      <c r="K148" s="5">
        <f>J148-J1276</f>
        <v>3.6533804331876404E-2</v>
      </c>
      <c r="M148" s="241">
        <v>45603</v>
      </c>
      <c r="N148">
        <v>5584.54</v>
      </c>
      <c r="O148" s="227">
        <f t="shared" si="9"/>
        <v>-5.4867461511749482E-3</v>
      </c>
      <c r="P148" s="5">
        <f>O148-O1278</f>
        <v>-5.1209889502617763E-3</v>
      </c>
      <c r="Q148" s="8">
        <f t="shared" si="13"/>
        <v>2.6224527828703208E-5</v>
      </c>
      <c r="S148" s="1">
        <v>45603</v>
      </c>
      <c r="T148">
        <v>3.59</v>
      </c>
      <c r="U148" s="29">
        <f t="shared" si="10"/>
        <v>-5.5401662049862077E-3</v>
      </c>
      <c r="V148" s="5">
        <f>U148-V1274</f>
        <v>-7.2763569806932457E-3</v>
      </c>
      <c r="X148" t="s">
        <v>372</v>
      </c>
      <c r="Y148">
        <v>3.49</v>
      </c>
      <c r="Z148" s="48">
        <f t="shared" si="11"/>
        <v>-3.0555555555555558E-2</v>
      </c>
      <c r="AA148" s="5">
        <f>Z148-Y1274</f>
        <v>-3.4772875024829689E-2</v>
      </c>
      <c r="AD148" s="1">
        <v>45603</v>
      </c>
      <c r="AE148">
        <v>105.42</v>
      </c>
      <c r="AF148" s="29">
        <f t="shared" si="12"/>
        <v>4.0000000000000036E-3</v>
      </c>
    </row>
    <row r="149" spans="1:32">
      <c r="A149" s="220">
        <v>45419</v>
      </c>
      <c r="B149" s="222">
        <v>71.06</v>
      </c>
      <c r="C149" s="227">
        <f t="shared" si="14"/>
        <v>-2.666666666666595E-3</v>
      </c>
      <c r="D149" s="5">
        <f>C149-C1275</f>
        <v>-2.7447122362254843E-3</v>
      </c>
      <c r="F149" s="8"/>
      <c r="H149" s="1">
        <v>45511</v>
      </c>
      <c r="I149">
        <v>13.48</v>
      </c>
      <c r="J149" s="227">
        <f t="shared" si="15"/>
        <v>3.7230081906181045E-3</v>
      </c>
      <c r="K149" s="5">
        <f>J149-J1276</f>
        <v>1.5870522750081467E-3</v>
      </c>
      <c r="M149" s="241">
        <v>45572</v>
      </c>
      <c r="N149">
        <v>5633.91</v>
      </c>
      <c r="O149" s="227">
        <f t="shared" si="9"/>
        <v>8.8404774609904813E-3</v>
      </c>
      <c r="P149" s="5">
        <f>O149-O1278</f>
        <v>9.2062346619036523E-3</v>
      </c>
      <c r="Q149" s="8">
        <f t="shared" si="13"/>
        <v>8.4754756650036255E-5</v>
      </c>
      <c r="S149" s="1">
        <v>45572</v>
      </c>
      <c r="T149">
        <v>3.58</v>
      </c>
      <c r="U149" s="29">
        <f t="shared" si="10"/>
        <v>-2.7855153203342198E-3</v>
      </c>
      <c r="V149" s="5">
        <f>U149-V1274</f>
        <v>-4.5217060960412577E-3</v>
      </c>
      <c r="X149" t="s">
        <v>373</v>
      </c>
      <c r="Y149">
        <v>3.52</v>
      </c>
      <c r="Z149" s="48">
        <f t="shared" si="11"/>
        <v>8.5959885386819312E-3</v>
      </c>
      <c r="AA149" s="5">
        <f>Z149-Y1274</f>
        <v>4.3786690694077972E-3</v>
      </c>
      <c r="AD149" s="1">
        <v>45572</v>
      </c>
      <c r="AE149">
        <v>106</v>
      </c>
      <c r="AF149" s="29">
        <f t="shared" si="12"/>
        <v>5.5018023145512185E-3</v>
      </c>
    </row>
    <row r="150" spans="1:32">
      <c r="A150" s="220">
        <v>45358</v>
      </c>
      <c r="B150" s="222">
        <v>71.3</v>
      </c>
      <c r="C150" s="227">
        <f t="shared" si="14"/>
        <v>3.3774275260343156E-3</v>
      </c>
      <c r="D150" s="5">
        <f>C150-C1275</f>
        <v>3.2993819564754263E-3</v>
      </c>
      <c r="F150" s="8"/>
      <c r="H150" s="1">
        <v>45419</v>
      </c>
      <c r="I150">
        <v>13.33</v>
      </c>
      <c r="J150" s="227">
        <f t="shared" si="15"/>
        <v>-1.1127596439169163E-2</v>
      </c>
      <c r="K150" s="5">
        <f>J150-J1276</f>
        <v>-1.3263552354779121E-2</v>
      </c>
      <c r="M150" s="241">
        <v>45542</v>
      </c>
      <c r="N150">
        <v>5576.98</v>
      </c>
      <c r="O150" s="227">
        <f t="shared" ref="O150:O213" si="16">N150/N149-1</f>
        <v>-1.0104882754605637E-2</v>
      </c>
      <c r="P150" s="5">
        <f>O150-O1278</f>
        <v>-9.7391255536924664E-3</v>
      </c>
      <c r="Q150" s="8">
        <f t="shared" si="13"/>
        <v>9.4850566550585595E-5</v>
      </c>
      <c r="S150" s="1">
        <v>45542</v>
      </c>
      <c r="T150">
        <v>3.58</v>
      </c>
      <c r="U150" s="29">
        <f t="shared" ref="U150:U213" si="17">T150/T149-1</f>
        <v>0</v>
      </c>
      <c r="V150" s="5">
        <f>U150-V1274</f>
        <v>-1.736190775707038E-3</v>
      </c>
      <c r="X150" t="s">
        <v>374</v>
      </c>
      <c r="Y150">
        <v>3.64</v>
      </c>
      <c r="Z150" s="48">
        <f t="shared" ref="Z150:Z213" si="18">Y150/Y149-1</f>
        <v>3.4090909090909172E-2</v>
      </c>
      <c r="AA150" s="5">
        <f>Z150-Y1274</f>
        <v>2.9873589621635038E-2</v>
      </c>
      <c r="AD150" s="1">
        <v>45542</v>
      </c>
      <c r="AE150">
        <v>108.95</v>
      </c>
      <c r="AF150" s="29">
        <f t="shared" ref="AF150:AF213" si="19">AE150/AE149-1</f>
        <v>2.783018867924536E-2</v>
      </c>
    </row>
    <row r="151" spans="1:32">
      <c r="A151" s="220">
        <v>45329</v>
      </c>
      <c r="B151" s="222">
        <v>70.67</v>
      </c>
      <c r="C151" s="227">
        <f t="shared" si="14"/>
        <v>-8.8359046283309484E-3</v>
      </c>
      <c r="D151" s="5">
        <f>C151-C1275</f>
        <v>-8.9139501978898368E-3</v>
      </c>
      <c r="F151" s="8"/>
      <c r="H151" s="1">
        <v>45358</v>
      </c>
      <c r="I151">
        <v>13.39</v>
      </c>
      <c r="J151" s="227">
        <f t="shared" si="15"/>
        <v>4.5011252813202951E-3</v>
      </c>
      <c r="K151" s="5">
        <f>J151-J1276</f>
        <v>2.3651693657103373E-3</v>
      </c>
      <c r="M151" s="241">
        <v>45511</v>
      </c>
      <c r="N151">
        <v>5572.85</v>
      </c>
      <c r="O151" s="227">
        <f t="shared" si="16"/>
        <v>-7.4054416548008373E-4</v>
      </c>
      <c r="P151" s="5">
        <f>O151-O1278</f>
        <v>-3.7478696456691218E-4</v>
      </c>
      <c r="Q151" s="8">
        <f t="shared" ref="Q151:Q214" si="20">P151*P151</f>
        <v>1.4046526880927989E-7</v>
      </c>
      <c r="S151" s="1">
        <v>45511</v>
      </c>
      <c r="T151">
        <v>3.55</v>
      </c>
      <c r="U151" s="29">
        <f t="shared" si="17"/>
        <v>-8.379888268156499E-3</v>
      </c>
      <c r="V151" s="5">
        <f>U151-V1274</f>
        <v>-1.0116079043863538E-2</v>
      </c>
      <c r="X151" t="s">
        <v>375</v>
      </c>
      <c r="Y151">
        <v>3.62</v>
      </c>
      <c r="Z151" s="48">
        <f t="shared" si="18"/>
        <v>-5.494505494505475E-3</v>
      </c>
      <c r="AA151" s="5">
        <f>Z151-Y1274</f>
        <v>-9.711824963779609E-3</v>
      </c>
      <c r="AD151" s="1">
        <v>45511</v>
      </c>
      <c r="AE151">
        <v>109.04</v>
      </c>
      <c r="AF151" s="29">
        <f t="shared" si="19"/>
        <v>8.2606700321252724E-4</v>
      </c>
    </row>
    <row r="152" spans="1:32">
      <c r="A152" s="220">
        <v>45298</v>
      </c>
      <c r="B152" s="222">
        <v>71.099999999999994</v>
      </c>
      <c r="C152" s="227">
        <f t="shared" si="14"/>
        <v>6.0846186500636001E-3</v>
      </c>
      <c r="D152" s="5">
        <f>C152-C1275</f>
        <v>6.0065730805047108E-3</v>
      </c>
      <c r="F152" s="8"/>
      <c r="H152" s="1">
        <v>45329</v>
      </c>
      <c r="I152">
        <v>13.4</v>
      </c>
      <c r="J152" s="227">
        <f t="shared" si="15"/>
        <v>7.468259895444529E-4</v>
      </c>
      <c r="K152" s="5">
        <f>J152-J1276</f>
        <v>-1.3891299260655049E-3</v>
      </c>
      <c r="M152" s="241">
        <v>45419</v>
      </c>
      <c r="N152">
        <v>5567.19</v>
      </c>
      <c r="O152" s="227">
        <f t="shared" si="16"/>
        <v>-1.0156383179165118E-3</v>
      </c>
      <c r="P152" s="5">
        <f>O152-O1278</f>
        <v>-6.4988111700334033E-4</v>
      </c>
      <c r="Q152" s="8">
        <f t="shared" si="20"/>
        <v>4.2234546623750935E-7</v>
      </c>
      <c r="S152" s="1">
        <v>45419</v>
      </c>
      <c r="T152">
        <v>3.55</v>
      </c>
      <c r="U152" s="29">
        <f t="shared" si="17"/>
        <v>0</v>
      </c>
      <c r="V152" s="5">
        <f>U152-V1274</f>
        <v>-1.736190775707038E-3</v>
      </c>
      <c r="X152" t="s">
        <v>376</v>
      </c>
      <c r="Y152">
        <v>3.56</v>
      </c>
      <c r="Z152" s="48">
        <f t="shared" si="18"/>
        <v>-1.6574585635359185E-2</v>
      </c>
      <c r="AA152" s="5">
        <f>Z152-Y1274</f>
        <v>-2.0791905104633319E-2</v>
      </c>
      <c r="AD152" s="1">
        <v>45419</v>
      </c>
      <c r="AE152">
        <v>110.96</v>
      </c>
      <c r="AF152" s="29">
        <f t="shared" si="19"/>
        <v>1.7608217168011642E-2</v>
      </c>
    </row>
    <row r="153" spans="1:32">
      <c r="A153" s="3" t="s">
        <v>381</v>
      </c>
      <c r="B153" s="222">
        <v>72.680000000000007</v>
      </c>
      <c r="C153" s="227">
        <f t="shared" si="14"/>
        <v>2.2222222222222365E-2</v>
      </c>
      <c r="D153" s="5">
        <f>C153-C1275</f>
        <v>2.2144176652663477E-2</v>
      </c>
      <c r="E153" s="1"/>
      <c r="F153" s="8"/>
      <c r="H153" s="1">
        <v>45298</v>
      </c>
      <c r="I153">
        <v>13.97</v>
      </c>
      <c r="J153" s="227">
        <f t="shared" si="15"/>
        <v>4.2537313432835733E-2</v>
      </c>
      <c r="K153" s="5">
        <f>J153-J1276</f>
        <v>4.0401357517225775E-2</v>
      </c>
      <c r="M153" s="241">
        <v>45358</v>
      </c>
      <c r="N153">
        <v>5537.02</v>
      </c>
      <c r="O153" s="227">
        <f t="shared" si="16"/>
        <v>-5.4192510045460995E-3</v>
      </c>
      <c r="P153" s="5">
        <f>O153-O1278</f>
        <v>-5.0534938036329276E-3</v>
      </c>
      <c r="Q153" s="8">
        <f t="shared" si="20"/>
        <v>2.5537799623356393E-5</v>
      </c>
      <c r="S153" s="1">
        <v>45358</v>
      </c>
      <c r="T153">
        <v>3.54</v>
      </c>
      <c r="U153" s="29">
        <f t="shared" si="17"/>
        <v>-2.8169014084505895E-3</v>
      </c>
      <c r="V153" s="5">
        <f>U153-V1274</f>
        <v>-4.5530921841576274E-3</v>
      </c>
      <c r="X153" t="s">
        <v>377</v>
      </c>
      <c r="Y153">
        <v>3.57</v>
      </c>
      <c r="Z153" s="48">
        <f t="shared" si="18"/>
        <v>2.8089887640447841E-3</v>
      </c>
      <c r="AA153" s="5">
        <f>Z153-Y1274</f>
        <v>-1.4083307052293499E-3</v>
      </c>
      <c r="AD153" s="1">
        <v>45358</v>
      </c>
      <c r="AE153">
        <v>107.62</v>
      </c>
      <c r="AF153" s="29">
        <f t="shared" si="19"/>
        <v>-3.010093727469354E-2</v>
      </c>
    </row>
    <row r="154" spans="1:32">
      <c r="A154" s="3" t="s">
        <v>382</v>
      </c>
      <c r="B154" s="222">
        <v>70.34</v>
      </c>
      <c r="C154" s="227">
        <f t="shared" si="14"/>
        <v>-3.2195927352779319E-2</v>
      </c>
      <c r="D154" s="5">
        <f>C154-C1275</f>
        <v>-3.2273972922338211E-2</v>
      </c>
      <c r="E154" s="1"/>
      <c r="F154" s="8"/>
      <c r="H154" t="s">
        <v>381</v>
      </c>
      <c r="I154">
        <v>14.1</v>
      </c>
      <c r="J154" s="227">
        <f t="shared" si="15"/>
        <v>9.3056549749461759E-3</v>
      </c>
      <c r="K154" s="5">
        <f>J154-J1276</f>
        <v>7.1696990593362181E-3</v>
      </c>
      <c r="M154" s="241">
        <v>45329</v>
      </c>
      <c r="N154">
        <v>5509.01</v>
      </c>
      <c r="O154" s="227">
        <f t="shared" si="16"/>
        <v>-5.0586777725202259E-3</v>
      </c>
      <c r="P154" s="5">
        <f>O154-O1278</f>
        <v>-4.692920571607054E-3</v>
      </c>
      <c r="Q154" s="8">
        <f t="shared" si="20"/>
        <v>2.2023503491412678E-5</v>
      </c>
      <c r="S154" s="1">
        <v>45329</v>
      </c>
      <c r="T154">
        <v>3.5</v>
      </c>
      <c r="U154" s="29">
        <f t="shared" si="17"/>
        <v>-1.1299435028248594E-2</v>
      </c>
      <c r="V154" s="5">
        <f>U154-V1274</f>
        <v>-1.3035625803955633E-2</v>
      </c>
      <c r="X154" t="s">
        <v>378</v>
      </c>
      <c r="Y154">
        <v>3.66</v>
      </c>
      <c r="Z154" s="48">
        <f t="shared" si="18"/>
        <v>2.5210084033613578E-2</v>
      </c>
      <c r="AA154" s="5">
        <f>Z154-Y1274</f>
        <v>2.0992764564339444E-2</v>
      </c>
      <c r="AD154" s="1">
        <v>45329</v>
      </c>
      <c r="AE154">
        <v>107.45</v>
      </c>
      <c r="AF154" s="29">
        <f t="shared" si="19"/>
        <v>-1.5796320386545215E-3</v>
      </c>
    </row>
    <row r="155" spans="1:32">
      <c r="A155" s="3" t="s">
        <v>383</v>
      </c>
      <c r="B155" s="222">
        <v>70.849999999999994</v>
      </c>
      <c r="C155" s="227">
        <f t="shared" si="14"/>
        <v>7.2504975831673146E-3</v>
      </c>
      <c r="D155" s="5">
        <f>C155-C1275</f>
        <v>7.1724520136084253E-3</v>
      </c>
      <c r="E155" s="1"/>
      <c r="F155" s="8"/>
      <c r="H155" t="s">
        <v>382</v>
      </c>
      <c r="I155">
        <v>13.39</v>
      </c>
      <c r="J155" s="227">
        <f t="shared" si="15"/>
        <v>-5.035460992907792E-2</v>
      </c>
      <c r="K155" s="5">
        <f>J155-J1276</f>
        <v>-5.2490565844687878E-2</v>
      </c>
      <c r="M155" s="241">
        <v>45298</v>
      </c>
      <c r="N155">
        <v>5475.09</v>
      </c>
      <c r="O155" s="227">
        <f t="shared" si="16"/>
        <v>-6.1571861368920899E-3</v>
      </c>
      <c r="P155" s="5">
        <f>O155-O1278</f>
        <v>-5.791428935978918E-3</v>
      </c>
      <c r="Q155" s="8">
        <f t="shared" si="20"/>
        <v>3.3540649120493902E-5</v>
      </c>
      <c r="S155" s="1">
        <v>45298</v>
      </c>
      <c r="T155">
        <v>3.53</v>
      </c>
      <c r="U155" s="29">
        <f t="shared" si="17"/>
        <v>8.5714285714284522E-3</v>
      </c>
      <c r="V155" s="5">
        <f>U155-V1274</f>
        <v>6.8352377957214142E-3</v>
      </c>
      <c r="X155" t="s">
        <v>379</v>
      </c>
      <c r="Y155">
        <v>3.6850000000000001</v>
      </c>
      <c r="Z155" s="48">
        <f t="shared" si="18"/>
        <v>6.830601092896238E-3</v>
      </c>
      <c r="AA155" s="5">
        <f>Z155-Y1274</f>
        <v>2.6132816236221039E-3</v>
      </c>
      <c r="AD155" s="1">
        <v>45298</v>
      </c>
      <c r="AE155">
        <v>108.51</v>
      </c>
      <c r="AF155" s="29">
        <f t="shared" si="19"/>
        <v>9.8650535132620565E-3</v>
      </c>
    </row>
    <row r="156" spans="1:32">
      <c r="A156" s="3" t="s">
        <v>384</v>
      </c>
      <c r="B156" s="222">
        <v>71.38</v>
      </c>
      <c r="C156" s="227">
        <f t="shared" si="14"/>
        <v>7.480592801693664E-3</v>
      </c>
      <c r="D156" s="5">
        <f>C156-C1275</f>
        <v>7.4025472321347747E-3</v>
      </c>
      <c r="E156" s="1"/>
      <c r="F156" s="8"/>
      <c r="H156" t="s">
        <v>383</v>
      </c>
      <c r="I156">
        <v>13.33</v>
      </c>
      <c r="J156" s="227">
        <f t="shared" si="15"/>
        <v>-4.4809559372666063E-3</v>
      </c>
      <c r="K156" s="5">
        <f>J156-J1276</f>
        <v>-6.6169118528765641E-3</v>
      </c>
      <c r="M156" s="240" t="s">
        <v>381</v>
      </c>
      <c r="N156">
        <v>5460.48</v>
      </c>
      <c r="O156" s="227">
        <f t="shared" si="16"/>
        <v>-2.668449285765262E-3</v>
      </c>
      <c r="P156" s="5">
        <f>O156-O1278</f>
        <v>-2.3026920848520905E-3</v>
      </c>
      <c r="Q156" s="8">
        <f t="shared" si="20"/>
        <v>5.302390837640467E-6</v>
      </c>
      <c r="S156" t="s">
        <v>381</v>
      </c>
      <c r="T156">
        <v>3.55</v>
      </c>
      <c r="U156" s="29">
        <f t="shared" si="17"/>
        <v>5.6657223796034994E-3</v>
      </c>
      <c r="V156" s="5">
        <f>U156-V1274</f>
        <v>3.9295316038964615E-3</v>
      </c>
      <c r="X156" t="s">
        <v>380</v>
      </c>
      <c r="Y156">
        <v>3.71</v>
      </c>
      <c r="Z156" s="48">
        <f t="shared" si="18"/>
        <v>6.7842605156038793E-3</v>
      </c>
      <c r="AA156" s="5">
        <f>Z156-Y1274</f>
        <v>2.5669410463297453E-3</v>
      </c>
      <c r="AD156" t="s">
        <v>381</v>
      </c>
      <c r="AE156">
        <v>108.78</v>
      </c>
      <c r="AF156" s="29">
        <f t="shared" si="19"/>
        <v>2.488249930881814E-3</v>
      </c>
    </row>
    <row r="157" spans="1:32">
      <c r="A157" s="3" t="s">
        <v>385</v>
      </c>
      <c r="B157" s="222">
        <v>70.540000000000006</v>
      </c>
      <c r="C157" s="227">
        <f t="shared" si="14"/>
        <v>-1.1768002241524078E-2</v>
      </c>
      <c r="D157" s="5">
        <f>C157-C1275</f>
        <v>-1.1846047811082967E-2</v>
      </c>
      <c r="E157" s="1"/>
      <c r="F157" s="8"/>
      <c r="H157" t="s">
        <v>384</v>
      </c>
      <c r="I157">
        <v>13.47</v>
      </c>
      <c r="J157" s="227">
        <f t="shared" si="15"/>
        <v>1.0502625656414244E-2</v>
      </c>
      <c r="K157" s="5">
        <f>J157-J1276</f>
        <v>8.3666697408042862E-3</v>
      </c>
      <c r="M157" s="240" t="s">
        <v>382</v>
      </c>
      <c r="N157">
        <v>5482.87</v>
      </c>
      <c r="O157" s="227">
        <f t="shared" si="16"/>
        <v>4.1003721284575967E-3</v>
      </c>
      <c r="P157" s="5">
        <f>O157-O1278</f>
        <v>4.4661293293707686E-3</v>
      </c>
      <c r="Q157" s="8">
        <f t="shared" si="20"/>
        <v>1.9946311186665793E-5</v>
      </c>
      <c r="S157" t="s">
        <v>382</v>
      </c>
      <c r="T157">
        <v>3.54</v>
      </c>
      <c r="U157" s="29">
        <f t="shared" si="17"/>
        <v>-2.8169014084505895E-3</v>
      </c>
      <c r="V157" s="5">
        <f>U157-V1274</f>
        <v>-4.5530921841576274E-3</v>
      </c>
      <c r="X157" s="1">
        <v>45633</v>
      </c>
      <c r="Y157">
        <v>3.75</v>
      </c>
      <c r="Z157" s="48">
        <f t="shared" si="18"/>
        <v>1.0781671159029615E-2</v>
      </c>
      <c r="AA157" s="5">
        <f>Z157-Y1274</f>
        <v>6.5643516897554814E-3</v>
      </c>
      <c r="AD157" t="s">
        <v>382</v>
      </c>
      <c r="AE157">
        <v>110.58</v>
      </c>
      <c r="AF157" s="29">
        <f t="shared" si="19"/>
        <v>1.6547159404302292E-2</v>
      </c>
    </row>
    <row r="158" spans="1:32">
      <c r="A158" s="3" t="s">
        <v>386</v>
      </c>
      <c r="B158" s="222">
        <v>70.209999999999994</v>
      </c>
      <c r="C158" s="227">
        <f t="shared" si="14"/>
        <v>-4.6781967677914649E-3</v>
      </c>
      <c r="D158" s="5">
        <f>C158-C1275</f>
        <v>-4.7562423373503542E-3</v>
      </c>
      <c r="E158" s="1"/>
      <c r="F158" s="8"/>
      <c r="H158" t="s">
        <v>385</v>
      </c>
      <c r="I158">
        <v>13.58</v>
      </c>
      <c r="J158" s="227">
        <f t="shared" si="15"/>
        <v>8.1662954714178948E-3</v>
      </c>
      <c r="K158" s="5">
        <f>J158-J1276</f>
        <v>6.030339555807937E-3</v>
      </c>
      <c r="M158" s="240" t="s">
        <v>383</v>
      </c>
      <c r="N158">
        <v>5477.9</v>
      </c>
      <c r="O158" s="227">
        <f t="shared" si="16"/>
        <v>-9.0645957317980752E-4</v>
      </c>
      <c r="P158" s="5">
        <f>O158-O1278</f>
        <v>-5.4070237226663603E-4</v>
      </c>
      <c r="Q158" s="8">
        <f t="shared" si="20"/>
        <v>2.9235905537476784E-7</v>
      </c>
      <c r="S158" t="s">
        <v>383</v>
      </c>
      <c r="T158">
        <v>3.51</v>
      </c>
      <c r="U158" s="29">
        <f t="shared" si="17"/>
        <v>-8.4745762711865291E-3</v>
      </c>
      <c r="V158" s="5">
        <f>U158-V1274</f>
        <v>-1.0210767046893568E-2</v>
      </c>
      <c r="X158" s="1">
        <v>45603</v>
      </c>
      <c r="Y158">
        <v>3.52</v>
      </c>
      <c r="Z158" s="48">
        <f t="shared" si="18"/>
        <v>-6.1333333333333351E-2</v>
      </c>
      <c r="AA158" s="5">
        <f>Z158-Y1274</f>
        <v>-6.5550652802607481E-2</v>
      </c>
      <c r="AD158" t="s">
        <v>383</v>
      </c>
      <c r="AE158">
        <v>111.08</v>
      </c>
      <c r="AF158" s="29">
        <f t="shared" si="19"/>
        <v>4.5216133116294799E-3</v>
      </c>
    </row>
    <row r="159" spans="1:32">
      <c r="A159" s="3" t="s">
        <v>387</v>
      </c>
      <c r="B159" s="222">
        <v>70.3</v>
      </c>
      <c r="C159" s="227">
        <f t="shared" si="14"/>
        <v>1.2818686796753909E-3</v>
      </c>
      <c r="D159" s="5">
        <f>C159-C1275</f>
        <v>1.2038231101165016E-3</v>
      </c>
      <c r="E159" s="1"/>
      <c r="F159" s="8"/>
      <c r="H159" t="s">
        <v>386</v>
      </c>
      <c r="I159">
        <v>13.45</v>
      </c>
      <c r="J159" s="227">
        <f t="shared" si="15"/>
        <v>-9.5729013254787221E-3</v>
      </c>
      <c r="K159" s="5">
        <f>J159-J1276</f>
        <v>-1.170885724108868E-2</v>
      </c>
      <c r="M159" s="240" t="s">
        <v>384</v>
      </c>
      <c r="N159">
        <v>5469.3</v>
      </c>
      <c r="O159" s="227">
        <f t="shared" si="16"/>
        <v>-1.5699446868324696E-3</v>
      </c>
      <c r="P159" s="5">
        <f>O159-O1278</f>
        <v>-1.2041874859192981E-3</v>
      </c>
      <c r="Q159" s="8">
        <f t="shared" si="20"/>
        <v>1.4500675012446397E-6</v>
      </c>
      <c r="S159" t="s">
        <v>384</v>
      </c>
      <c r="T159">
        <v>3.52</v>
      </c>
      <c r="U159" s="29">
        <f t="shared" si="17"/>
        <v>2.8490028490029129E-3</v>
      </c>
      <c r="V159" s="5">
        <f>U159-V1274</f>
        <v>1.1128120732958749E-3</v>
      </c>
      <c r="X159" s="1">
        <v>45572</v>
      </c>
      <c r="Y159">
        <v>3.75</v>
      </c>
      <c r="Z159" s="48">
        <f t="shared" si="18"/>
        <v>6.5340909090909172E-2</v>
      </c>
      <c r="AA159" s="5">
        <f>Z159-Y1274</f>
        <v>6.1123589621635041E-2</v>
      </c>
      <c r="AD159" t="s">
        <v>384</v>
      </c>
      <c r="AE159">
        <v>112.08</v>
      </c>
      <c r="AF159" s="29">
        <f t="shared" si="19"/>
        <v>9.0025207057975454E-3</v>
      </c>
    </row>
    <row r="160" spans="1:32">
      <c r="A160" s="3" t="s">
        <v>388</v>
      </c>
      <c r="B160" s="222">
        <v>70.33</v>
      </c>
      <c r="C160" s="227">
        <f t="shared" si="14"/>
        <v>4.2674253200569723E-4</v>
      </c>
      <c r="D160" s="5">
        <f>C160-C1275</f>
        <v>3.4869696244680802E-4</v>
      </c>
      <c r="E160" s="1"/>
      <c r="F160" s="8"/>
      <c r="H160" t="s">
        <v>387</v>
      </c>
      <c r="I160">
        <v>13.75</v>
      </c>
      <c r="J160" s="227">
        <f t="shared" si="15"/>
        <v>2.2304832713754719E-2</v>
      </c>
      <c r="K160" s="5">
        <f>J160-J1276</f>
        <v>2.0168876798144761E-2</v>
      </c>
      <c r="M160" s="240" t="s">
        <v>385</v>
      </c>
      <c r="N160">
        <v>5447.87</v>
      </c>
      <c r="O160" s="227">
        <f t="shared" si="16"/>
        <v>-3.91823450898654E-3</v>
      </c>
      <c r="P160" s="5">
        <f>O160-O1278</f>
        <v>-3.5524773080733685E-3</v>
      </c>
      <c r="Q160" s="8">
        <f t="shared" si="20"/>
        <v>1.2620095024376207E-5</v>
      </c>
      <c r="S160" t="s">
        <v>385</v>
      </c>
      <c r="T160">
        <v>3.53</v>
      </c>
      <c r="U160" s="29">
        <f t="shared" si="17"/>
        <v>2.8409090909089496E-3</v>
      </c>
      <c r="V160" s="5">
        <f>U160-V1274</f>
        <v>1.1047183152019116E-3</v>
      </c>
      <c r="X160" s="1">
        <v>45542</v>
      </c>
      <c r="Y160">
        <v>3.99</v>
      </c>
      <c r="Z160" s="48">
        <f t="shared" si="18"/>
        <v>6.4000000000000057E-2</v>
      </c>
      <c r="AA160" s="5">
        <f>Z160-Y1274</f>
        <v>5.9782680530725926E-2</v>
      </c>
      <c r="AD160" t="s">
        <v>385</v>
      </c>
      <c r="AE160">
        <v>110.7</v>
      </c>
      <c r="AF160" s="29">
        <f t="shared" si="19"/>
        <v>-1.2312633832976427E-2</v>
      </c>
    </row>
    <row r="161" spans="1:32">
      <c r="A161" s="3" t="s">
        <v>389</v>
      </c>
      <c r="B161" s="222">
        <v>70.489999999999995</v>
      </c>
      <c r="C161" s="227">
        <f t="shared" si="14"/>
        <v>2.2749893359874651E-3</v>
      </c>
      <c r="D161" s="5">
        <f>C161-C1275</f>
        <v>2.1969437664285758E-3</v>
      </c>
      <c r="F161" s="8"/>
      <c r="H161" t="s">
        <v>388</v>
      </c>
      <c r="I161">
        <v>13.78</v>
      </c>
      <c r="J161" s="227">
        <f t="shared" si="15"/>
        <v>2.1818181818180626E-3</v>
      </c>
      <c r="K161" s="5">
        <f>J161-J1276</f>
        <v>4.5862266208104852E-5</v>
      </c>
      <c r="M161" s="240" t="s">
        <v>386</v>
      </c>
      <c r="N161">
        <v>5464.62</v>
      </c>
      <c r="O161" s="227">
        <f t="shared" si="16"/>
        <v>3.0745961265594701E-3</v>
      </c>
      <c r="P161" s="5">
        <f>O161-O1278</f>
        <v>3.4403533274726416E-3</v>
      </c>
      <c r="Q161" s="8">
        <f t="shared" si="20"/>
        <v>1.1836031017852078E-5</v>
      </c>
      <c r="S161" t="s">
        <v>386</v>
      </c>
      <c r="T161">
        <v>3.54</v>
      </c>
      <c r="U161" s="29">
        <f t="shared" si="17"/>
        <v>2.8328611898018607E-3</v>
      </c>
      <c r="V161" s="5">
        <f>U161-V1274</f>
        <v>1.0966704140948228E-3</v>
      </c>
      <c r="X161" s="1">
        <v>45511</v>
      </c>
      <c r="Y161">
        <v>4</v>
      </c>
      <c r="Z161" s="48">
        <f t="shared" si="18"/>
        <v>2.5062656641603454E-3</v>
      </c>
      <c r="AA161" s="5">
        <f>Z161-Y1274</f>
        <v>-1.7110538051137887E-3</v>
      </c>
      <c r="AD161" t="s">
        <v>386</v>
      </c>
      <c r="AE161">
        <v>113.88</v>
      </c>
      <c r="AF161" s="29">
        <f t="shared" si="19"/>
        <v>2.872628726287263E-2</v>
      </c>
    </row>
    <row r="162" spans="1:32">
      <c r="A162" s="3" t="s">
        <v>390</v>
      </c>
      <c r="B162" s="222">
        <v>70.06</v>
      </c>
      <c r="C162" s="227">
        <f t="shared" si="14"/>
        <v>-6.1001560505035135E-3</v>
      </c>
      <c r="D162" s="5">
        <f>C162-C1275</f>
        <v>-6.1782016200624028E-3</v>
      </c>
      <c r="F162" s="8"/>
      <c r="H162" t="s">
        <v>389</v>
      </c>
      <c r="I162">
        <v>14.08</v>
      </c>
      <c r="J162" s="227">
        <f t="shared" si="15"/>
        <v>2.1770682148040787E-2</v>
      </c>
      <c r="K162" s="5">
        <f>J162-J1276</f>
        <v>1.963472623243083E-2</v>
      </c>
      <c r="M162" s="240" t="s">
        <v>387</v>
      </c>
      <c r="N162">
        <v>5473.17</v>
      </c>
      <c r="O162" s="227">
        <f t="shared" si="16"/>
        <v>1.564610165025293E-3</v>
      </c>
      <c r="P162" s="5">
        <f>O162-O1278</f>
        <v>1.9303673659384645E-3</v>
      </c>
      <c r="Q162" s="8">
        <f t="shared" si="20"/>
        <v>3.726318167480206E-6</v>
      </c>
      <c r="S162" t="s">
        <v>387</v>
      </c>
      <c r="T162">
        <v>3.52</v>
      </c>
      <c r="U162" s="29">
        <f t="shared" si="17"/>
        <v>-5.6497175141243527E-3</v>
      </c>
      <c r="V162" s="5">
        <f>U162-V1274</f>
        <v>-7.3859082898313907E-3</v>
      </c>
      <c r="X162" s="1">
        <v>45419</v>
      </c>
      <c r="Y162">
        <v>4</v>
      </c>
      <c r="Z162" s="48">
        <f t="shared" si="18"/>
        <v>0</v>
      </c>
      <c r="AA162" s="5">
        <f>Z162-Y1274</f>
        <v>-4.2173194692741341E-3</v>
      </c>
      <c r="AD162" t="s">
        <v>387</v>
      </c>
      <c r="AE162">
        <v>110.21</v>
      </c>
      <c r="AF162" s="29">
        <f t="shared" si="19"/>
        <v>-3.2226905514576742E-2</v>
      </c>
    </row>
    <row r="163" spans="1:32">
      <c r="A163" s="3" t="s">
        <v>391</v>
      </c>
      <c r="B163" s="222">
        <v>70.86</v>
      </c>
      <c r="C163" s="227">
        <f t="shared" si="14"/>
        <v>1.1418783899514562E-2</v>
      </c>
      <c r="D163" s="5">
        <f>C163-C1275</f>
        <v>1.1340738329955673E-2</v>
      </c>
      <c r="F163" s="8"/>
      <c r="H163" t="s">
        <v>390</v>
      </c>
      <c r="I163">
        <v>14.17</v>
      </c>
      <c r="J163" s="227">
        <f t="shared" si="15"/>
        <v>6.3920454545454142E-3</v>
      </c>
      <c r="K163" s="5">
        <f>J163-J1276</f>
        <v>4.2560895389354564E-3</v>
      </c>
      <c r="M163" s="240" t="s">
        <v>388</v>
      </c>
      <c r="N163">
        <v>5487.03</v>
      </c>
      <c r="O163" s="227">
        <f t="shared" si="16"/>
        <v>2.5323532797263404E-3</v>
      </c>
      <c r="P163" s="5">
        <f>O163-O1278</f>
        <v>2.8981104806395119E-3</v>
      </c>
      <c r="Q163" s="8">
        <f t="shared" si="20"/>
        <v>8.3990443579925823E-6</v>
      </c>
      <c r="S163" t="s">
        <v>388</v>
      </c>
      <c r="T163">
        <v>3.53</v>
      </c>
      <c r="U163" s="29">
        <f t="shared" si="17"/>
        <v>2.8409090909089496E-3</v>
      </c>
      <c r="V163" s="5">
        <f>U163-V1274</f>
        <v>1.1047183152019116E-3</v>
      </c>
      <c r="X163" s="1">
        <v>45358</v>
      </c>
      <c r="Y163">
        <v>4.09</v>
      </c>
      <c r="Z163" s="48">
        <f t="shared" si="18"/>
        <v>2.2499999999999964E-2</v>
      </c>
      <c r="AA163" s="5">
        <f>Z163-Y1274</f>
        <v>1.828268053072583E-2</v>
      </c>
      <c r="AD163" t="s">
        <v>388</v>
      </c>
      <c r="AE163">
        <v>112.91</v>
      </c>
      <c r="AF163" s="29">
        <f t="shared" si="19"/>
        <v>2.4498684329915532E-2</v>
      </c>
    </row>
    <row r="164" spans="1:32">
      <c r="A164" s="220">
        <v>45632</v>
      </c>
      <c r="B164" s="222">
        <v>73.150000000000006</v>
      </c>
      <c r="C164" s="227">
        <f t="shared" si="14"/>
        <v>3.2317245272368122E-2</v>
      </c>
      <c r="D164" s="5">
        <f>C164-C1275</f>
        <v>3.2239199702809231E-2</v>
      </c>
      <c r="F164" s="8"/>
      <c r="H164" t="s">
        <v>391</v>
      </c>
      <c r="I164">
        <v>14.48</v>
      </c>
      <c r="J164" s="227">
        <f t="shared" si="15"/>
        <v>2.1877205363443952E-2</v>
      </c>
      <c r="K164" s="5">
        <f>J164-J1276</f>
        <v>1.9741249447833994E-2</v>
      </c>
      <c r="M164" s="240" t="s">
        <v>389</v>
      </c>
      <c r="N164">
        <v>5473.23</v>
      </c>
      <c r="O164" s="227">
        <f t="shared" si="16"/>
        <v>-2.5150217877430991E-3</v>
      </c>
      <c r="P164" s="5">
        <f>O164-O1278</f>
        <v>-2.1492645868299277E-3</v>
      </c>
      <c r="Q164" s="8">
        <f t="shared" si="20"/>
        <v>4.6193382642012193E-6</v>
      </c>
      <c r="S164" t="s">
        <v>389</v>
      </c>
      <c r="T164">
        <v>3.59</v>
      </c>
      <c r="U164" s="29">
        <f t="shared" si="17"/>
        <v>1.6997167138810276E-2</v>
      </c>
      <c r="V164" s="5">
        <f>U164-V1274</f>
        <v>1.5260976363103237E-2</v>
      </c>
      <c r="X164" s="1">
        <v>45329</v>
      </c>
      <c r="Y164">
        <v>4.1399999999999997</v>
      </c>
      <c r="Z164" s="48">
        <f t="shared" si="18"/>
        <v>1.2224938875305513E-2</v>
      </c>
      <c r="AA164" s="5">
        <f>Z164-Y1274</f>
        <v>8.0076194060313792E-3</v>
      </c>
      <c r="AD164" t="s">
        <v>389</v>
      </c>
      <c r="AE164">
        <v>112.69</v>
      </c>
      <c r="AF164" s="29">
        <f t="shared" si="19"/>
        <v>-1.9484545213001025E-3</v>
      </c>
    </row>
    <row r="165" spans="1:32">
      <c r="A165" s="220">
        <v>45602</v>
      </c>
      <c r="B165" s="222">
        <v>69.59</v>
      </c>
      <c r="C165" s="227">
        <f t="shared" si="14"/>
        <v>-4.8667122351332859E-2</v>
      </c>
      <c r="D165" s="5">
        <f>C165-C1275</f>
        <v>-4.8745167920891751E-2</v>
      </c>
      <c r="F165" s="8"/>
      <c r="H165" s="1">
        <v>45632</v>
      </c>
      <c r="I165">
        <v>15.54</v>
      </c>
      <c r="J165" s="227">
        <f t="shared" si="15"/>
        <v>7.320441988950277E-2</v>
      </c>
      <c r="K165" s="5">
        <f>J165-J1276</f>
        <v>7.1068463973892812E-2</v>
      </c>
      <c r="M165" s="240" t="s">
        <v>390</v>
      </c>
      <c r="N165">
        <v>5431.6</v>
      </c>
      <c r="O165" s="227">
        <f t="shared" si="16"/>
        <v>-7.606111930249404E-3</v>
      </c>
      <c r="P165" s="5">
        <f>O165-O1278</f>
        <v>-7.2403547293362321E-3</v>
      </c>
      <c r="Q165" s="8">
        <f t="shared" si="20"/>
        <v>5.2422736606621545E-5</v>
      </c>
      <c r="S165" t="s">
        <v>390</v>
      </c>
      <c r="T165">
        <v>3.6</v>
      </c>
      <c r="U165" s="29">
        <f t="shared" si="17"/>
        <v>2.7855153203342198E-3</v>
      </c>
      <c r="V165" s="5">
        <f>U165-V1274</f>
        <v>1.0493245446271818E-3</v>
      </c>
      <c r="X165" s="1">
        <v>45298</v>
      </c>
      <c r="Y165">
        <v>4.0199999999999996</v>
      </c>
      <c r="Z165" s="48">
        <f t="shared" si="18"/>
        <v>-2.8985507246376829E-2</v>
      </c>
      <c r="AA165" s="5">
        <f>Z165-Y1274</f>
        <v>-3.320282671565096E-2</v>
      </c>
      <c r="AD165" t="s">
        <v>390</v>
      </c>
      <c r="AE165">
        <v>112.05</v>
      </c>
      <c r="AF165" s="29">
        <f t="shared" si="19"/>
        <v>-5.6792971869731312E-3</v>
      </c>
    </row>
    <row r="166" spans="1:32">
      <c r="A166" s="220">
        <v>45571</v>
      </c>
      <c r="B166" s="222">
        <v>68.599999999999994</v>
      </c>
      <c r="C166" s="227">
        <f t="shared" si="14"/>
        <v>-1.4226181922690206E-2</v>
      </c>
      <c r="D166" s="5">
        <f>C166-C1275</f>
        <v>-1.4304227492249095E-2</v>
      </c>
      <c r="F166" s="8"/>
      <c r="H166" s="1">
        <v>45602</v>
      </c>
      <c r="I166">
        <v>14.61</v>
      </c>
      <c r="J166" s="227">
        <f t="shared" si="15"/>
        <v>-5.9845559845559837E-2</v>
      </c>
      <c r="K166" s="5">
        <f>J166-J1276</f>
        <v>-6.1981515761169795E-2</v>
      </c>
      <c r="M166" s="240" t="s">
        <v>391</v>
      </c>
      <c r="N166">
        <v>5433.74</v>
      </c>
      <c r="O166" s="227">
        <f t="shared" si="16"/>
        <v>3.9399072096601984E-4</v>
      </c>
      <c r="P166" s="5">
        <f>O166-O1278</f>
        <v>7.5974792187919133E-4</v>
      </c>
      <c r="Q166" s="8">
        <f t="shared" si="20"/>
        <v>5.7721690479974984E-7</v>
      </c>
      <c r="S166" t="s">
        <v>391</v>
      </c>
      <c r="T166">
        <v>3.64</v>
      </c>
      <c r="U166" s="29">
        <f t="shared" si="17"/>
        <v>1.1111111111111072E-2</v>
      </c>
      <c r="V166" s="5">
        <f>U166-V1274</f>
        <v>9.3749203354040328E-3</v>
      </c>
      <c r="X166" t="s">
        <v>381</v>
      </c>
      <c r="Y166">
        <v>4.1399999999999997</v>
      </c>
      <c r="Z166" s="48">
        <f t="shared" si="18"/>
        <v>2.9850746268656803E-2</v>
      </c>
      <c r="AA166" s="5">
        <f>Z166-Y1274</f>
        <v>2.5633426799382669E-2</v>
      </c>
      <c r="AD166" t="s">
        <v>391</v>
      </c>
      <c r="AE166">
        <v>113.77</v>
      </c>
      <c r="AF166" s="29">
        <f t="shared" si="19"/>
        <v>1.5350290049085169E-2</v>
      </c>
    </row>
    <row r="167" spans="1:32">
      <c r="A167" s="220">
        <v>45479</v>
      </c>
      <c r="B167" s="222">
        <v>69.31</v>
      </c>
      <c r="C167" s="227">
        <f t="shared" si="14"/>
        <v>1.0349854227405419E-2</v>
      </c>
      <c r="D167" s="5">
        <f>C167-C1275</f>
        <v>1.0271808657846531E-2</v>
      </c>
      <c r="F167" s="8"/>
      <c r="H167" s="1">
        <v>45571</v>
      </c>
      <c r="I167">
        <v>15.08</v>
      </c>
      <c r="J167" s="227">
        <f t="shared" si="15"/>
        <v>3.2169746748802241E-2</v>
      </c>
      <c r="K167" s="5">
        <f>J167-J1276</f>
        <v>3.0033790833192284E-2</v>
      </c>
      <c r="M167" s="241">
        <v>45632</v>
      </c>
      <c r="N167">
        <v>5421.03</v>
      </c>
      <c r="O167" s="227">
        <f t="shared" si="16"/>
        <v>-2.3390887307821462E-3</v>
      </c>
      <c r="P167" s="5">
        <f>O167-O1278</f>
        <v>-1.9733315298689747E-3</v>
      </c>
      <c r="Q167" s="8">
        <f t="shared" si="20"/>
        <v>3.8940373267750279E-6</v>
      </c>
      <c r="S167" s="1">
        <v>45632</v>
      </c>
      <c r="T167">
        <v>3.65</v>
      </c>
      <c r="U167" s="29">
        <f t="shared" si="17"/>
        <v>2.7472527472527375E-3</v>
      </c>
      <c r="V167" s="5">
        <f>U167-V1274</f>
        <v>1.0110619715456995E-3</v>
      </c>
      <c r="X167" t="s">
        <v>382</v>
      </c>
      <c r="Y167">
        <v>4.2300000000000004</v>
      </c>
      <c r="Z167" s="48">
        <f t="shared" si="18"/>
        <v>2.1739130434782705E-2</v>
      </c>
      <c r="AA167" s="5">
        <f>Z167-Y1274</f>
        <v>1.7521810965508571E-2</v>
      </c>
      <c r="AD167" s="1">
        <v>45632</v>
      </c>
      <c r="AE167">
        <v>115.05</v>
      </c>
      <c r="AF167" s="29">
        <f t="shared" si="19"/>
        <v>1.1250769095543678E-2</v>
      </c>
    </row>
    <row r="168" spans="1:32">
      <c r="A168" s="220">
        <v>45449</v>
      </c>
      <c r="B168" s="222">
        <v>68.900000000000006</v>
      </c>
      <c r="C168" s="227">
        <f t="shared" si="14"/>
        <v>-5.915452315683134E-3</v>
      </c>
      <c r="D168" s="5">
        <f>C168-C1275</f>
        <v>-5.9934978852420233E-3</v>
      </c>
      <c r="F168" s="8"/>
      <c r="H168" s="1">
        <v>45479</v>
      </c>
      <c r="I168">
        <v>15.6</v>
      </c>
      <c r="J168" s="227">
        <f t="shared" si="15"/>
        <v>3.4482758620689724E-2</v>
      </c>
      <c r="K168" s="5">
        <f>J168-J1276</f>
        <v>3.2346802705079766E-2</v>
      </c>
      <c r="M168" s="241">
        <v>45602</v>
      </c>
      <c r="N168">
        <v>5375.32</v>
      </c>
      <c r="O168" s="227">
        <f t="shared" si="16"/>
        <v>-8.4319769490299734E-3</v>
      </c>
      <c r="P168" s="5">
        <f>O168-O1278</f>
        <v>-8.0662197481168024E-3</v>
      </c>
      <c r="Q168" s="8">
        <f t="shared" si="20"/>
        <v>6.5063901024909492E-5</v>
      </c>
      <c r="S168" s="1">
        <v>45602</v>
      </c>
      <c r="T168">
        <v>3.62</v>
      </c>
      <c r="U168" s="29">
        <f t="shared" si="17"/>
        <v>-8.2191780821917471E-3</v>
      </c>
      <c r="V168" s="5">
        <f>U168-V1274</f>
        <v>-9.9553688578987859E-3</v>
      </c>
      <c r="X168" t="s">
        <v>383</v>
      </c>
      <c r="Y168">
        <v>4.3499999999999996</v>
      </c>
      <c r="Z168" s="48">
        <f t="shared" si="18"/>
        <v>2.8368794326240954E-2</v>
      </c>
      <c r="AA168" s="5">
        <f>Z168-Y1274</f>
        <v>2.415147485696682E-2</v>
      </c>
      <c r="AD168" s="1">
        <v>45602</v>
      </c>
      <c r="AE168">
        <v>113</v>
      </c>
      <c r="AF168" s="29">
        <f t="shared" si="19"/>
        <v>-1.781833985223813E-2</v>
      </c>
    </row>
    <row r="169" spans="1:32">
      <c r="A169" s="220">
        <v>45418</v>
      </c>
      <c r="B169" s="222">
        <v>65.819999999999993</v>
      </c>
      <c r="C169" s="227">
        <f t="shared" si="14"/>
        <v>-4.4702467343976982E-2</v>
      </c>
      <c r="D169" s="5">
        <f>C169-C1275</f>
        <v>-4.4780512913535873E-2</v>
      </c>
      <c r="F169" s="8"/>
      <c r="H169" s="1">
        <v>45449</v>
      </c>
      <c r="I169">
        <v>15.69</v>
      </c>
      <c r="J169" s="227">
        <f t="shared" si="15"/>
        <v>5.7692307692307487E-3</v>
      </c>
      <c r="K169" s="5">
        <f>J169-J1276</f>
        <v>3.6332748536207909E-3</v>
      </c>
      <c r="M169" s="241">
        <v>45571</v>
      </c>
      <c r="N169">
        <v>5360.79</v>
      </c>
      <c r="O169" s="227">
        <f t="shared" si="16"/>
        <v>-2.7030948855137904E-3</v>
      </c>
      <c r="P169" s="5">
        <f>O169-O1278</f>
        <v>-2.3373376846006189E-3</v>
      </c>
      <c r="Q169" s="8">
        <f t="shared" si="20"/>
        <v>5.4631474518541825E-6</v>
      </c>
      <c r="S169" s="1">
        <v>45571</v>
      </c>
      <c r="T169">
        <v>3.64</v>
      </c>
      <c r="U169" s="29">
        <f t="shared" si="17"/>
        <v>5.5248618784531356E-3</v>
      </c>
      <c r="V169" s="5">
        <f>U169-V1274</f>
        <v>3.7886711027460976E-3</v>
      </c>
      <c r="X169" t="s">
        <v>384</v>
      </c>
      <c r="Y169">
        <v>4.4000000000000004</v>
      </c>
      <c r="Z169" s="48">
        <f t="shared" si="18"/>
        <v>1.1494252873563315E-2</v>
      </c>
      <c r="AA169" s="5">
        <f>Z169-Y1274</f>
        <v>7.2769334042891813E-3</v>
      </c>
      <c r="AD169" s="1">
        <v>45571</v>
      </c>
      <c r="AE169">
        <v>112.25</v>
      </c>
      <c r="AF169" s="29">
        <f t="shared" si="19"/>
        <v>-6.6371681415928752E-3</v>
      </c>
    </row>
    <row r="170" spans="1:32">
      <c r="A170" s="220">
        <v>45388</v>
      </c>
      <c r="B170" s="222">
        <v>64.55</v>
      </c>
      <c r="C170" s="227">
        <f t="shared" si="14"/>
        <v>-1.9295047098146445E-2</v>
      </c>
      <c r="D170" s="5">
        <f>C170-C1275</f>
        <v>-1.9373092667705333E-2</v>
      </c>
      <c r="F170" s="8"/>
      <c r="H170" s="1">
        <v>45418</v>
      </c>
      <c r="I170">
        <v>15.53</v>
      </c>
      <c r="J170" s="227">
        <f t="shared" si="15"/>
        <v>-1.0197578075207159E-2</v>
      </c>
      <c r="K170" s="5">
        <f>J170-J1276</f>
        <v>-1.2333533990817117E-2</v>
      </c>
      <c r="M170" s="241">
        <v>45479</v>
      </c>
      <c r="N170">
        <v>5346.99</v>
      </c>
      <c r="O170" s="227">
        <f t="shared" si="16"/>
        <v>-2.5742474523344772E-3</v>
      </c>
      <c r="P170" s="5">
        <f>O170-O1278</f>
        <v>-2.2084902514213057E-3</v>
      </c>
      <c r="Q170" s="8">
        <f t="shared" si="20"/>
        <v>4.8774291906229422E-6</v>
      </c>
      <c r="S170" s="1">
        <v>45479</v>
      </c>
      <c r="T170">
        <v>3.67</v>
      </c>
      <c r="U170" s="29">
        <f t="shared" si="17"/>
        <v>8.2417582417582125E-3</v>
      </c>
      <c r="V170" s="5">
        <f>U170-V1274</f>
        <v>6.5055674660511745E-3</v>
      </c>
      <c r="X170" t="s">
        <v>385</v>
      </c>
      <c r="Y170">
        <v>4.4000000000000004</v>
      </c>
      <c r="Z170" s="48">
        <f t="shared" si="18"/>
        <v>0</v>
      </c>
      <c r="AA170" s="5">
        <f>Z170-Y1274</f>
        <v>-4.2173194692741341E-3</v>
      </c>
      <c r="AD170" s="1">
        <v>45479</v>
      </c>
      <c r="AE170">
        <v>113.27</v>
      </c>
      <c r="AF170" s="29">
        <f t="shared" si="19"/>
        <v>9.0868596881958918E-3</v>
      </c>
    </row>
    <row r="171" spans="1:32">
      <c r="A171" s="220">
        <v>45357</v>
      </c>
      <c r="B171" s="222">
        <v>63.79</v>
      </c>
      <c r="C171" s="227">
        <f t="shared" si="14"/>
        <v>-1.1773818745158815E-2</v>
      </c>
      <c r="D171" s="5">
        <f>C171-C1275</f>
        <v>-1.1851864314717703E-2</v>
      </c>
      <c r="F171" s="8"/>
      <c r="H171" s="1">
        <v>45388</v>
      </c>
      <c r="I171">
        <v>15.27</v>
      </c>
      <c r="J171" s="227">
        <f t="shared" si="15"/>
        <v>-1.6741790083708907E-2</v>
      </c>
      <c r="K171" s="5">
        <f>J171-J1276</f>
        <v>-1.8877745999318865E-2</v>
      </c>
      <c r="M171" s="241">
        <v>45449</v>
      </c>
      <c r="N171">
        <v>5352.96</v>
      </c>
      <c r="O171" s="227">
        <f t="shared" si="16"/>
        <v>1.1165160211632497E-3</v>
      </c>
      <c r="P171" s="5">
        <f>O171-O1278</f>
        <v>1.4822732220764212E-3</v>
      </c>
      <c r="Q171" s="8">
        <f t="shared" si="20"/>
        <v>2.1971339048848155E-6</v>
      </c>
      <c r="S171" s="1">
        <v>45449</v>
      </c>
      <c r="T171">
        <v>3.68</v>
      </c>
      <c r="U171" s="29">
        <f t="shared" si="17"/>
        <v>2.7247956403271267E-3</v>
      </c>
      <c r="V171" s="5">
        <f>U171-V1274</f>
        <v>9.8860486462008876E-4</v>
      </c>
      <c r="X171" t="s">
        <v>386</v>
      </c>
      <c r="Y171">
        <v>4.4400000000000004</v>
      </c>
      <c r="Z171" s="48">
        <f t="shared" si="18"/>
        <v>9.0909090909090384E-3</v>
      </c>
      <c r="AA171" s="5">
        <f>Z171-Y1274</f>
        <v>4.8735896216349044E-3</v>
      </c>
      <c r="AD171" s="1">
        <v>45449</v>
      </c>
      <c r="AE171">
        <v>114.07</v>
      </c>
      <c r="AF171" s="29">
        <f t="shared" si="19"/>
        <v>7.0627703716783508E-3</v>
      </c>
    </row>
    <row r="172" spans="1:32">
      <c r="A172" s="3" t="s">
        <v>392</v>
      </c>
      <c r="B172" s="222">
        <v>64.56</v>
      </c>
      <c r="C172" s="227">
        <f t="shared" si="14"/>
        <v>1.2070857501175869E-2</v>
      </c>
      <c r="D172" s="5">
        <f>C172-C1275</f>
        <v>1.1992811931616981E-2</v>
      </c>
      <c r="F172" s="8"/>
      <c r="H172" s="1">
        <v>45357</v>
      </c>
      <c r="I172">
        <v>15.8</v>
      </c>
      <c r="J172" s="227">
        <f t="shared" si="15"/>
        <v>3.4708578912901134E-2</v>
      </c>
      <c r="K172" s="5">
        <f>J172-J1276</f>
        <v>3.2572622997291176E-2</v>
      </c>
      <c r="M172" s="241">
        <v>45418</v>
      </c>
      <c r="N172">
        <v>5354.03</v>
      </c>
      <c r="O172" s="227">
        <f t="shared" si="16"/>
        <v>1.9988940698234536E-4</v>
      </c>
      <c r="P172" s="5">
        <f>O172-O1278</f>
        <v>5.6564660789551685E-4</v>
      </c>
      <c r="Q172" s="8">
        <f t="shared" si="20"/>
        <v>3.1995608502370459E-7</v>
      </c>
      <c r="S172" s="1">
        <v>45418</v>
      </c>
      <c r="T172">
        <v>3.68</v>
      </c>
      <c r="U172" s="29">
        <f t="shared" si="17"/>
        <v>0</v>
      </c>
      <c r="V172" s="5">
        <f>U172-V1274</f>
        <v>-1.736190775707038E-3</v>
      </c>
      <c r="X172" t="s">
        <v>387</v>
      </c>
      <c r="Y172">
        <v>4.42</v>
      </c>
      <c r="Z172" s="48">
        <f t="shared" si="18"/>
        <v>-4.5045045045045695E-3</v>
      </c>
      <c r="AA172" s="5">
        <f>Z172-Y1274</f>
        <v>-8.7218239737787036E-3</v>
      </c>
      <c r="AD172" s="1">
        <v>45418</v>
      </c>
      <c r="AE172">
        <v>110.58</v>
      </c>
      <c r="AF172" s="29">
        <f t="shared" si="19"/>
        <v>-3.0595248531603336E-2</v>
      </c>
    </row>
    <row r="173" spans="1:32">
      <c r="A173" s="3" t="s">
        <v>393</v>
      </c>
      <c r="B173" s="222">
        <v>64.12</v>
      </c>
      <c r="C173" s="227">
        <f t="shared" si="14"/>
        <v>-6.8153655514250344E-3</v>
      </c>
      <c r="D173" s="5">
        <f>C173-C1275</f>
        <v>-6.8934111209839237E-3</v>
      </c>
      <c r="F173" s="8"/>
      <c r="H173" t="s">
        <v>392</v>
      </c>
      <c r="I173">
        <v>15.61</v>
      </c>
      <c r="J173" s="227">
        <f t="shared" si="15"/>
        <v>-1.2025316455696267E-2</v>
      </c>
      <c r="K173" s="5">
        <f>J173-J1276</f>
        <v>-1.4161272371306224E-2</v>
      </c>
      <c r="M173" s="241">
        <v>45388</v>
      </c>
      <c r="N173">
        <v>5291.34</v>
      </c>
      <c r="O173" s="227">
        <f t="shared" si="16"/>
        <v>-1.1708937006329689E-2</v>
      </c>
      <c r="P173" s="5">
        <f>O173-O1278</f>
        <v>-1.1343179805416518E-2</v>
      </c>
      <c r="Q173" s="8">
        <f t="shared" si="20"/>
        <v>1.2866772809800911E-4</v>
      </c>
      <c r="S173" s="1">
        <v>45388</v>
      </c>
      <c r="T173">
        <v>3.66</v>
      </c>
      <c r="U173" s="29">
        <f t="shared" si="17"/>
        <v>-5.4347826086956763E-3</v>
      </c>
      <c r="V173" s="5">
        <f>U173-V1274</f>
        <v>-7.1709733844027143E-3</v>
      </c>
      <c r="X173" t="s">
        <v>388</v>
      </c>
      <c r="Y173">
        <v>4.49</v>
      </c>
      <c r="Z173" s="48">
        <f t="shared" si="18"/>
        <v>1.5837104072398356E-2</v>
      </c>
      <c r="AA173" s="5">
        <f>Z173-Y1274</f>
        <v>1.1619784603124222E-2</v>
      </c>
      <c r="AD173" s="1">
        <v>45388</v>
      </c>
      <c r="AE173">
        <v>111.3</v>
      </c>
      <c r="AF173" s="29">
        <f t="shared" si="19"/>
        <v>6.5111231687466908E-3</v>
      </c>
    </row>
    <row r="174" spans="1:32">
      <c r="A174" s="3" t="s">
        <v>394</v>
      </c>
      <c r="B174" s="222">
        <v>64.930000000000007</v>
      </c>
      <c r="C174" s="227">
        <f t="shared" si="14"/>
        <v>1.26325639426077E-2</v>
      </c>
      <c r="D174" s="5">
        <f>C174-C1275</f>
        <v>1.2554518373048811E-2</v>
      </c>
      <c r="F174" s="8"/>
      <c r="H174" t="s">
        <v>393</v>
      </c>
      <c r="I174">
        <v>15.76</v>
      </c>
      <c r="J174" s="227">
        <f t="shared" si="15"/>
        <v>9.6092248558616866E-3</v>
      </c>
      <c r="K174" s="5">
        <f>J174-J1276</f>
        <v>7.4732689402517288E-3</v>
      </c>
      <c r="M174" s="241">
        <v>45357</v>
      </c>
      <c r="N174">
        <v>5283.4</v>
      </c>
      <c r="O174" s="227">
        <f t="shared" si="16"/>
        <v>-1.500565074253446E-3</v>
      </c>
      <c r="P174" s="5">
        <f>O174-O1278</f>
        <v>-1.1348078733402745E-3</v>
      </c>
      <c r="Q174" s="8">
        <f t="shared" si="20"/>
        <v>1.2877889093950766E-6</v>
      </c>
      <c r="S174" s="1">
        <v>45357</v>
      </c>
      <c r="T174">
        <v>3.67</v>
      </c>
      <c r="U174" s="29">
        <f t="shared" si="17"/>
        <v>2.732240437158362E-3</v>
      </c>
      <c r="V174" s="5">
        <f>U174-V1274</f>
        <v>9.9604966145132399E-4</v>
      </c>
      <c r="X174" t="s">
        <v>389</v>
      </c>
      <c r="Y174">
        <v>4.45</v>
      </c>
      <c r="Z174" s="48">
        <f t="shared" si="18"/>
        <v>-8.9086859688195519E-3</v>
      </c>
      <c r="AA174" s="5">
        <f>Z174-Y1274</f>
        <v>-1.3126005438093686E-2</v>
      </c>
      <c r="AD174" s="1">
        <v>45357</v>
      </c>
      <c r="AE174">
        <v>110.82</v>
      </c>
      <c r="AF174" s="29">
        <f t="shared" si="19"/>
        <v>-4.3126684636118906E-3</v>
      </c>
    </row>
    <row r="175" spans="1:32">
      <c r="A175" s="3" t="s">
        <v>395</v>
      </c>
      <c r="B175" s="222">
        <v>63.52</v>
      </c>
      <c r="C175" s="227">
        <f t="shared" si="14"/>
        <v>-2.171569382411831E-2</v>
      </c>
      <c r="D175" s="5">
        <f>C175-C1275</f>
        <v>-2.1793739393677198E-2</v>
      </c>
      <c r="E175" s="1"/>
      <c r="F175" s="8"/>
      <c r="H175" t="s">
        <v>394</v>
      </c>
      <c r="I175">
        <v>15.92</v>
      </c>
      <c r="J175" s="227">
        <f t="shared" si="15"/>
        <v>1.0152284263959421E-2</v>
      </c>
      <c r="K175" s="5">
        <f>J175-J1276</f>
        <v>8.0163283483494635E-3</v>
      </c>
      <c r="M175" s="240" t="s">
        <v>392</v>
      </c>
      <c r="N175">
        <v>5277.51</v>
      </c>
      <c r="O175" s="227">
        <f t="shared" si="16"/>
        <v>-1.1148124313887786E-3</v>
      </c>
      <c r="P175" s="5">
        <f>O175-O1278</f>
        <v>-7.4905523047560712E-4</v>
      </c>
      <c r="Q175" s="8">
        <f t="shared" si="20"/>
        <v>5.6108373830286489E-7</v>
      </c>
      <c r="S175" t="s">
        <v>392</v>
      </c>
      <c r="T175">
        <v>3.67</v>
      </c>
      <c r="U175" s="29">
        <f t="shared" si="17"/>
        <v>0</v>
      </c>
      <c r="V175" s="5">
        <f>U175-V1274</f>
        <v>-1.736190775707038E-3</v>
      </c>
      <c r="X175" t="s">
        <v>390</v>
      </c>
      <c r="Y175">
        <v>4.26</v>
      </c>
      <c r="Z175" s="48">
        <f t="shared" si="18"/>
        <v>-4.2696629213483273E-2</v>
      </c>
      <c r="AA175" s="5">
        <f>Z175-Y1274</f>
        <v>-4.6913948682757403E-2</v>
      </c>
      <c r="AD175" t="s">
        <v>392</v>
      </c>
      <c r="AE175">
        <v>110.11</v>
      </c>
      <c r="AF175" s="29">
        <f t="shared" si="19"/>
        <v>-6.4067857787402094E-3</v>
      </c>
    </row>
    <row r="176" spans="1:32">
      <c r="A176" s="3" t="s">
        <v>396</v>
      </c>
      <c r="B176" s="222">
        <v>64.260000000000005</v>
      </c>
      <c r="C176" s="227">
        <f t="shared" si="14"/>
        <v>1.1649874055415621E-2</v>
      </c>
      <c r="D176" s="5">
        <f>C176-C1275</f>
        <v>1.1571828485856733E-2</v>
      </c>
      <c r="E176" s="1"/>
      <c r="F176" s="8"/>
      <c r="H176" t="s">
        <v>395</v>
      </c>
      <c r="I176">
        <v>15.68</v>
      </c>
      <c r="J176" s="227">
        <f t="shared" si="15"/>
        <v>-1.5075376884422176E-2</v>
      </c>
      <c r="K176" s="5">
        <f>J176-J1276</f>
        <v>-1.7211332800032134E-2</v>
      </c>
      <c r="M176" s="240" t="s">
        <v>393</v>
      </c>
      <c r="N176">
        <v>5235.4799999999996</v>
      </c>
      <c r="O176" s="227">
        <f t="shared" si="16"/>
        <v>-7.9639830147173463E-3</v>
      </c>
      <c r="P176" s="5">
        <f>O176-O1278</f>
        <v>-7.5982258138041743E-3</v>
      </c>
      <c r="Q176" s="8">
        <f t="shared" si="20"/>
        <v>5.7733035517560109E-5</v>
      </c>
      <c r="S176" t="s">
        <v>393</v>
      </c>
      <c r="T176">
        <v>3.65</v>
      </c>
      <c r="U176" s="29">
        <f t="shared" si="17"/>
        <v>-5.4495912806539204E-3</v>
      </c>
      <c r="V176" s="5">
        <f>U176-V1274</f>
        <v>-7.1857820563609584E-3</v>
      </c>
      <c r="X176" t="s">
        <v>391</v>
      </c>
      <c r="Y176">
        <v>4.3</v>
      </c>
      <c r="Z176" s="48">
        <f t="shared" si="18"/>
        <v>9.3896713615022609E-3</v>
      </c>
      <c r="AA176" s="5">
        <f>Z176-Y1274</f>
        <v>5.1723518922281268E-3</v>
      </c>
      <c r="AD176" t="s">
        <v>393</v>
      </c>
      <c r="AE176">
        <v>110.54</v>
      </c>
      <c r="AF176" s="29">
        <f t="shared" si="19"/>
        <v>3.9051857233676213E-3</v>
      </c>
    </row>
    <row r="177" spans="1:32">
      <c r="A177" s="3" t="s">
        <v>397</v>
      </c>
      <c r="B177" s="222">
        <v>63.6</v>
      </c>
      <c r="C177" s="227">
        <f t="shared" si="14"/>
        <v>-1.0270774976657404E-2</v>
      </c>
      <c r="D177" s="5">
        <f>C177-C1275</f>
        <v>-1.0348820546216293E-2</v>
      </c>
      <c r="E177" s="1"/>
      <c r="F177" s="8"/>
      <c r="H177" t="s">
        <v>396</v>
      </c>
      <c r="I177">
        <v>15.64</v>
      </c>
      <c r="J177" s="227">
        <f t="shared" si="15"/>
        <v>-2.5510204081632404E-3</v>
      </c>
      <c r="K177" s="5">
        <f>J177-J1276</f>
        <v>-4.6869763237731982E-3</v>
      </c>
      <c r="M177" s="240" t="s">
        <v>394</v>
      </c>
      <c r="N177">
        <v>5266.95</v>
      </c>
      <c r="O177" s="227">
        <f t="shared" si="16"/>
        <v>6.0109101744252325E-3</v>
      </c>
      <c r="P177" s="5">
        <f>O177-O1278</f>
        <v>6.3766673753384044E-3</v>
      </c>
      <c r="Q177" s="8">
        <f t="shared" si="20"/>
        <v>4.0661886815705176E-5</v>
      </c>
      <c r="S177" t="s">
        <v>394</v>
      </c>
      <c r="T177">
        <v>3.64</v>
      </c>
      <c r="U177" s="29">
        <f t="shared" si="17"/>
        <v>-2.739726027397249E-3</v>
      </c>
      <c r="V177" s="5">
        <f>U177-V1274</f>
        <v>-4.475916803104287E-3</v>
      </c>
      <c r="X177" s="1">
        <v>45632</v>
      </c>
      <c r="Y177">
        <v>4.22</v>
      </c>
      <c r="Z177" s="48">
        <f t="shared" si="18"/>
        <v>-1.8604651162790753E-2</v>
      </c>
      <c r="AA177" s="5">
        <f>Z177-Y1274</f>
        <v>-2.2821970632064887E-2</v>
      </c>
      <c r="AD177" t="s">
        <v>394</v>
      </c>
      <c r="AE177">
        <v>111.74</v>
      </c>
      <c r="AF177" s="29">
        <f t="shared" si="19"/>
        <v>1.085579880586196E-2</v>
      </c>
    </row>
    <row r="178" spans="1:32">
      <c r="A178" s="3" t="s">
        <v>398</v>
      </c>
      <c r="B178" s="222">
        <v>65.48</v>
      </c>
      <c r="C178" s="227">
        <f t="shared" si="14"/>
        <v>2.955974842767306E-2</v>
      </c>
      <c r="D178" s="5">
        <f>C178-C1275</f>
        <v>2.9481702858114172E-2</v>
      </c>
      <c r="E178" s="1"/>
      <c r="F178" s="8"/>
      <c r="H178" t="s">
        <v>397</v>
      </c>
      <c r="I178">
        <v>15.43</v>
      </c>
      <c r="J178" s="227">
        <f t="shared" si="15"/>
        <v>-1.3427109974424645E-2</v>
      </c>
      <c r="K178" s="5">
        <f>J178-J1276</f>
        <v>-1.5563065890034603E-2</v>
      </c>
      <c r="M178" s="240" t="s">
        <v>395</v>
      </c>
      <c r="N178">
        <v>5306.04</v>
      </c>
      <c r="O178" s="227">
        <f t="shared" si="16"/>
        <v>7.4217526272322143E-3</v>
      </c>
      <c r="P178" s="5">
        <f>O178-O1278</f>
        <v>7.7875098281453862E-3</v>
      </c>
      <c r="Q178" s="8">
        <f t="shared" si="20"/>
        <v>6.0645309323460983E-5</v>
      </c>
      <c r="S178" t="s">
        <v>395</v>
      </c>
      <c r="T178">
        <v>3.65</v>
      </c>
      <c r="U178" s="29">
        <f t="shared" si="17"/>
        <v>2.7472527472527375E-3</v>
      </c>
      <c r="V178" s="5">
        <f>U178-V1274</f>
        <v>1.0110619715456995E-3</v>
      </c>
      <c r="X178" s="1">
        <v>45602</v>
      </c>
      <c r="Y178">
        <v>4.33</v>
      </c>
      <c r="Z178" s="48">
        <f t="shared" si="18"/>
        <v>2.6066350710900466E-2</v>
      </c>
      <c r="AA178" s="5">
        <f>Z178-Y1274</f>
        <v>2.1849031241626331E-2</v>
      </c>
      <c r="AD178" t="s">
        <v>395</v>
      </c>
      <c r="AE178">
        <v>112.44</v>
      </c>
      <c r="AF178" s="29">
        <f t="shared" si="19"/>
        <v>6.264542688383834E-3</v>
      </c>
    </row>
    <row r="179" spans="1:32">
      <c r="A179" s="3" t="s">
        <v>399</v>
      </c>
      <c r="B179" s="222">
        <v>63.97</v>
      </c>
      <c r="C179" s="227">
        <f t="shared" si="14"/>
        <v>-2.3060476481368442E-2</v>
      </c>
      <c r="D179" s="5">
        <f>C179-C1275</f>
        <v>-2.313852205092733E-2</v>
      </c>
      <c r="E179" s="1"/>
      <c r="F179" s="8"/>
      <c r="H179" t="s">
        <v>398</v>
      </c>
      <c r="I179">
        <v>16.11</v>
      </c>
      <c r="J179" s="227">
        <f t="shared" si="15"/>
        <v>4.4069993519118666E-2</v>
      </c>
      <c r="K179" s="5">
        <f>J179-J1276</f>
        <v>4.1934037603508709E-2</v>
      </c>
      <c r="M179" s="240" t="s">
        <v>396</v>
      </c>
      <c r="N179">
        <v>5304.72</v>
      </c>
      <c r="O179" s="227">
        <f t="shared" si="16"/>
        <v>-2.4877309632032052E-4</v>
      </c>
      <c r="P179" s="5">
        <f>O179-O1278</f>
        <v>1.1698410459285103E-4</v>
      </c>
      <c r="Q179" s="8">
        <f t="shared" si="20"/>
        <v>1.3685280727391108E-8</v>
      </c>
      <c r="S179" t="s">
        <v>396</v>
      </c>
      <c r="T179">
        <v>3.66</v>
      </c>
      <c r="U179" s="29">
        <f t="shared" si="17"/>
        <v>2.73972602739736E-3</v>
      </c>
      <c r="V179" s="5">
        <f>U179-V1274</f>
        <v>1.0035352516903221E-3</v>
      </c>
      <c r="X179" s="1">
        <v>45571</v>
      </c>
      <c r="Y179">
        <v>4.32</v>
      </c>
      <c r="Z179" s="48">
        <f t="shared" si="18"/>
        <v>-2.3094688221708681E-3</v>
      </c>
      <c r="AA179" s="5">
        <f>Z179-Y1274</f>
        <v>-6.5267882914450022E-3</v>
      </c>
      <c r="AD179" t="s">
        <v>396</v>
      </c>
      <c r="AE179">
        <v>112.83</v>
      </c>
      <c r="AF179" s="29">
        <f t="shared" si="19"/>
        <v>3.4685165421557418E-3</v>
      </c>
    </row>
    <row r="180" spans="1:32">
      <c r="A180" s="3" t="s">
        <v>400</v>
      </c>
      <c r="B180" s="222">
        <v>64.650000000000006</v>
      </c>
      <c r="C180" s="227">
        <f t="shared" si="14"/>
        <v>1.0629982804439608E-2</v>
      </c>
      <c r="D180" s="5">
        <f>C180-C1275</f>
        <v>1.055193723488072E-2</v>
      </c>
      <c r="E180" s="1"/>
      <c r="F180" s="8"/>
      <c r="H180" t="s">
        <v>399</v>
      </c>
      <c r="I180">
        <v>16.010000000000002</v>
      </c>
      <c r="J180" s="227">
        <f t="shared" si="15"/>
        <v>-6.2073246430787155E-3</v>
      </c>
      <c r="K180" s="5">
        <f>J180-J1276</f>
        <v>-8.3432805586886732E-3</v>
      </c>
      <c r="M180" s="240" t="s">
        <v>397</v>
      </c>
      <c r="N180">
        <v>5267.84</v>
      </c>
      <c r="O180" s="227">
        <f t="shared" si="16"/>
        <v>-6.9522990845888311E-3</v>
      </c>
      <c r="P180" s="5">
        <f>O180-O1278</f>
        <v>-6.5865418836756591E-3</v>
      </c>
      <c r="Q180" s="8">
        <f t="shared" si="20"/>
        <v>4.3382533985413699E-5</v>
      </c>
      <c r="S180" t="s">
        <v>397</v>
      </c>
      <c r="T180">
        <v>3.67</v>
      </c>
      <c r="U180" s="29">
        <f t="shared" si="17"/>
        <v>2.732240437158362E-3</v>
      </c>
      <c r="V180" s="5">
        <f>U180-V1274</f>
        <v>9.9604966145132399E-4</v>
      </c>
      <c r="X180" s="1">
        <v>45479</v>
      </c>
      <c r="Y180">
        <v>4.3099999999999996</v>
      </c>
      <c r="Z180" s="48">
        <f t="shared" si="18"/>
        <v>-2.3148148148149916E-3</v>
      </c>
      <c r="AA180" s="5">
        <f>Z180-Y1274</f>
        <v>-6.5321342840891257E-3</v>
      </c>
      <c r="AD180" t="s">
        <v>397</v>
      </c>
      <c r="AE180">
        <v>110.39</v>
      </c>
      <c r="AF180" s="29">
        <f t="shared" si="19"/>
        <v>-2.1625454223167528E-2</v>
      </c>
    </row>
    <row r="181" spans="1:32">
      <c r="A181" s="3" t="s">
        <v>401</v>
      </c>
      <c r="B181" s="222">
        <v>65.67</v>
      </c>
      <c r="C181" s="227">
        <f t="shared" si="14"/>
        <v>1.5777262180974416E-2</v>
      </c>
      <c r="D181" s="5">
        <f>C181-C1275</f>
        <v>1.5699216611415528E-2</v>
      </c>
      <c r="E181" s="1"/>
      <c r="F181" s="8"/>
      <c r="H181" t="s">
        <v>400</v>
      </c>
      <c r="I181">
        <v>16.07</v>
      </c>
      <c r="J181" s="227">
        <f t="shared" si="15"/>
        <v>3.7476577139288203E-3</v>
      </c>
      <c r="K181" s="5">
        <f>J181-J1276</f>
        <v>1.6117017983188625E-3</v>
      </c>
      <c r="M181" s="240" t="s">
        <v>398</v>
      </c>
      <c r="N181">
        <v>5307.01</v>
      </c>
      <c r="O181" s="227">
        <f t="shared" si="16"/>
        <v>7.4356852144332741E-3</v>
      </c>
      <c r="P181" s="5">
        <f>O181-O1278</f>
        <v>7.8014424153464461E-3</v>
      </c>
      <c r="Q181" s="8">
        <f t="shared" si="20"/>
        <v>6.086250375996659E-5</v>
      </c>
      <c r="S181" t="s">
        <v>398</v>
      </c>
      <c r="T181">
        <v>3.7</v>
      </c>
      <c r="U181" s="29">
        <f t="shared" si="17"/>
        <v>8.1743869209809361E-3</v>
      </c>
      <c r="V181" s="5">
        <f>U181-V1274</f>
        <v>6.4381961452738981E-3</v>
      </c>
      <c r="X181" s="1">
        <v>45449</v>
      </c>
      <c r="Y181">
        <v>4.3</v>
      </c>
      <c r="Z181" s="48">
        <f t="shared" si="18"/>
        <v>-2.3201856148491462E-3</v>
      </c>
      <c r="AA181" s="5">
        <f>Z181-Y1274</f>
        <v>-6.5375050841232803E-3</v>
      </c>
      <c r="AD181" t="s">
        <v>398</v>
      </c>
      <c r="AE181">
        <v>111.63</v>
      </c>
      <c r="AF181" s="29">
        <f t="shared" si="19"/>
        <v>1.1232901530935813E-2</v>
      </c>
    </row>
    <row r="182" spans="1:32">
      <c r="A182" s="3" t="s">
        <v>402</v>
      </c>
      <c r="B182" s="222">
        <v>66.05</v>
      </c>
      <c r="C182" s="227">
        <f t="shared" si="14"/>
        <v>5.7865082990711247E-3</v>
      </c>
      <c r="D182" s="5">
        <f>C182-C1275</f>
        <v>5.7084627295122354E-3</v>
      </c>
      <c r="E182" s="1"/>
      <c r="F182" s="8"/>
      <c r="H182" t="s">
        <v>401</v>
      </c>
      <c r="I182">
        <v>16.62</v>
      </c>
      <c r="J182" s="227">
        <f t="shared" si="15"/>
        <v>3.4225264467952821E-2</v>
      </c>
      <c r="K182" s="5">
        <f>J182-J1276</f>
        <v>3.2089308552342863E-2</v>
      </c>
      <c r="M182" s="240" t="s">
        <v>399</v>
      </c>
      <c r="N182">
        <v>5321.41</v>
      </c>
      <c r="O182" s="227">
        <f t="shared" si="16"/>
        <v>2.7133922868054494E-3</v>
      </c>
      <c r="P182" s="5">
        <f>O182-O1278</f>
        <v>3.0791494877186209E-3</v>
      </c>
      <c r="Q182" s="8">
        <f t="shared" si="20"/>
        <v>9.481161567717846E-6</v>
      </c>
      <c r="S182" t="s">
        <v>399</v>
      </c>
      <c r="T182">
        <v>3.72</v>
      </c>
      <c r="U182" s="29">
        <f t="shared" si="17"/>
        <v>5.4054054054053502E-3</v>
      </c>
      <c r="V182" s="5">
        <f>U182-V1274</f>
        <v>3.6692146296983122E-3</v>
      </c>
      <c r="X182" s="1">
        <v>45418</v>
      </c>
      <c r="Y182">
        <v>4.45</v>
      </c>
      <c r="Z182" s="48">
        <f t="shared" si="18"/>
        <v>3.488372093023262E-2</v>
      </c>
      <c r="AA182" s="5">
        <f>Z182-Y1274</f>
        <v>3.0666401460958486E-2</v>
      </c>
      <c r="AD182" t="s">
        <v>399</v>
      </c>
      <c r="AE182">
        <v>112.82</v>
      </c>
      <c r="AF182" s="29">
        <f t="shared" si="19"/>
        <v>1.0660216787601984E-2</v>
      </c>
    </row>
    <row r="183" spans="1:32">
      <c r="A183" s="3" t="s">
        <v>403</v>
      </c>
      <c r="B183" s="222">
        <v>66.62</v>
      </c>
      <c r="C183" s="227">
        <f t="shared" si="14"/>
        <v>8.6298258894776936E-3</v>
      </c>
      <c r="D183" s="5">
        <f>C183-C1275</f>
        <v>8.5517803199188051E-3</v>
      </c>
      <c r="F183" s="8"/>
      <c r="H183" t="s">
        <v>402</v>
      </c>
      <c r="I183">
        <v>16.95</v>
      </c>
      <c r="J183" s="227">
        <f t="shared" si="15"/>
        <v>1.9855595667869874E-2</v>
      </c>
      <c r="K183" s="5">
        <f>J183-J1276</f>
        <v>1.7719639752259916E-2</v>
      </c>
      <c r="M183" s="240" t="s">
        <v>400</v>
      </c>
      <c r="N183">
        <v>5308.13</v>
      </c>
      <c r="O183" s="227">
        <f t="shared" si="16"/>
        <v>-2.4955791792025117E-3</v>
      </c>
      <c r="P183" s="5">
        <f>O183-O1278</f>
        <v>-2.1298219782893402E-3</v>
      </c>
      <c r="Q183" s="8">
        <f t="shared" si="20"/>
        <v>4.5361416592043188E-6</v>
      </c>
      <c r="S183" t="s">
        <v>400</v>
      </c>
      <c r="T183">
        <v>3.74</v>
      </c>
      <c r="U183" s="29">
        <f t="shared" si="17"/>
        <v>5.3763440860215006E-3</v>
      </c>
      <c r="V183" s="5">
        <f>U183-V1274</f>
        <v>3.6401533103144626E-3</v>
      </c>
      <c r="X183" s="1">
        <v>45388</v>
      </c>
      <c r="Y183">
        <v>4.58</v>
      </c>
      <c r="Z183" s="48">
        <f t="shared" si="18"/>
        <v>2.9213483146067309E-2</v>
      </c>
      <c r="AA183" s="5">
        <f>Z183-Y1274</f>
        <v>2.4996163676793175E-2</v>
      </c>
      <c r="AD183" t="s">
        <v>400</v>
      </c>
      <c r="AE183">
        <v>113.96</v>
      </c>
      <c r="AF183" s="29">
        <f t="shared" si="19"/>
        <v>1.0104591384506367E-2</v>
      </c>
    </row>
    <row r="184" spans="1:32">
      <c r="A184" s="3" t="s">
        <v>404</v>
      </c>
      <c r="B184" s="222">
        <v>65.319999999999993</v>
      </c>
      <c r="C184" s="227">
        <f t="shared" si="14"/>
        <v>-1.9513659561693375E-2</v>
      </c>
      <c r="D184" s="5">
        <f>C184-C1275</f>
        <v>-1.9591705131252263E-2</v>
      </c>
      <c r="F184" s="8"/>
      <c r="H184" t="s">
        <v>403</v>
      </c>
      <c r="I184">
        <v>17.079999999999998</v>
      </c>
      <c r="J184" s="227">
        <f t="shared" si="15"/>
        <v>7.6696165191740828E-3</v>
      </c>
      <c r="K184" s="5">
        <f>J184-J1276</f>
        <v>5.533660603564125E-3</v>
      </c>
      <c r="M184" s="240" t="s">
        <v>401</v>
      </c>
      <c r="N184">
        <v>5303.27</v>
      </c>
      <c r="O184" s="227">
        <f t="shared" si="16"/>
        <v>-9.1557667201058734E-4</v>
      </c>
      <c r="P184" s="5">
        <f>O184-O1278</f>
        <v>-5.4981947109741585E-4</v>
      </c>
      <c r="Q184" s="8">
        <f t="shared" si="20"/>
        <v>3.0230145079784211E-7</v>
      </c>
      <c r="S184" t="s">
        <v>401</v>
      </c>
      <c r="T184">
        <v>3.72</v>
      </c>
      <c r="U184" s="29">
        <f t="shared" si="17"/>
        <v>-5.3475935828877219E-3</v>
      </c>
      <c r="V184" s="5">
        <f>U184-V1274</f>
        <v>-7.0837843585947599E-3</v>
      </c>
      <c r="X184" s="1">
        <v>45357</v>
      </c>
      <c r="Y184">
        <v>4.5999999999999996</v>
      </c>
      <c r="Z184" s="48">
        <f t="shared" si="18"/>
        <v>4.366812227074135E-3</v>
      </c>
      <c r="AA184" s="5">
        <f>Z184-Y1274</f>
        <v>1.494927578000009E-4</v>
      </c>
      <c r="AD184" t="s">
        <v>401</v>
      </c>
      <c r="AE184">
        <v>117.43</v>
      </c>
      <c r="AF184" s="29">
        <f t="shared" si="19"/>
        <v>3.0449280449280636E-2</v>
      </c>
    </row>
    <row r="185" spans="1:32">
      <c r="A185" s="3" t="s">
        <v>405</v>
      </c>
      <c r="B185" s="222">
        <v>66.02</v>
      </c>
      <c r="C185" s="227">
        <f t="shared" si="14"/>
        <v>1.0716472749540795E-2</v>
      </c>
      <c r="D185" s="5">
        <f>C185-C1275</f>
        <v>1.0638427179981907E-2</v>
      </c>
      <c r="F185" s="8"/>
      <c r="H185" t="s">
        <v>404</v>
      </c>
      <c r="I185">
        <v>17.04</v>
      </c>
      <c r="J185" s="227">
        <f t="shared" si="15"/>
        <v>-2.3419203747072626E-3</v>
      </c>
      <c r="K185" s="5">
        <f>J185-J1276</f>
        <v>-4.4778762903172203E-3</v>
      </c>
      <c r="M185" s="240" t="s">
        <v>402</v>
      </c>
      <c r="N185">
        <v>5297.1</v>
      </c>
      <c r="O185" s="227">
        <f t="shared" si="16"/>
        <v>-1.1634331271084264E-3</v>
      </c>
      <c r="P185" s="5">
        <f>O185-O1278</f>
        <v>-7.976759261952549E-4</v>
      </c>
      <c r="Q185" s="8">
        <f t="shared" si="20"/>
        <v>6.3628688323145769E-7</v>
      </c>
      <c r="S185" t="s">
        <v>402</v>
      </c>
      <c r="T185">
        <v>3.65</v>
      </c>
      <c r="U185" s="29">
        <f t="shared" si="17"/>
        <v>-1.8817204301075363E-2</v>
      </c>
      <c r="V185" s="5">
        <f>U185-V1274</f>
        <v>-2.0553395076782402E-2</v>
      </c>
      <c r="X185" t="s">
        <v>392</v>
      </c>
      <c r="Y185">
        <v>4.58</v>
      </c>
      <c r="Z185" s="48">
        <f t="shared" si="18"/>
        <v>-4.3478260869563856E-3</v>
      </c>
      <c r="AA185" s="5">
        <f>Z185-Y1274</f>
        <v>-8.5651455562305197E-3</v>
      </c>
      <c r="AD185" t="s">
        <v>402</v>
      </c>
      <c r="AE185">
        <v>116.16</v>
      </c>
      <c r="AF185" s="29">
        <f t="shared" si="19"/>
        <v>-1.0814953589372456E-2</v>
      </c>
    </row>
    <row r="186" spans="1:32">
      <c r="A186" s="220">
        <v>45570</v>
      </c>
      <c r="B186" s="222">
        <v>66.989999999999995</v>
      </c>
      <c r="C186" s="227">
        <f t="shared" si="14"/>
        <v>1.4692517418963824E-2</v>
      </c>
      <c r="D186" s="5">
        <f>C186-C1275</f>
        <v>1.4614471849404936E-2</v>
      </c>
      <c r="F186" s="8"/>
      <c r="H186" t="s">
        <v>405</v>
      </c>
      <c r="I186">
        <v>17.079999999999998</v>
      </c>
      <c r="J186" s="227">
        <f t="shared" si="15"/>
        <v>2.3474178403755097E-3</v>
      </c>
      <c r="K186" s="5">
        <f>J186-J1276</f>
        <v>2.1146192476555192E-4</v>
      </c>
      <c r="M186" s="240" t="s">
        <v>403</v>
      </c>
      <c r="N186">
        <v>5308.15</v>
      </c>
      <c r="O186" s="227">
        <f t="shared" si="16"/>
        <v>2.0860470823655941E-3</v>
      </c>
      <c r="P186" s="5">
        <f>O186-O1278</f>
        <v>2.4518042832787656E-3</v>
      </c>
      <c r="Q186" s="8">
        <f t="shared" si="20"/>
        <v>6.0113442435041015E-6</v>
      </c>
      <c r="S186" t="s">
        <v>403</v>
      </c>
      <c r="T186">
        <v>3.6</v>
      </c>
      <c r="U186" s="29">
        <f t="shared" si="17"/>
        <v>-1.3698630136986245E-2</v>
      </c>
      <c r="V186" s="5">
        <f>U186-V1274</f>
        <v>-1.5434820912693284E-2</v>
      </c>
      <c r="X186" t="s">
        <v>393</v>
      </c>
      <c r="Y186">
        <v>4.5999999999999996</v>
      </c>
      <c r="Z186" s="48">
        <f t="shared" si="18"/>
        <v>4.366812227074135E-3</v>
      </c>
      <c r="AA186" s="5">
        <f>Z186-Y1274</f>
        <v>1.494927578000009E-4</v>
      </c>
      <c r="AD186" t="s">
        <v>403</v>
      </c>
      <c r="AE186">
        <v>116.28</v>
      </c>
      <c r="AF186" s="29">
        <f t="shared" si="19"/>
        <v>1.0330578512396382E-3</v>
      </c>
    </row>
    <row r="187" spans="1:32">
      <c r="A187" s="220">
        <v>45540</v>
      </c>
      <c r="B187" s="222">
        <v>67.930000000000007</v>
      </c>
      <c r="C187" s="227">
        <f t="shared" si="14"/>
        <v>1.4031945066427909E-2</v>
      </c>
      <c r="D187" s="5">
        <f>C187-C1275</f>
        <v>1.395389949686902E-2</v>
      </c>
      <c r="F187" s="8"/>
      <c r="H187" s="1">
        <v>45570</v>
      </c>
      <c r="I187">
        <v>17.18</v>
      </c>
      <c r="J187" s="227">
        <f t="shared" si="15"/>
        <v>5.8548009367682674E-3</v>
      </c>
      <c r="K187" s="5">
        <f>J187-J1276</f>
        <v>3.7188450211583096E-3</v>
      </c>
      <c r="M187" s="240" t="s">
        <v>404</v>
      </c>
      <c r="N187">
        <v>5246.68</v>
      </c>
      <c r="O187" s="227">
        <f t="shared" si="16"/>
        <v>-1.1580305756242582E-2</v>
      </c>
      <c r="P187" s="5">
        <f>O187-O1278</f>
        <v>-1.121454855532941E-2</v>
      </c>
      <c r="Q187" s="8">
        <f t="shared" si="20"/>
        <v>1.2576609929984098E-4</v>
      </c>
      <c r="S187" t="s">
        <v>404</v>
      </c>
      <c r="T187">
        <v>3.56</v>
      </c>
      <c r="U187" s="29">
        <f t="shared" si="17"/>
        <v>-1.1111111111111072E-2</v>
      </c>
      <c r="V187" s="5">
        <f>U187-V1274</f>
        <v>-1.284730188681811E-2</v>
      </c>
      <c r="X187" t="s">
        <v>394</v>
      </c>
      <c r="Y187">
        <v>4.5999999999999996</v>
      </c>
      <c r="Z187" s="48">
        <f t="shared" si="18"/>
        <v>0</v>
      </c>
      <c r="AA187" s="5">
        <f>Z187-Y1274</f>
        <v>-4.2173194692741341E-3</v>
      </c>
      <c r="AD187" t="s">
        <v>404</v>
      </c>
      <c r="AE187">
        <v>114.68</v>
      </c>
      <c r="AF187" s="29">
        <f t="shared" si="19"/>
        <v>-1.3759889920880619E-2</v>
      </c>
    </row>
    <row r="188" spans="1:32">
      <c r="A188" s="220">
        <v>45509</v>
      </c>
      <c r="B188" s="222">
        <v>66.400000000000006</v>
      </c>
      <c r="C188" s="227">
        <f t="shared" si="14"/>
        <v>-2.2523185632268516E-2</v>
      </c>
      <c r="D188" s="5">
        <f>C188-C1275</f>
        <v>-2.2601231201827405E-2</v>
      </c>
      <c r="F188" s="8"/>
      <c r="H188" s="1">
        <v>45540</v>
      </c>
      <c r="I188">
        <v>17.239999999999998</v>
      </c>
      <c r="J188" s="227">
        <f t="shared" si="15"/>
        <v>3.4924330616996624E-3</v>
      </c>
      <c r="K188" s="5">
        <f>J188-J1276</f>
        <v>1.3564771460897046E-3</v>
      </c>
      <c r="M188" s="240" t="s">
        <v>405</v>
      </c>
      <c r="N188">
        <v>5221.42</v>
      </c>
      <c r="O188" s="227">
        <f t="shared" si="16"/>
        <v>-4.8144731525460172E-3</v>
      </c>
      <c r="P188" s="5">
        <f>O188-O1278</f>
        <v>-4.4487159516328452E-3</v>
      </c>
      <c r="Q188" s="8">
        <f t="shared" si="20"/>
        <v>1.9791073618312531E-5</v>
      </c>
      <c r="S188" t="s">
        <v>405</v>
      </c>
      <c r="T188">
        <v>3.54</v>
      </c>
      <c r="U188" s="29">
        <f t="shared" si="17"/>
        <v>-5.6179775280899014E-3</v>
      </c>
      <c r="V188" s="5">
        <f>U188-V1274</f>
        <v>-7.3541683037969393E-3</v>
      </c>
      <c r="X188" t="s">
        <v>395</v>
      </c>
      <c r="Y188">
        <v>4.6100000000000003</v>
      </c>
      <c r="Z188" s="48">
        <f t="shared" si="18"/>
        <v>2.1739130434783593E-3</v>
      </c>
      <c r="AA188" s="5">
        <f>Z188-Y1274</f>
        <v>-2.0434064257957747E-3</v>
      </c>
      <c r="AD188" t="s">
        <v>405</v>
      </c>
      <c r="AE188">
        <v>116.51</v>
      </c>
      <c r="AF188" s="29">
        <f t="shared" si="19"/>
        <v>1.5957446808510634E-2</v>
      </c>
    </row>
    <row r="189" spans="1:32">
      <c r="A189" s="220">
        <v>45478</v>
      </c>
      <c r="B189" s="222">
        <v>70.430000000000007</v>
      </c>
      <c r="C189" s="227">
        <f t="shared" si="14"/>
        <v>6.069277108433746E-2</v>
      </c>
      <c r="D189" s="5">
        <f>C189-C1275</f>
        <v>6.0614725514778568E-2</v>
      </c>
      <c r="F189" s="8"/>
      <c r="H189" s="1">
        <v>45509</v>
      </c>
      <c r="I189">
        <v>17.78</v>
      </c>
      <c r="J189" s="227">
        <f t="shared" si="15"/>
        <v>3.1322505800464251E-2</v>
      </c>
      <c r="K189" s="5">
        <f>J189-J1276</f>
        <v>2.9186549884854293E-2</v>
      </c>
      <c r="M189" s="241">
        <v>45570</v>
      </c>
      <c r="N189">
        <v>5222.68</v>
      </c>
      <c r="O189" s="227">
        <f t="shared" si="16"/>
        <v>2.4131366563118206E-4</v>
      </c>
      <c r="P189" s="5">
        <f>O189-O1278</f>
        <v>6.0707086654435355E-4</v>
      </c>
      <c r="Q189" s="8">
        <f t="shared" si="20"/>
        <v>3.685350370069123E-7</v>
      </c>
      <c r="S189" s="1">
        <v>45570</v>
      </c>
      <c r="T189">
        <v>3.5</v>
      </c>
      <c r="U189" s="29">
        <f t="shared" si="17"/>
        <v>-1.1299435028248594E-2</v>
      </c>
      <c r="V189" s="5">
        <f>U189-V1274</f>
        <v>-1.3035625803955633E-2</v>
      </c>
      <c r="X189" t="s">
        <v>396</v>
      </c>
      <c r="Y189">
        <v>4.6500000000000004</v>
      </c>
      <c r="Z189" s="48">
        <f t="shared" si="18"/>
        <v>8.6767895878525625E-3</v>
      </c>
      <c r="AA189" s="5">
        <f>Z189-Y1274</f>
        <v>4.4594701185784284E-3</v>
      </c>
      <c r="AD189" s="1">
        <v>45570</v>
      </c>
      <c r="AE189">
        <v>114.84</v>
      </c>
      <c r="AF189" s="29">
        <f t="shared" si="19"/>
        <v>-1.4333533602265969E-2</v>
      </c>
    </row>
    <row r="190" spans="1:32">
      <c r="A190" s="220">
        <v>45448</v>
      </c>
      <c r="B190" s="222">
        <v>71.510000000000005</v>
      </c>
      <c r="C190" s="227">
        <f t="shared" si="14"/>
        <v>1.5334374556297048E-2</v>
      </c>
      <c r="D190" s="5">
        <f>C190-C1275</f>
        <v>1.5256328986738159E-2</v>
      </c>
      <c r="F190" s="8"/>
      <c r="H190" s="1">
        <v>45478</v>
      </c>
      <c r="I190">
        <v>16.600000000000001</v>
      </c>
      <c r="J190" s="227">
        <f t="shared" si="15"/>
        <v>-6.6366704161979762E-2</v>
      </c>
      <c r="K190" s="5">
        <f>J190-J1276</f>
        <v>-6.8502660077589719E-2</v>
      </c>
      <c r="M190" s="241">
        <v>45540</v>
      </c>
      <c r="N190">
        <v>5214.08</v>
      </c>
      <c r="O190" s="227">
        <f t="shared" si="16"/>
        <v>-1.646664164758338E-3</v>
      </c>
      <c r="P190" s="5">
        <f>O190-O1278</f>
        <v>-1.2809069638451665E-3</v>
      </c>
      <c r="Q190" s="8">
        <f t="shared" si="20"/>
        <v>1.6407226500270426E-6</v>
      </c>
      <c r="S190" s="1">
        <v>45540</v>
      </c>
      <c r="T190">
        <v>3.55</v>
      </c>
      <c r="U190" s="29">
        <f t="shared" si="17"/>
        <v>1.4285714285714235E-2</v>
      </c>
      <c r="V190" s="5">
        <f>U190-V1274</f>
        <v>1.2549523510007196E-2</v>
      </c>
      <c r="X190" t="s">
        <v>397</v>
      </c>
      <c r="Y190">
        <v>4.67</v>
      </c>
      <c r="Z190" s="48">
        <f t="shared" si="18"/>
        <v>4.3010752688170673E-3</v>
      </c>
      <c r="AA190" s="5">
        <f>Z190-Y1274</f>
        <v>8.375579954293319E-5</v>
      </c>
      <c r="AD190" s="1">
        <v>45540</v>
      </c>
      <c r="AE190">
        <v>116.17</v>
      </c>
      <c r="AF190" s="29">
        <f t="shared" si="19"/>
        <v>1.1581330546847735E-2</v>
      </c>
    </row>
    <row r="191" spans="1:32">
      <c r="A191" s="220">
        <v>45356</v>
      </c>
      <c r="B191" s="222">
        <v>69.23</v>
      </c>
      <c r="C191" s="227">
        <f t="shared" si="14"/>
        <v>-3.1883652635995019E-2</v>
      </c>
      <c r="D191" s="5">
        <f>C191-C1275</f>
        <v>-3.1961698205553911E-2</v>
      </c>
      <c r="F191" s="8"/>
      <c r="H191" s="1">
        <v>45448</v>
      </c>
      <c r="I191">
        <v>17.52</v>
      </c>
      <c r="J191" s="227">
        <f t="shared" si="15"/>
        <v>5.5421686746987886E-2</v>
      </c>
      <c r="K191" s="5">
        <f>J191-J1276</f>
        <v>5.3285730831377928E-2</v>
      </c>
      <c r="M191" s="241">
        <v>45509</v>
      </c>
      <c r="N191">
        <v>5187.67</v>
      </c>
      <c r="O191" s="227">
        <f t="shared" si="16"/>
        <v>-5.0651313366882889E-3</v>
      </c>
      <c r="P191" s="5">
        <f>O191-O1278</f>
        <v>-4.6993741357751169E-3</v>
      </c>
      <c r="Q191" s="8">
        <f t="shared" si="20"/>
        <v>2.2084117267992128E-5</v>
      </c>
      <c r="S191" s="1">
        <v>45509</v>
      </c>
      <c r="T191">
        <v>3.5</v>
      </c>
      <c r="U191" s="29">
        <f t="shared" si="17"/>
        <v>-1.4084507042253502E-2</v>
      </c>
      <c r="V191" s="5">
        <f>U191-V1274</f>
        <v>-1.5820697817960541E-2</v>
      </c>
      <c r="X191" t="s">
        <v>398</v>
      </c>
      <c r="Y191">
        <v>4.71</v>
      </c>
      <c r="Z191" s="48">
        <f t="shared" si="18"/>
        <v>8.565310492505418E-3</v>
      </c>
      <c r="AA191" s="5">
        <f>Z191-Y1274</f>
        <v>4.3479910232312839E-3</v>
      </c>
      <c r="AD191" s="1">
        <v>45509</v>
      </c>
      <c r="AE191">
        <v>113.02</v>
      </c>
      <c r="AF191" s="29">
        <f t="shared" si="19"/>
        <v>-2.7115434277352191E-2</v>
      </c>
    </row>
    <row r="192" spans="1:32">
      <c r="A192" s="220">
        <v>45327</v>
      </c>
      <c r="B192" s="222">
        <v>68.569999999999993</v>
      </c>
      <c r="C192" s="227">
        <f t="shared" si="14"/>
        <v>-9.5334392604363716E-3</v>
      </c>
      <c r="D192" s="5">
        <f>C192-C1275</f>
        <v>-9.61148482999526E-3</v>
      </c>
      <c r="F192" s="8"/>
      <c r="H192" s="1">
        <v>45356</v>
      </c>
      <c r="I192">
        <v>17.2</v>
      </c>
      <c r="J192" s="227">
        <f t="shared" si="15"/>
        <v>-1.8264840182648401E-2</v>
      </c>
      <c r="K192" s="5">
        <f>J192-J1276</f>
        <v>-2.0400796098258359E-2</v>
      </c>
      <c r="M192" s="241">
        <v>45478</v>
      </c>
      <c r="N192">
        <v>5187.7</v>
      </c>
      <c r="O192" s="227">
        <f t="shared" si="16"/>
        <v>5.78294301667448E-6</v>
      </c>
      <c r="P192" s="5">
        <f>O192-O1278</f>
        <v>3.7154014392984603E-4</v>
      </c>
      <c r="Q192" s="8">
        <f t="shared" si="20"/>
        <v>1.380420785514107E-7</v>
      </c>
      <c r="S192" s="1">
        <v>45478</v>
      </c>
      <c r="T192">
        <v>3.5</v>
      </c>
      <c r="U192" s="29">
        <f t="shared" si="17"/>
        <v>0</v>
      </c>
      <c r="V192" s="5">
        <f>U192-V1274</f>
        <v>-1.736190775707038E-3</v>
      </c>
      <c r="X192" t="s">
        <v>399</v>
      </c>
      <c r="Y192">
        <v>4.7</v>
      </c>
      <c r="Z192" s="48">
        <f t="shared" si="18"/>
        <v>-2.1231422505307851E-3</v>
      </c>
      <c r="AA192" s="5">
        <f>Z192-Y1274</f>
        <v>-6.3404617198049192E-3</v>
      </c>
      <c r="AD192" s="1">
        <v>45478</v>
      </c>
      <c r="AE192">
        <v>115.56</v>
      </c>
      <c r="AF192" s="29">
        <f t="shared" si="19"/>
        <v>2.2473898425057648E-2</v>
      </c>
    </row>
    <row r="193" spans="1:32">
      <c r="A193" s="220">
        <v>45296</v>
      </c>
      <c r="B193" s="222">
        <v>67.790000000000006</v>
      </c>
      <c r="C193" s="227">
        <f t="shared" si="14"/>
        <v>-1.1375236984103698E-2</v>
      </c>
      <c r="D193" s="5">
        <f>C193-C1275</f>
        <v>-1.1453282553662587E-2</v>
      </c>
      <c r="F193" s="8"/>
      <c r="H193" s="1">
        <v>45327</v>
      </c>
      <c r="I193">
        <v>16.84</v>
      </c>
      <c r="J193" s="227">
        <f t="shared" si="15"/>
        <v>-2.0930232558139528E-2</v>
      </c>
      <c r="K193" s="5">
        <f>J193-J1276</f>
        <v>-2.3066188473749485E-2</v>
      </c>
      <c r="M193" s="241">
        <v>45448</v>
      </c>
      <c r="N193">
        <v>5180.74</v>
      </c>
      <c r="O193" s="227">
        <f t="shared" si="16"/>
        <v>-1.3416350213003581E-3</v>
      </c>
      <c r="P193" s="5">
        <f>O193-O1278</f>
        <v>-9.7587782038718656E-4</v>
      </c>
      <c r="Q193" s="8">
        <f t="shared" si="20"/>
        <v>9.5233752032364591E-7</v>
      </c>
      <c r="S193" s="1">
        <v>45448</v>
      </c>
      <c r="T193">
        <v>3.53</v>
      </c>
      <c r="U193" s="29">
        <f t="shared" si="17"/>
        <v>8.5714285714284522E-3</v>
      </c>
      <c r="V193" s="5">
        <f>U193-V1274</f>
        <v>6.8352377957214142E-3</v>
      </c>
      <c r="X193" t="s">
        <v>400</v>
      </c>
      <c r="Y193">
        <v>4.8</v>
      </c>
      <c r="Z193" s="48">
        <f t="shared" si="18"/>
        <v>2.1276595744680771E-2</v>
      </c>
      <c r="AA193" s="5">
        <f>Z193-Y1274</f>
        <v>1.7059276275406637E-2</v>
      </c>
      <c r="AD193" s="1">
        <v>45448</v>
      </c>
      <c r="AE193">
        <v>117.59</v>
      </c>
      <c r="AF193" s="29">
        <f t="shared" si="19"/>
        <v>1.7566632052613329E-2</v>
      </c>
    </row>
    <row r="194" spans="1:32">
      <c r="A194" s="3" t="s">
        <v>406</v>
      </c>
      <c r="B194" s="222">
        <v>66.27</v>
      </c>
      <c r="C194" s="227">
        <f t="shared" si="14"/>
        <v>-2.2422186163151059E-2</v>
      </c>
      <c r="D194" s="5">
        <f>C194-C1275</f>
        <v>-2.2500231732709947E-2</v>
      </c>
      <c r="F194" s="8"/>
      <c r="H194" s="1">
        <v>45296</v>
      </c>
      <c r="I194">
        <v>15.86</v>
      </c>
      <c r="J194" s="227">
        <f t="shared" si="15"/>
        <v>-5.8194774346793321E-2</v>
      </c>
      <c r="K194" s="5">
        <f>J194-J1276</f>
        <v>-6.0330730262403279E-2</v>
      </c>
      <c r="M194" s="241">
        <v>45356</v>
      </c>
      <c r="N194">
        <v>5127.79</v>
      </c>
      <c r="O194" s="227">
        <f t="shared" si="16"/>
        <v>-1.0220547643772893E-2</v>
      </c>
      <c r="P194" s="5">
        <f>O194-O1278</f>
        <v>-9.8547904428597215E-3</v>
      </c>
      <c r="Q194" s="8">
        <f t="shared" si="20"/>
        <v>9.7116894672679308E-5</v>
      </c>
      <c r="S194" s="1">
        <v>45356</v>
      </c>
      <c r="T194">
        <v>3.53</v>
      </c>
      <c r="U194" s="29">
        <f t="shared" si="17"/>
        <v>0</v>
      </c>
      <c r="V194" s="5">
        <f>U194-V1274</f>
        <v>-1.736190775707038E-3</v>
      </c>
      <c r="X194" t="s">
        <v>401</v>
      </c>
      <c r="Y194">
        <v>4.78</v>
      </c>
      <c r="Z194" s="48">
        <f t="shared" si="18"/>
        <v>-4.1666666666665408E-3</v>
      </c>
      <c r="AA194" s="5">
        <f>Z194-Y1274</f>
        <v>-8.3839861359406749E-3</v>
      </c>
      <c r="AD194" s="1">
        <v>45356</v>
      </c>
      <c r="AE194">
        <v>113.81</v>
      </c>
      <c r="AF194" s="29">
        <f t="shared" si="19"/>
        <v>-3.2145590611446506E-2</v>
      </c>
    </row>
    <row r="195" spans="1:32">
      <c r="A195" s="3" t="s">
        <v>407</v>
      </c>
      <c r="B195" s="222">
        <v>67.400000000000006</v>
      </c>
      <c r="C195" s="227">
        <f t="shared" si="14"/>
        <v>1.7051456164177026E-2</v>
      </c>
      <c r="D195" s="5">
        <f>C195-C1275</f>
        <v>1.6973410594618137E-2</v>
      </c>
      <c r="E195" s="1"/>
      <c r="F195" s="8"/>
      <c r="H195" t="s">
        <v>406</v>
      </c>
      <c r="I195">
        <v>15.64</v>
      </c>
      <c r="J195" s="227">
        <f t="shared" si="15"/>
        <v>-1.3871374527112179E-2</v>
      </c>
      <c r="K195" s="5">
        <f>J195-J1276</f>
        <v>-1.6007330442722137E-2</v>
      </c>
      <c r="M195" s="241">
        <v>45327</v>
      </c>
      <c r="N195">
        <v>5064.2</v>
      </c>
      <c r="O195" s="227">
        <f t="shared" si="16"/>
        <v>-1.240105386531043E-2</v>
      </c>
      <c r="P195" s="5">
        <f>O195-O1278</f>
        <v>-1.2035296664397259E-2</v>
      </c>
      <c r="Q195" s="8">
        <f t="shared" si="20"/>
        <v>1.4484836580005178E-4</v>
      </c>
      <c r="S195" s="1">
        <v>45327</v>
      </c>
      <c r="T195">
        <v>3.5</v>
      </c>
      <c r="U195" s="29">
        <f t="shared" si="17"/>
        <v>-8.4985835694050271E-3</v>
      </c>
      <c r="V195" s="5">
        <f>U195-V1274</f>
        <v>-1.0234774345112066E-2</v>
      </c>
      <c r="X195" t="s">
        <v>402</v>
      </c>
      <c r="Y195">
        <v>4.6064999999999996</v>
      </c>
      <c r="Z195" s="48">
        <f t="shared" si="18"/>
        <v>-3.6297071129707259E-2</v>
      </c>
      <c r="AA195" s="5">
        <f>Z195-Y1274</f>
        <v>-4.051439059898139E-2</v>
      </c>
      <c r="AD195" s="1">
        <v>45327</v>
      </c>
      <c r="AE195">
        <v>114.31</v>
      </c>
      <c r="AF195" s="29">
        <f t="shared" si="19"/>
        <v>4.3932870573764049E-3</v>
      </c>
    </row>
    <row r="196" spans="1:32">
      <c r="A196" s="3" t="s">
        <v>408</v>
      </c>
      <c r="B196" s="222">
        <v>69.05</v>
      </c>
      <c r="C196" s="227">
        <f t="shared" si="14"/>
        <v>2.448071216617187E-2</v>
      </c>
      <c r="D196" s="5">
        <f>C196-C1275</f>
        <v>2.4402666596612981E-2</v>
      </c>
      <c r="E196" s="1"/>
      <c r="F196" s="8"/>
      <c r="H196" t="s">
        <v>407</v>
      </c>
      <c r="I196">
        <v>16.3</v>
      </c>
      <c r="J196" s="227">
        <f t="shared" si="15"/>
        <v>4.2199488491048598E-2</v>
      </c>
      <c r="K196" s="5">
        <f>J196-J1276</f>
        <v>4.006353257543864E-2</v>
      </c>
      <c r="M196" s="241">
        <v>45296</v>
      </c>
      <c r="N196">
        <v>5018.3900000000003</v>
      </c>
      <c r="O196" s="227">
        <f t="shared" si="16"/>
        <v>-9.0458512696970361E-3</v>
      </c>
      <c r="P196" s="5">
        <f>O196-O1278</f>
        <v>-8.6800940687838651E-3</v>
      </c>
      <c r="Q196" s="8">
        <f t="shared" si="20"/>
        <v>7.5344033042936838E-5</v>
      </c>
      <c r="S196" s="1">
        <v>45296</v>
      </c>
      <c r="T196">
        <v>3.49</v>
      </c>
      <c r="U196" s="29">
        <f t="shared" si="17"/>
        <v>-2.8571428571427804E-3</v>
      </c>
      <c r="V196" s="5">
        <f>U196-V1274</f>
        <v>-4.5933336328498183E-3</v>
      </c>
      <c r="X196" t="s">
        <v>403</v>
      </c>
      <c r="Y196">
        <v>4.67</v>
      </c>
      <c r="Z196" s="48">
        <f t="shared" si="18"/>
        <v>1.3784869206556083E-2</v>
      </c>
      <c r="AA196" s="5">
        <f>Z196-Y1274</f>
        <v>9.5675497372819489E-3</v>
      </c>
      <c r="AD196" s="1">
        <v>45296</v>
      </c>
      <c r="AE196">
        <v>127.46</v>
      </c>
      <c r="AF196" s="29">
        <f t="shared" si="19"/>
        <v>0.11503805441343706</v>
      </c>
    </row>
    <row r="197" spans="1:32">
      <c r="A197" s="3" t="s">
        <v>409</v>
      </c>
      <c r="B197" s="222">
        <v>69.31</v>
      </c>
      <c r="C197" s="227">
        <f t="shared" si="14"/>
        <v>3.7653874004346388E-3</v>
      </c>
      <c r="D197" s="5">
        <f>C197-C1275</f>
        <v>3.6873418308757495E-3</v>
      </c>
      <c r="E197" s="1"/>
      <c r="F197" s="8"/>
      <c r="H197" t="s">
        <v>408</v>
      </c>
      <c r="I197">
        <v>16.37</v>
      </c>
      <c r="J197" s="227">
        <f t="shared" si="15"/>
        <v>4.2944785276073372E-3</v>
      </c>
      <c r="K197" s="5">
        <f>J197-J1276</f>
        <v>2.1585226119973794E-3</v>
      </c>
      <c r="M197" s="240" t="s">
        <v>406</v>
      </c>
      <c r="N197">
        <v>5035.6899999999996</v>
      </c>
      <c r="O197" s="227">
        <f t="shared" si="16"/>
        <v>3.4473207542655704E-3</v>
      </c>
      <c r="P197" s="5">
        <f>O197-O1278</f>
        <v>3.8130779551787419E-3</v>
      </c>
      <c r="Q197" s="8">
        <f t="shared" si="20"/>
        <v>1.4539563492270095E-5</v>
      </c>
      <c r="S197" t="s">
        <v>406</v>
      </c>
      <c r="T197">
        <v>3.5</v>
      </c>
      <c r="U197" s="29">
        <f t="shared" si="17"/>
        <v>2.8653295128939771E-3</v>
      </c>
      <c r="V197" s="5">
        <f>U197-V1274</f>
        <v>1.1291387371869391E-3</v>
      </c>
      <c r="X197" t="s">
        <v>404</v>
      </c>
      <c r="Y197">
        <v>4.8099999999999996</v>
      </c>
      <c r="Z197" s="48">
        <f t="shared" si="18"/>
        <v>2.9978586723768741E-2</v>
      </c>
      <c r="AA197" s="5">
        <f>Z197-Y1274</f>
        <v>2.5761267254494607E-2</v>
      </c>
      <c r="AD197" t="s">
        <v>406</v>
      </c>
      <c r="AE197">
        <v>129.26</v>
      </c>
      <c r="AF197" s="29">
        <f t="shared" si="19"/>
        <v>1.4122077514514331E-2</v>
      </c>
    </row>
    <row r="198" spans="1:32">
      <c r="A198" s="3" t="s">
        <v>410</v>
      </c>
      <c r="B198" s="222">
        <v>69.36</v>
      </c>
      <c r="C198" s="227">
        <f t="shared" si="14"/>
        <v>7.2139662386372372E-4</v>
      </c>
      <c r="D198" s="5">
        <f>C198-C1275</f>
        <v>6.4335105430483451E-4</v>
      </c>
      <c r="E198" s="1"/>
      <c r="F198" s="8"/>
      <c r="H198" t="s">
        <v>409</v>
      </c>
      <c r="I198">
        <v>16.07</v>
      </c>
      <c r="J198" s="227">
        <f t="shared" si="15"/>
        <v>-1.8326206475259621E-2</v>
      </c>
      <c r="K198" s="5">
        <f>J198-J1276</f>
        <v>-2.0462162390869579E-2</v>
      </c>
      <c r="M198" s="240" t="s">
        <v>407</v>
      </c>
      <c r="N198">
        <v>5116.17</v>
      </c>
      <c r="O198" s="227">
        <f t="shared" si="16"/>
        <v>1.5981921047562686E-2</v>
      </c>
      <c r="P198" s="5">
        <f>O198-O1278</f>
        <v>1.6347678248475859E-2</v>
      </c>
      <c r="Q198" s="8">
        <f t="shared" si="20"/>
        <v>2.6724658411569072E-4</v>
      </c>
      <c r="S198" t="s">
        <v>407</v>
      </c>
      <c r="T198">
        <v>3.5</v>
      </c>
      <c r="U198" s="29">
        <f t="shared" si="17"/>
        <v>0</v>
      </c>
      <c r="V198" s="5">
        <f>U198-V1274</f>
        <v>-1.736190775707038E-3</v>
      </c>
      <c r="X198" t="s">
        <v>405</v>
      </c>
      <c r="Y198">
        <v>4.79</v>
      </c>
      <c r="Z198" s="48">
        <f t="shared" si="18"/>
        <v>-4.1580041580040472E-3</v>
      </c>
      <c r="AA198" s="5">
        <f>Z198-Y1274</f>
        <v>-8.3753236272781813E-3</v>
      </c>
      <c r="AD198" t="s">
        <v>407</v>
      </c>
      <c r="AE198">
        <v>132.12</v>
      </c>
      <c r="AF198" s="29">
        <f t="shared" si="19"/>
        <v>2.2125947702305471E-2</v>
      </c>
    </row>
    <row r="199" spans="1:32">
      <c r="A199" s="3" t="s">
        <v>411</v>
      </c>
      <c r="B199" s="222">
        <v>70.8</v>
      </c>
      <c r="C199" s="227">
        <f t="shared" si="14"/>
        <v>2.0761245674740358E-2</v>
      </c>
      <c r="D199" s="5">
        <f>C199-C1275</f>
        <v>2.068320010518147E-2</v>
      </c>
      <c r="E199" s="1"/>
      <c r="F199" s="8"/>
      <c r="H199" t="s">
        <v>410</v>
      </c>
      <c r="I199">
        <v>16.34</v>
      </c>
      <c r="J199" s="227">
        <f t="shared" si="15"/>
        <v>1.6801493466085837E-2</v>
      </c>
      <c r="K199" s="5">
        <f>J199-J1276</f>
        <v>1.4665537550475879E-2</v>
      </c>
      <c r="M199" s="240" t="s">
        <v>408</v>
      </c>
      <c r="N199">
        <v>5099.96</v>
      </c>
      <c r="O199" s="227">
        <f t="shared" si="16"/>
        <v>-3.1683857260411674E-3</v>
      </c>
      <c r="P199" s="5">
        <f>O199-O1278</f>
        <v>-2.8026285251279959E-3</v>
      </c>
      <c r="Q199" s="8">
        <f t="shared" si="20"/>
        <v>7.854726649861125E-6</v>
      </c>
      <c r="S199" t="s">
        <v>408</v>
      </c>
      <c r="T199">
        <v>3.5</v>
      </c>
      <c r="U199" s="29">
        <f t="shared" si="17"/>
        <v>0</v>
      </c>
      <c r="V199" s="5">
        <f>U199-V1274</f>
        <v>-1.736190775707038E-3</v>
      </c>
      <c r="X199" s="1">
        <v>45570</v>
      </c>
      <c r="Y199">
        <v>4.9000000000000004</v>
      </c>
      <c r="Z199" s="48">
        <f t="shared" si="18"/>
        <v>2.2964509394572064E-2</v>
      </c>
      <c r="AA199" s="5">
        <f>Z199-Y1274</f>
        <v>1.8747189925297929E-2</v>
      </c>
      <c r="AD199" t="s">
        <v>408</v>
      </c>
      <c r="AE199">
        <v>132.11000000000001</v>
      </c>
      <c r="AF199" s="29">
        <f t="shared" si="19"/>
        <v>-7.5688767786741273E-5</v>
      </c>
    </row>
    <row r="200" spans="1:32">
      <c r="A200" s="3" t="s">
        <v>412</v>
      </c>
      <c r="B200" s="222">
        <v>68.98</v>
      </c>
      <c r="C200" s="227">
        <f t="shared" si="14"/>
        <v>-2.5706214689265483E-2</v>
      </c>
      <c r="D200" s="5">
        <f>C200-C1275</f>
        <v>-2.5784260258824371E-2</v>
      </c>
      <c r="E200" s="1"/>
      <c r="F200" s="8"/>
      <c r="H200" t="s">
        <v>411</v>
      </c>
      <c r="I200">
        <v>16.920000000000002</v>
      </c>
      <c r="J200" s="227">
        <f t="shared" si="15"/>
        <v>3.5495716034271929E-2</v>
      </c>
      <c r="K200" s="5">
        <f>J200-J1276</f>
        <v>3.3359760118661971E-2</v>
      </c>
      <c r="M200" s="240" t="s">
        <v>409</v>
      </c>
      <c r="N200">
        <v>5048.42</v>
      </c>
      <c r="O200" s="227">
        <f t="shared" si="16"/>
        <v>-1.0105961615385239E-2</v>
      </c>
      <c r="P200" s="5">
        <f>O200-O1278</f>
        <v>-9.7402044144720683E-3</v>
      </c>
      <c r="Q200" s="8">
        <f t="shared" si="20"/>
        <v>9.4871582035701164E-5</v>
      </c>
      <c r="S200" t="s">
        <v>409</v>
      </c>
      <c r="T200">
        <v>3.5</v>
      </c>
      <c r="U200" s="29">
        <f t="shared" si="17"/>
        <v>0</v>
      </c>
      <c r="V200" s="5">
        <f>U200-V1274</f>
        <v>-1.736190775707038E-3</v>
      </c>
      <c r="X200" s="1">
        <v>45540</v>
      </c>
      <c r="Y200">
        <v>4.9000000000000004</v>
      </c>
      <c r="Z200" s="48">
        <f t="shared" si="18"/>
        <v>0</v>
      </c>
      <c r="AA200" s="5">
        <f>Z200-Y1274</f>
        <v>-4.2173194692741341E-3</v>
      </c>
      <c r="AD200" t="s">
        <v>409</v>
      </c>
      <c r="AE200">
        <v>128.11000000000001</v>
      </c>
      <c r="AF200" s="29">
        <f t="shared" si="19"/>
        <v>-3.0277798804026923E-2</v>
      </c>
    </row>
    <row r="201" spans="1:32">
      <c r="A201" s="3" t="s">
        <v>413</v>
      </c>
      <c r="B201" s="222">
        <v>69.2</v>
      </c>
      <c r="C201" s="227">
        <f t="shared" si="14"/>
        <v>3.1893302406493795E-3</v>
      </c>
      <c r="D201" s="5">
        <f>C201-C1275</f>
        <v>3.1112846710904902E-3</v>
      </c>
      <c r="E201" s="1"/>
      <c r="F201" s="8"/>
      <c r="H201" t="s">
        <v>412</v>
      </c>
      <c r="I201">
        <v>16.73</v>
      </c>
      <c r="J201" s="227">
        <f t="shared" si="15"/>
        <v>-1.1229314420803882E-2</v>
      </c>
      <c r="K201" s="5">
        <f>J201-J1276</f>
        <v>-1.336527033641384E-2</v>
      </c>
      <c r="M201" s="240" t="s">
        <v>410</v>
      </c>
      <c r="N201">
        <v>5071.63</v>
      </c>
      <c r="O201" s="227">
        <f t="shared" si="16"/>
        <v>4.5974780228270617E-3</v>
      </c>
      <c r="P201" s="5">
        <f>O201-O1278</f>
        <v>4.9632352237402337E-3</v>
      </c>
      <c r="Q201" s="8">
        <f t="shared" si="20"/>
        <v>2.4633703886175769E-5</v>
      </c>
      <c r="S201" t="s">
        <v>410</v>
      </c>
      <c r="T201">
        <v>3.48</v>
      </c>
      <c r="U201" s="29">
        <f t="shared" si="17"/>
        <v>-5.7142857142856718E-3</v>
      </c>
      <c r="V201" s="5">
        <f>U201-V1274</f>
        <v>-7.4504764899927097E-3</v>
      </c>
      <c r="X201" s="1">
        <v>45509</v>
      </c>
      <c r="Y201">
        <v>4.8600000000000003</v>
      </c>
      <c r="Z201" s="48">
        <f t="shared" si="18"/>
        <v>-8.1632653061224358E-3</v>
      </c>
      <c r="AA201" s="5">
        <f>Z201-Y1274</f>
        <v>-1.238058477539657E-2</v>
      </c>
      <c r="AD201" t="s">
        <v>410</v>
      </c>
      <c r="AE201">
        <v>126.76</v>
      </c>
      <c r="AF201" s="29">
        <f t="shared" si="19"/>
        <v>-1.0537819061743892E-2</v>
      </c>
    </row>
    <row r="202" spans="1:32">
      <c r="A202" s="3" t="s">
        <v>414</v>
      </c>
      <c r="B202" s="222">
        <v>71.3</v>
      </c>
      <c r="C202" s="227">
        <f t="shared" si="14"/>
        <v>3.0346820809248554E-2</v>
      </c>
      <c r="D202" s="5">
        <f>C202-C1275</f>
        <v>3.0268775239689665E-2</v>
      </c>
      <c r="E202" s="1"/>
      <c r="F202" s="8"/>
      <c r="H202" t="s">
        <v>413</v>
      </c>
      <c r="I202">
        <v>16.149999999999999</v>
      </c>
      <c r="J202" s="227">
        <f t="shared" si="15"/>
        <v>-3.466826060968331E-2</v>
      </c>
      <c r="K202" s="5">
        <f>J202-J1276</f>
        <v>-3.6804216525293268E-2</v>
      </c>
      <c r="M202" s="240" t="s">
        <v>411</v>
      </c>
      <c r="N202">
        <v>5070.55</v>
      </c>
      <c r="O202" s="227">
        <f t="shared" si="16"/>
        <v>-2.1294928849302508E-4</v>
      </c>
      <c r="P202" s="5">
        <f>O202-O1278</f>
        <v>1.5280791242014647E-4</v>
      </c>
      <c r="Q202" s="8">
        <f t="shared" si="20"/>
        <v>2.3350258098203154E-8</v>
      </c>
      <c r="S202" t="s">
        <v>411</v>
      </c>
      <c r="T202">
        <v>3.51</v>
      </c>
      <c r="U202" s="29">
        <f t="shared" si="17"/>
        <v>8.6206896551723755E-3</v>
      </c>
      <c r="V202" s="5">
        <f>U202-V1274</f>
        <v>6.8844988794653375E-3</v>
      </c>
      <c r="X202" s="1">
        <v>45478</v>
      </c>
      <c r="Y202">
        <v>4.95</v>
      </c>
      <c r="Z202" s="48">
        <f t="shared" si="18"/>
        <v>1.8518518518518379E-2</v>
      </c>
      <c r="AA202" s="5">
        <f>Z202-Y1274</f>
        <v>1.4301199049244245E-2</v>
      </c>
      <c r="AD202" t="s">
        <v>411</v>
      </c>
      <c r="AE202">
        <v>129.36000000000001</v>
      </c>
      <c r="AF202" s="29">
        <f t="shared" si="19"/>
        <v>2.0511202272010198E-2</v>
      </c>
    </row>
    <row r="203" spans="1:32">
      <c r="A203" s="3" t="s">
        <v>415</v>
      </c>
      <c r="B203" s="222">
        <v>71.94</v>
      </c>
      <c r="C203" s="227">
        <f t="shared" si="14"/>
        <v>8.9761570827489034E-3</v>
      </c>
      <c r="D203" s="5">
        <f>C203-C1275</f>
        <v>8.898111513190015E-3</v>
      </c>
      <c r="E203" s="1"/>
      <c r="F203" s="8"/>
      <c r="H203" t="s">
        <v>414</v>
      </c>
      <c r="I203">
        <v>16.71</v>
      </c>
      <c r="J203" s="227">
        <f t="shared" si="15"/>
        <v>3.4674922600619329E-2</v>
      </c>
      <c r="K203" s="5">
        <f>J203-J1276</f>
        <v>3.2538966685009371E-2</v>
      </c>
      <c r="M203" s="240" t="s">
        <v>412</v>
      </c>
      <c r="N203">
        <v>5010.6000000000004</v>
      </c>
      <c r="O203" s="227">
        <f t="shared" si="16"/>
        <v>-1.1823175000739483E-2</v>
      </c>
      <c r="P203" s="5">
        <f>O203-O1278</f>
        <v>-1.1457417799826312E-2</v>
      </c>
      <c r="Q203" s="8">
        <f t="shared" si="20"/>
        <v>1.3127242263977681E-4</v>
      </c>
      <c r="S203" t="s">
        <v>412</v>
      </c>
      <c r="T203">
        <v>3.35</v>
      </c>
      <c r="U203" s="29">
        <f t="shared" si="17"/>
        <v>-4.5584045584045496E-2</v>
      </c>
      <c r="V203" s="5">
        <f>U203-V1274</f>
        <v>-4.7320236359752535E-2</v>
      </c>
      <c r="X203" s="1">
        <v>45448</v>
      </c>
      <c r="Y203">
        <v>5</v>
      </c>
      <c r="Z203" s="48">
        <f t="shared" si="18"/>
        <v>1.0101010101010166E-2</v>
      </c>
      <c r="AA203" s="5">
        <f>Z203-Y1274</f>
        <v>5.883690631736032E-3</v>
      </c>
      <c r="AD203" t="s">
        <v>412</v>
      </c>
      <c r="AE203">
        <v>127.27</v>
      </c>
      <c r="AF203" s="29">
        <f t="shared" si="19"/>
        <v>-1.6156462585034115E-2</v>
      </c>
    </row>
    <row r="204" spans="1:32">
      <c r="A204" s="3" t="s">
        <v>416</v>
      </c>
      <c r="B204" s="222">
        <v>74.13</v>
      </c>
      <c r="C204" s="227">
        <f t="shared" si="14"/>
        <v>3.0442035029190961E-2</v>
      </c>
      <c r="D204" s="5">
        <f>C204-C1275</f>
        <v>3.0363989459632073E-2</v>
      </c>
      <c r="E204" s="1"/>
      <c r="F204" s="8"/>
      <c r="H204" t="s">
        <v>415</v>
      </c>
      <c r="I204">
        <v>17.309999999999999</v>
      </c>
      <c r="J204" s="227">
        <f t="shared" si="15"/>
        <v>3.5906642728904758E-2</v>
      </c>
      <c r="K204" s="5">
        <f>J204-J1276</f>
        <v>3.3770686813294801E-2</v>
      </c>
      <c r="M204" s="240" t="s">
        <v>413</v>
      </c>
      <c r="N204">
        <v>4967.2299999999996</v>
      </c>
      <c r="O204" s="227">
        <f t="shared" si="16"/>
        <v>-8.6556500219535648E-3</v>
      </c>
      <c r="P204" s="5">
        <f>O204-O1278</f>
        <v>-8.2898928210403938E-3</v>
      </c>
      <c r="Q204" s="8">
        <f t="shared" si="20"/>
        <v>6.8722322984337054E-5</v>
      </c>
      <c r="S204" t="s">
        <v>413</v>
      </c>
      <c r="T204">
        <v>3.37</v>
      </c>
      <c r="U204" s="29">
        <f t="shared" si="17"/>
        <v>5.9701492537314049E-3</v>
      </c>
      <c r="V204" s="5">
        <f>U204-V1274</f>
        <v>4.233958478024367E-3</v>
      </c>
      <c r="X204" s="1">
        <v>45356</v>
      </c>
      <c r="Y204">
        <v>5.03</v>
      </c>
      <c r="Z204" s="48">
        <f t="shared" si="18"/>
        <v>6.0000000000000053E-3</v>
      </c>
      <c r="AA204" s="5">
        <f>Z204-Y1274</f>
        <v>1.7826805307258713E-3</v>
      </c>
      <c r="AD204" t="s">
        <v>413</v>
      </c>
      <c r="AE204">
        <v>127.18</v>
      </c>
      <c r="AF204" s="29">
        <f t="shared" si="19"/>
        <v>-7.0715801052867455E-4</v>
      </c>
    </row>
    <row r="205" spans="1:32">
      <c r="A205" s="3" t="s">
        <v>417</v>
      </c>
      <c r="B205" s="222">
        <v>73.400000000000006</v>
      </c>
      <c r="C205" s="227">
        <f t="shared" si="14"/>
        <v>-9.8475650883581567E-3</v>
      </c>
      <c r="D205" s="5">
        <f>C205-C1275</f>
        <v>-9.9256106579170451E-3</v>
      </c>
      <c r="F205" s="8"/>
      <c r="H205" t="s">
        <v>416</v>
      </c>
      <c r="I205">
        <v>18.27</v>
      </c>
      <c r="J205" s="227">
        <f t="shared" si="15"/>
        <v>5.5459272097053702E-2</v>
      </c>
      <c r="K205" s="5">
        <f>J205-J1276</f>
        <v>5.3323316181443745E-2</v>
      </c>
      <c r="M205" s="240" t="s">
        <v>414</v>
      </c>
      <c r="N205">
        <v>5011.12</v>
      </c>
      <c r="O205" s="227">
        <f t="shared" si="16"/>
        <v>8.8359105577957564E-3</v>
      </c>
      <c r="P205" s="5">
        <f>O205-O1278</f>
        <v>9.2016677587089275E-3</v>
      </c>
      <c r="Q205" s="8">
        <f t="shared" si="20"/>
        <v>8.4670689541663379E-5</v>
      </c>
      <c r="S205" t="s">
        <v>414</v>
      </c>
      <c r="T205">
        <v>3.39</v>
      </c>
      <c r="U205" s="29">
        <f t="shared" si="17"/>
        <v>5.9347181008901906E-3</v>
      </c>
      <c r="V205" s="5">
        <f>U205-V1274</f>
        <v>4.1985273251831526E-3</v>
      </c>
      <c r="X205" s="1">
        <v>45327</v>
      </c>
      <c r="Y205">
        <v>5.14</v>
      </c>
      <c r="Z205" s="48">
        <f t="shared" si="18"/>
        <v>2.1868787276341894E-2</v>
      </c>
      <c r="AA205" s="5">
        <f>Z205-Y1274</f>
        <v>1.765146780706776E-2</v>
      </c>
      <c r="AD205" t="s">
        <v>414</v>
      </c>
      <c r="AE205">
        <v>130.1</v>
      </c>
      <c r="AF205" s="29">
        <f t="shared" si="19"/>
        <v>2.2959584840383629E-2</v>
      </c>
    </row>
    <row r="206" spans="1:32">
      <c r="A206" s="220">
        <v>45630</v>
      </c>
      <c r="B206" s="222">
        <v>75.28</v>
      </c>
      <c r="C206" s="227">
        <f t="shared" si="14"/>
        <v>2.5613079019073615E-2</v>
      </c>
      <c r="D206" s="5">
        <f>C206-C1275</f>
        <v>2.5535033449514726E-2</v>
      </c>
      <c r="F206" s="8"/>
      <c r="H206" t="s">
        <v>417</v>
      </c>
      <c r="I206">
        <v>17.98</v>
      </c>
      <c r="J206" s="227">
        <f t="shared" si="15"/>
        <v>-1.5873015873015817E-2</v>
      </c>
      <c r="K206" s="5">
        <f>J206-J1276</f>
        <v>-1.8008971788625774E-2</v>
      </c>
      <c r="M206" s="240" t="s">
        <v>415</v>
      </c>
      <c r="N206">
        <v>5022.21</v>
      </c>
      <c r="O206" s="227">
        <f t="shared" si="16"/>
        <v>2.2130781142739586E-3</v>
      </c>
      <c r="P206" s="5">
        <f>O206-O1278</f>
        <v>2.5788353151871301E-3</v>
      </c>
      <c r="Q206" s="8">
        <f t="shared" si="20"/>
        <v>6.6503915828563046E-6</v>
      </c>
      <c r="S206" t="s">
        <v>415</v>
      </c>
      <c r="T206">
        <v>3.21</v>
      </c>
      <c r="U206" s="29">
        <f t="shared" si="17"/>
        <v>-5.3097345132743445E-2</v>
      </c>
      <c r="V206" s="5">
        <f>U206-V1274</f>
        <v>-5.4833535908450484E-2</v>
      </c>
      <c r="X206" s="1">
        <v>45296</v>
      </c>
      <c r="Y206">
        <v>4.91</v>
      </c>
      <c r="Z206" s="48">
        <f t="shared" si="18"/>
        <v>-4.4747081712062209E-2</v>
      </c>
      <c r="AA206" s="5">
        <f>Z206-Y1274</f>
        <v>-4.8964401181336339E-2</v>
      </c>
      <c r="AD206" t="s">
        <v>415</v>
      </c>
      <c r="AE206">
        <v>130.9</v>
      </c>
      <c r="AF206" s="29">
        <f t="shared" si="19"/>
        <v>6.1491160645656961E-3</v>
      </c>
    </row>
    <row r="207" spans="1:32">
      <c r="A207" s="220">
        <v>45600</v>
      </c>
      <c r="B207" s="222">
        <v>76.180000000000007</v>
      </c>
      <c r="C207" s="227">
        <f t="shared" si="14"/>
        <v>1.1955366631243525E-2</v>
      </c>
      <c r="D207" s="5">
        <f>C207-C1275</f>
        <v>1.1877321061684636E-2</v>
      </c>
      <c r="F207" s="8"/>
      <c r="H207" s="1">
        <v>45630</v>
      </c>
      <c r="I207">
        <v>18.760000000000002</v>
      </c>
      <c r="J207" s="227">
        <f t="shared" si="15"/>
        <v>4.3381535038932162E-2</v>
      </c>
      <c r="K207" s="5">
        <f>J207-J1276</f>
        <v>4.1245579123322204E-2</v>
      </c>
      <c r="M207" s="240" t="s">
        <v>416</v>
      </c>
      <c r="N207">
        <v>5051.41</v>
      </c>
      <c r="O207" s="227">
        <f t="shared" si="16"/>
        <v>5.8141734415724233E-3</v>
      </c>
      <c r="P207" s="5">
        <f>O207-O1278</f>
        <v>6.1799306424855953E-3</v>
      </c>
      <c r="Q207" s="8">
        <f t="shared" si="20"/>
        <v>3.8191542745932419E-5</v>
      </c>
      <c r="S207" t="s">
        <v>416</v>
      </c>
      <c r="T207">
        <v>3.27</v>
      </c>
      <c r="U207" s="29">
        <f t="shared" si="17"/>
        <v>1.8691588785046731E-2</v>
      </c>
      <c r="V207" s="5">
        <f>U207-V1274</f>
        <v>1.6955398009339692E-2</v>
      </c>
      <c r="X207" t="s">
        <v>406</v>
      </c>
      <c r="Y207">
        <v>4.9400000000000004</v>
      </c>
      <c r="Z207" s="48">
        <f t="shared" si="18"/>
        <v>6.109979633401208E-3</v>
      </c>
      <c r="AA207" s="5">
        <f>Z207-Y1274</f>
        <v>1.8926601641270739E-3</v>
      </c>
      <c r="AD207" t="s">
        <v>416</v>
      </c>
      <c r="AE207">
        <v>133.84</v>
      </c>
      <c r="AF207" s="29">
        <f t="shared" si="19"/>
        <v>2.2459893048128343E-2</v>
      </c>
    </row>
    <row r="208" spans="1:32">
      <c r="A208" s="220">
        <v>45569</v>
      </c>
      <c r="B208" s="222">
        <v>74.349999999999994</v>
      </c>
      <c r="C208" s="227">
        <f t="shared" si="14"/>
        <v>-2.4022053032292101E-2</v>
      </c>
      <c r="D208" s="5">
        <f>C208-C1275</f>
        <v>-2.410009860185099E-2</v>
      </c>
      <c r="F208" s="8"/>
      <c r="H208" s="1">
        <v>45600</v>
      </c>
      <c r="I208">
        <v>19.52</v>
      </c>
      <c r="J208" s="227">
        <f t="shared" si="15"/>
        <v>4.0511727078891058E-2</v>
      </c>
      <c r="K208" s="5">
        <f>J208-J1276</f>
        <v>3.83757711632811E-2</v>
      </c>
      <c r="M208" s="240" t="s">
        <v>417</v>
      </c>
      <c r="N208">
        <v>5061.82</v>
      </c>
      <c r="O208" s="227">
        <f t="shared" si="16"/>
        <v>2.0608107439308299E-3</v>
      </c>
      <c r="P208" s="5">
        <f>O208-O1278</f>
        <v>2.4265679448440013E-3</v>
      </c>
      <c r="Q208" s="8">
        <f t="shared" si="20"/>
        <v>5.8882319909444401E-6</v>
      </c>
      <c r="S208" t="s">
        <v>417</v>
      </c>
      <c r="T208">
        <v>3.31</v>
      </c>
      <c r="U208" s="29">
        <f t="shared" si="17"/>
        <v>1.2232415902140747E-2</v>
      </c>
      <c r="V208" s="5">
        <f>U208-V1274</f>
        <v>1.0496225126433709E-2</v>
      </c>
      <c r="X208" t="s">
        <v>407</v>
      </c>
      <c r="Y208">
        <v>4.9800000000000004</v>
      </c>
      <c r="Z208" s="48">
        <f t="shared" si="18"/>
        <v>8.0971659919029104E-3</v>
      </c>
      <c r="AA208" s="5">
        <f>Z208-Y1274</f>
        <v>3.8798465226287764E-3</v>
      </c>
      <c r="AD208" t="s">
        <v>417</v>
      </c>
      <c r="AE208">
        <v>132.9</v>
      </c>
      <c r="AF208" s="29">
        <f t="shared" si="19"/>
        <v>-7.0233114166168287E-3</v>
      </c>
    </row>
    <row r="209" spans="1:32">
      <c r="A209" s="220">
        <v>45539</v>
      </c>
      <c r="B209" s="222">
        <v>75.14</v>
      </c>
      <c r="C209" s="227">
        <f t="shared" si="14"/>
        <v>1.0625420309347655E-2</v>
      </c>
      <c r="D209" s="5">
        <f>C209-C1275</f>
        <v>1.0547374739788767E-2</v>
      </c>
      <c r="F209" s="8"/>
      <c r="H209" s="1">
        <v>45569</v>
      </c>
      <c r="I209">
        <v>18.399999999999999</v>
      </c>
      <c r="J209" s="227">
        <f t="shared" si="15"/>
        <v>-5.7377049180327933E-2</v>
      </c>
      <c r="K209" s="5">
        <f>J209-J1276</f>
        <v>-5.951300509593789E-2</v>
      </c>
      <c r="M209" s="241">
        <v>45630</v>
      </c>
      <c r="N209">
        <v>5123.41</v>
      </c>
      <c r="O209" s="227">
        <f t="shared" si="16"/>
        <v>1.2167560284640722E-2</v>
      </c>
      <c r="P209" s="5">
        <f>O209-O1278</f>
        <v>1.2533317485553893E-2</v>
      </c>
      <c r="Q209" s="8">
        <f t="shared" si="20"/>
        <v>1.5708404719369095E-4</v>
      </c>
      <c r="S209" s="1">
        <v>45630</v>
      </c>
      <c r="T209">
        <v>3.33</v>
      </c>
      <c r="U209" s="29">
        <f t="shared" si="17"/>
        <v>6.0422960725075026E-3</v>
      </c>
      <c r="V209" s="5">
        <f>U209-V1274</f>
        <v>4.3061052968004646E-3</v>
      </c>
      <c r="X209" t="s">
        <v>408</v>
      </c>
      <c r="Y209">
        <v>5.0199999999999996</v>
      </c>
      <c r="Z209" s="48">
        <f t="shared" si="18"/>
        <v>8.0321285140561027E-3</v>
      </c>
      <c r="AA209" s="5">
        <f>Z209-Y1274</f>
        <v>3.8148090447819687E-3</v>
      </c>
      <c r="AD209" s="1">
        <v>45630</v>
      </c>
      <c r="AE209">
        <v>138.38</v>
      </c>
      <c r="AF209" s="29">
        <f t="shared" si="19"/>
        <v>4.1234010534236143E-2</v>
      </c>
    </row>
    <row r="210" spans="1:32">
      <c r="A210" s="220">
        <v>45508</v>
      </c>
      <c r="B210" s="222">
        <v>75.03</v>
      </c>
      <c r="C210" s="227">
        <f t="shared" ref="C210:C273" si="21">B210/B209-1</f>
        <v>-1.4639339898855352E-3</v>
      </c>
      <c r="D210" s="5">
        <f>C210-C1275</f>
        <v>-1.5419795594444246E-3</v>
      </c>
      <c r="F210" s="8"/>
      <c r="H210" s="1">
        <v>45539</v>
      </c>
      <c r="I210">
        <v>18.510000000000002</v>
      </c>
      <c r="J210" s="227">
        <f t="shared" si="15"/>
        <v>5.9782608695653217E-3</v>
      </c>
      <c r="K210" s="5">
        <f>J210-J1276</f>
        <v>3.8423049539553639E-3</v>
      </c>
      <c r="M210" s="241">
        <v>45600</v>
      </c>
      <c r="N210">
        <v>5199.0600000000004</v>
      </c>
      <c r="O210" s="227">
        <f t="shared" si="16"/>
        <v>1.476555653363687E-2</v>
      </c>
      <c r="P210" s="5">
        <f>O210-O1278</f>
        <v>1.5131313734550041E-2</v>
      </c>
      <c r="Q210" s="8">
        <f t="shared" si="20"/>
        <v>2.2895665533338271E-4</v>
      </c>
      <c r="S210" s="1">
        <v>45600</v>
      </c>
      <c r="T210">
        <v>3.39</v>
      </c>
      <c r="U210" s="29">
        <f t="shared" si="17"/>
        <v>1.8018018018018056E-2</v>
      </c>
      <c r="V210" s="5">
        <f>U210-V1274</f>
        <v>1.6281827242311017E-2</v>
      </c>
      <c r="X210" t="s">
        <v>409</v>
      </c>
      <c r="Y210">
        <v>4.93</v>
      </c>
      <c r="Z210" s="48">
        <f t="shared" si="18"/>
        <v>-1.7928286852589626E-2</v>
      </c>
      <c r="AA210" s="5">
        <f>Z210-Y1274</f>
        <v>-2.214560632186376E-2</v>
      </c>
      <c r="AD210" s="1">
        <v>45600</v>
      </c>
      <c r="AE210">
        <v>140.94999999999999</v>
      </c>
      <c r="AF210" s="29">
        <f t="shared" si="19"/>
        <v>1.8572047983812734E-2</v>
      </c>
    </row>
    <row r="211" spans="1:32">
      <c r="A211" s="220">
        <v>45416</v>
      </c>
      <c r="B211" s="222">
        <v>77.16</v>
      </c>
      <c r="C211" s="227">
        <f t="shared" si="21"/>
        <v>2.8388644542183039E-2</v>
      </c>
      <c r="D211" s="5">
        <f>C211-C1275</f>
        <v>2.8310598972624151E-2</v>
      </c>
      <c r="F211" s="8"/>
      <c r="H211" s="1">
        <v>45508</v>
      </c>
      <c r="I211">
        <v>17.829999999999998</v>
      </c>
      <c r="J211" s="227">
        <f t="shared" si="15"/>
        <v>-3.6736898973527943E-2</v>
      </c>
      <c r="K211" s="5">
        <f>J211-J1276</f>
        <v>-3.8872854889137901E-2</v>
      </c>
      <c r="M211" s="241">
        <v>45569</v>
      </c>
      <c r="N211">
        <v>5160.6400000000003</v>
      </c>
      <c r="O211" s="227">
        <f t="shared" si="16"/>
        <v>-7.389797386450625E-3</v>
      </c>
      <c r="P211" s="5">
        <f>O211-O1278</f>
        <v>-7.0240401855374531E-3</v>
      </c>
      <c r="Q211" s="8">
        <f t="shared" si="20"/>
        <v>4.9337140528045017E-5</v>
      </c>
      <c r="S211" s="1">
        <v>45569</v>
      </c>
      <c r="T211">
        <v>3.33</v>
      </c>
      <c r="U211" s="29">
        <f t="shared" si="17"/>
        <v>-1.7699115044247815E-2</v>
      </c>
      <c r="V211" s="5">
        <f>U211-V1274</f>
        <v>-1.9435305819954854E-2</v>
      </c>
      <c r="X211" t="s">
        <v>410</v>
      </c>
      <c r="Y211">
        <v>4.92</v>
      </c>
      <c r="Z211" s="48">
        <f t="shared" si="18"/>
        <v>-2.0283975659228792E-3</v>
      </c>
      <c r="AA211" s="5">
        <f>Z211-Y1274</f>
        <v>-6.2457170351970133E-3</v>
      </c>
      <c r="AD211" s="1">
        <v>45569</v>
      </c>
      <c r="AE211">
        <v>137.18</v>
      </c>
      <c r="AF211" s="29">
        <f t="shared" si="19"/>
        <v>-2.6747073430294255E-2</v>
      </c>
    </row>
    <row r="212" spans="1:32">
      <c r="A212" s="220">
        <v>45386</v>
      </c>
      <c r="B212" s="222">
        <v>74.92</v>
      </c>
      <c r="C212" s="227">
        <f t="shared" si="21"/>
        <v>-2.903058579574902E-2</v>
      </c>
      <c r="D212" s="5">
        <f>C212-C1275</f>
        <v>-2.9108631365307908E-2</v>
      </c>
      <c r="F212" s="8"/>
      <c r="H212" s="1">
        <v>45416</v>
      </c>
      <c r="I212">
        <v>17.84</v>
      </c>
      <c r="J212" s="227">
        <f t="shared" ref="J212:J275" si="22">I212/I211-1</f>
        <v>5.6085249579362895E-4</v>
      </c>
      <c r="K212" s="5">
        <f>J212-J1276</f>
        <v>-1.5751034198163288E-3</v>
      </c>
      <c r="M212" s="241">
        <v>45539</v>
      </c>
      <c r="N212">
        <v>5209.91</v>
      </c>
      <c r="O212" s="227">
        <f t="shared" si="16"/>
        <v>9.5472654554473735E-3</v>
      </c>
      <c r="P212" s="5">
        <f>O212-O1278</f>
        <v>9.9130226563605445E-3</v>
      </c>
      <c r="Q212" s="8">
        <f t="shared" si="20"/>
        <v>9.8268018185517465E-5</v>
      </c>
      <c r="S212" s="1">
        <v>45539</v>
      </c>
      <c r="T212">
        <v>3.29</v>
      </c>
      <c r="U212" s="29">
        <f t="shared" si="17"/>
        <v>-1.2012012012012074E-2</v>
      </c>
      <c r="V212" s="5">
        <f>U212-V1274</f>
        <v>-1.3748202787719113E-2</v>
      </c>
      <c r="X212" t="s">
        <v>411</v>
      </c>
      <c r="Y212">
        <v>4.83</v>
      </c>
      <c r="Z212" s="48">
        <f t="shared" si="18"/>
        <v>-1.8292682926829285E-2</v>
      </c>
      <c r="AA212" s="5">
        <f>Z212-Y1274</f>
        <v>-2.2510002396103419E-2</v>
      </c>
      <c r="AD212" s="1">
        <v>45539</v>
      </c>
      <c r="AE212">
        <v>136.77000000000001</v>
      </c>
      <c r="AF212" s="29">
        <f t="shared" si="19"/>
        <v>-2.9887738737425229E-3</v>
      </c>
    </row>
    <row r="213" spans="1:32">
      <c r="A213" s="220">
        <v>45355</v>
      </c>
      <c r="B213" s="222">
        <v>76.81</v>
      </c>
      <c r="C213" s="227">
        <f t="shared" si="21"/>
        <v>2.5226908702616235E-2</v>
      </c>
      <c r="D213" s="5">
        <f>C213-C1275</f>
        <v>2.5148863133057347E-2</v>
      </c>
      <c r="F213" s="8"/>
      <c r="H213" s="1">
        <v>45386</v>
      </c>
      <c r="I213">
        <v>17.420000000000002</v>
      </c>
      <c r="J213" s="227">
        <f t="shared" si="22"/>
        <v>-2.3542600896860888E-2</v>
      </c>
      <c r="K213" s="5">
        <f>J213-J1276</f>
        <v>-2.5678556812470846E-2</v>
      </c>
      <c r="M213" s="241">
        <v>45508</v>
      </c>
      <c r="N213">
        <v>5202.3900000000003</v>
      </c>
      <c r="O213" s="227">
        <f t="shared" si="16"/>
        <v>-1.4434030530277031E-3</v>
      </c>
      <c r="P213" s="5">
        <f>O213-O1278</f>
        <v>-1.0776458521145316E-3</v>
      </c>
      <c r="Q213" s="8">
        <f t="shared" si="20"/>
        <v>1.1613205825796551E-6</v>
      </c>
      <c r="S213" s="1">
        <v>45508</v>
      </c>
      <c r="T213">
        <v>3.3</v>
      </c>
      <c r="U213" s="29">
        <f t="shared" si="17"/>
        <v>3.0395136778114118E-3</v>
      </c>
      <c r="V213" s="5">
        <f>U213-V1274</f>
        <v>1.3033229021043738E-3</v>
      </c>
      <c r="X213" t="s">
        <v>412</v>
      </c>
      <c r="Y213">
        <v>4.72</v>
      </c>
      <c r="Z213" s="48">
        <f t="shared" si="18"/>
        <v>-2.2774327122153326E-2</v>
      </c>
      <c r="AA213" s="5">
        <f>Z213-Y1274</f>
        <v>-2.699164659142746E-2</v>
      </c>
      <c r="AD213" s="1">
        <v>45508</v>
      </c>
      <c r="AE213">
        <v>137.43</v>
      </c>
      <c r="AF213" s="29">
        <f t="shared" si="19"/>
        <v>4.8256196534326445E-3</v>
      </c>
    </row>
    <row r="214" spans="1:32">
      <c r="A214" s="220">
        <v>45326</v>
      </c>
      <c r="B214" s="222">
        <v>76.98</v>
      </c>
      <c r="C214" s="227">
        <f t="shared" si="21"/>
        <v>2.2132534826195815E-3</v>
      </c>
      <c r="D214" s="5">
        <f>C214-C1275</f>
        <v>2.1352079130606922E-3</v>
      </c>
      <c r="F214" s="8"/>
      <c r="H214" s="1">
        <v>45355</v>
      </c>
      <c r="I214">
        <v>18.28</v>
      </c>
      <c r="J214" s="227">
        <f t="shared" si="22"/>
        <v>4.9368541905855379E-2</v>
      </c>
      <c r="K214" s="5">
        <f>J214-J1276</f>
        <v>4.7232585990245421E-2</v>
      </c>
      <c r="M214" s="241">
        <v>45416</v>
      </c>
      <c r="N214">
        <v>5204.34</v>
      </c>
      <c r="O214" s="227">
        <f t="shared" ref="O214:O277" si="23">N214/N213-1</f>
        <v>3.7482772341168591E-4</v>
      </c>
      <c r="P214" s="5">
        <f>O214-O1278</f>
        <v>7.405849243248574E-4</v>
      </c>
      <c r="Q214" s="8">
        <f t="shared" si="20"/>
        <v>5.4846603013725474E-7</v>
      </c>
      <c r="S214" s="1">
        <v>45416</v>
      </c>
      <c r="T214">
        <v>3.24</v>
      </c>
      <c r="U214" s="29">
        <f t="shared" ref="U214:U277" si="24">T214/T213-1</f>
        <v>-1.8181818181818077E-2</v>
      </c>
      <c r="V214" s="5">
        <f>U214-V1274</f>
        <v>-1.9918008957525116E-2</v>
      </c>
      <c r="X214" t="s">
        <v>413</v>
      </c>
      <c r="Y214">
        <v>4.42</v>
      </c>
      <c r="Z214" s="48">
        <f t="shared" ref="Z214:Z277" si="25">Y214/Y213-1</f>
        <v>-6.3559322033898247E-2</v>
      </c>
      <c r="AA214" s="5">
        <f>Z214-Y1274</f>
        <v>-6.7776641503172377E-2</v>
      </c>
      <c r="AD214" s="1">
        <v>45416</v>
      </c>
      <c r="AE214">
        <v>139.56</v>
      </c>
      <c r="AF214" s="29">
        <f t="shared" ref="AF214:AF277" si="26">AE214/AE213-1</f>
        <v>1.5498799388779627E-2</v>
      </c>
    </row>
    <row r="215" spans="1:32">
      <c r="A215" s="220">
        <v>45295</v>
      </c>
      <c r="B215" s="222">
        <v>76.400000000000006</v>
      </c>
      <c r="C215" s="227">
        <f t="shared" si="21"/>
        <v>-7.5344245258508469E-3</v>
      </c>
      <c r="D215" s="5">
        <f>C215-C1275</f>
        <v>-7.6124700954097362E-3</v>
      </c>
      <c r="F215" s="8"/>
      <c r="H215" s="1">
        <v>45326</v>
      </c>
      <c r="I215">
        <v>18.579999999999998</v>
      </c>
      <c r="J215" s="227">
        <f t="shared" si="22"/>
        <v>1.6411378555798439E-2</v>
      </c>
      <c r="K215" s="5">
        <f>J215-J1276</f>
        <v>1.4275422640188482E-2</v>
      </c>
      <c r="M215" s="241">
        <v>45386</v>
      </c>
      <c r="N215">
        <v>5147.21</v>
      </c>
      <c r="O215" s="227">
        <f t="shared" si="23"/>
        <v>-1.0977376574166975E-2</v>
      </c>
      <c r="P215" s="5">
        <f>O215-O1278</f>
        <v>-1.0611619373253804E-2</v>
      </c>
      <c r="Q215" s="8">
        <f t="shared" ref="Q215:Q278" si="27">P215*P215</f>
        <v>1.1260646572281545E-4</v>
      </c>
      <c r="S215" s="1">
        <v>45386</v>
      </c>
      <c r="T215">
        <v>3.16</v>
      </c>
      <c r="U215" s="29">
        <f t="shared" si="24"/>
        <v>-2.4691358024691357E-2</v>
      </c>
      <c r="V215" s="5">
        <f>U215-V1274</f>
        <v>-2.6427548800398395E-2</v>
      </c>
      <c r="X215" t="s">
        <v>414</v>
      </c>
      <c r="Y215">
        <v>4.66</v>
      </c>
      <c r="Z215" s="48">
        <f t="shared" si="25"/>
        <v>5.4298642533936681E-2</v>
      </c>
      <c r="AA215" s="5">
        <f>Z215-Y1274</f>
        <v>5.008132306466255E-2</v>
      </c>
      <c r="AD215" s="1">
        <v>45386</v>
      </c>
      <c r="AE215">
        <v>134.61000000000001</v>
      </c>
      <c r="AF215" s="29">
        <f t="shared" si="26"/>
        <v>-3.5468615649183022E-2</v>
      </c>
    </row>
    <row r="216" spans="1:32">
      <c r="A216" s="3" t="s">
        <v>418</v>
      </c>
      <c r="B216" s="222">
        <v>76.989999999999995</v>
      </c>
      <c r="C216" s="227">
        <f t="shared" si="21"/>
        <v>7.7225130890050675E-3</v>
      </c>
      <c r="D216" s="5">
        <f>C216-C1275</f>
        <v>7.6444675194461782E-3</v>
      </c>
      <c r="F216" s="8"/>
      <c r="H216" s="1">
        <v>45295</v>
      </c>
      <c r="I216">
        <v>19.239999999999998</v>
      </c>
      <c r="J216" s="227">
        <f t="shared" si="22"/>
        <v>3.5522066738428393E-2</v>
      </c>
      <c r="K216" s="5">
        <f>J216-J1276</f>
        <v>3.3386110822818435E-2</v>
      </c>
      <c r="M216" s="241">
        <v>45355</v>
      </c>
      <c r="N216">
        <v>5211.49</v>
      </c>
      <c r="O216" s="227">
        <f t="shared" si="23"/>
        <v>1.2488318914518626E-2</v>
      </c>
      <c r="P216" s="5">
        <f>O216-O1278</f>
        <v>1.2854076115431797E-2</v>
      </c>
      <c r="Q216" s="8">
        <f t="shared" si="27"/>
        <v>1.6522727278131419E-4</v>
      </c>
      <c r="S216" s="1">
        <v>45355</v>
      </c>
      <c r="T216">
        <v>3.23</v>
      </c>
      <c r="U216" s="29">
        <f t="shared" si="24"/>
        <v>2.2151898734177111E-2</v>
      </c>
      <c r="V216" s="5">
        <f>U216-V1274</f>
        <v>2.0415707958470072E-2</v>
      </c>
      <c r="X216" t="s">
        <v>415</v>
      </c>
      <c r="Y216">
        <v>4.6399999999999997</v>
      </c>
      <c r="Z216" s="48">
        <f t="shared" si="25"/>
        <v>-4.2918454935623185E-3</v>
      </c>
      <c r="AA216" s="5">
        <f>Z216-Y1274</f>
        <v>-8.5091649628364525E-3</v>
      </c>
      <c r="AD216" s="1">
        <v>45355</v>
      </c>
      <c r="AE216">
        <v>138.78</v>
      </c>
      <c r="AF216" s="29">
        <f t="shared" si="26"/>
        <v>3.0978381992422532E-2</v>
      </c>
    </row>
    <row r="217" spans="1:32">
      <c r="A217" s="3" t="s">
        <v>419</v>
      </c>
      <c r="B217" s="222">
        <v>78.11</v>
      </c>
      <c r="C217" s="227">
        <f t="shared" si="21"/>
        <v>1.4547343810884517E-2</v>
      </c>
      <c r="D217" s="5">
        <f>C217-C1275</f>
        <v>1.4469298241325628E-2</v>
      </c>
      <c r="E217" s="1"/>
      <c r="F217" s="8"/>
      <c r="H217" t="s">
        <v>418</v>
      </c>
      <c r="I217">
        <v>19.350000000000001</v>
      </c>
      <c r="J217" s="227">
        <f t="shared" si="22"/>
        <v>5.717255717255787E-3</v>
      </c>
      <c r="K217" s="5">
        <f>J217-J1276</f>
        <v>3.5812998016458292E-3</v>
      </c>
      <c r="M217" s="241">
        <v>45326</v>
      </c>
      <c r="N217">
        <v>5205.8100000000004</v>
      </c>
      <c r="O217" s="227">
        <f t="shared" si="23"/>
        <v>-1.0898994337510404E-3</v>
      </c>
      <c r="P217" s="5">
        <f>O217-O1278</f>
        <v>-7.2414223283786888E-4</v>
      </c>
      <c r="Q217" s="8">
        <f t="shared" si="27"/>
        <v>5.2438197337941427E-7</v>
      </c>
      <c r="S217" s="1">
        <v>45326</v>
      </c>
      <c r="T217">
        <v>3.21</v>
      </c>
      <c r="U217" s="29">
        <f t="shared" si="24"/>
        <v>-6.1919504643962453E-3</v>
      </c>
      <c r="V217" s="5">
        <f>U217-V1274</f>
        <v>-7.9281412401032841E-3</v>
      </c>
      <c r="X217" t="s">
        <v>416</v>
      </c>
      <c r="Y217">
        <v>4.46</v>
      </c>
      <c r="Z217" s="48">
        <f t="shared" si="25"/>
        <v>-3.8793103448275801E-2</v>
      </c>
      <c r="AA217" s="5">
        <f>Z217-Y1274</f>
        <v>-4.3010422917549931E-2</v>
      </c>
      <c r="AD217" s="1">
        <v>45326</v>
      </c>
      <c r="AE217">
        <v>137.5</v>
      </c>
      <c r="AF217" s="29">
        <f t="shared" si="26"/>
        <v>-9.2232310131142858E-3</v>
      </c>
    </row>
    <row r="218" spans="1:32">
      <c r="A218" s="3" t="s">
        <v>420</v>
      </c>
      <c r="B218" s="222">
        <v>77.91</v>
      </c>
      <c r="C218" s="227">
        <f t="shared" si="21"/>
        <v>-2.5604916143899814E-3</v>
      </c>
      <c r="D218" s="5">
        <f>C218-C1275</f>
        <v>-2.6385371839488707E-3</v>
      </c>
      <c r="E218" s="1"/>
      <c r="F218" s="8"/>
      <c r="H218" t="s">
        <v>419</v>
      </c>
      <c r="I218">
        <v>19.48</v>
      </c>
      <c r="J218" s="227">
        <f t="shared" si="22"/>
        <v>6.7183462532298677E-3</v>
      </c>
      <c r="K218" s="5">
        <f>J218-J1276</f>
        <v>4.5823903376199099E-3</v>
      </c>
      <c r="M218" s="241">
        <v>45295</v>
      </c>
      <c r="N218">
        <v>5243.77</v>
      </c>
      <c r="O218" s="227">
        <f t="shared" si="23"/>
        <v>7.2918527568235358E-3</v>
      </c>
      <c r="P218" s="5">
        <f>O218-O1278</f>
        <v>7.6576099577367078E-3</v>
      </c>
      <c r="Q218" s="8">
        <f t="shared" si="27"/>
        <v>5.8638990264828386E-5</v>
      </c>
      <c r="S218" s="1">
        <v>45295</v>
      </c>
      <c r="T218">
        <v>3.19</v>
      </c>
      <c r="U218" s="29">
        <f t="shared" si="24"/>
        <v>-6.230529595015577E-3</v>
      </c>
      <c r="V218" s="5">
        <f>U218-V1274</f>
        <v>-7.9667203707226159E-3</v>
      </c>
      <c r="X218" t="s">
        <v>417</v>
      </c>
      <c r="Y218">
        <v>4.66</v>
      </c>
      <c r="Z218" s="48">
        <f t="shared" si="25"/>
        <v>4.484304932735439E-2</v>
      </c>
      <c r="AA218" s="5">
        <f>Z218-Y1274</f>
        <v>4.0625729858080259E-2</v>
      </c>
      <c r="AD218" s="1">
        <v>45295</v>
      </c>
      <c r="AE218">
        <v>138.25</v>
      </c>
      <c r="AF218" s="29">
        <f t="shared" si="26"/>
        <v>5.4545454545453786E-3</v>
      </c>
    </row>
    <row r="219" spans="1:32">
      <c r="A219" s="3" t="s">
        <v>421</v>
      </c>
      <c r="B219" s="222">
        <v>79.41</v>
      </c>
      <c r="C219" s="227">
        <f t="shared" si="21"/>
        <v>1.9252984212552837E-2</v>
      </c>
      <c r="D219" s="5">
        <f>C219-C1275</f>
        <v>1.9174938642993949E-2</v>
      </c>
      <c r="E219" s="1"/>
      <c r="F219" s="8"/>
      <c r="H219" t="s">
        <v>420</v>
      </c>
      <c r="I219">
        <v>19.63</v>
      </c>
      <c r="J219" s="227">
        <f t="shared" si="22"/>
        <v>7.7002053388088854E-3</v>
      </c>
      <c r="K219" s="5">
        <f>J219-J1276</f>
        <v>5.5642494231989276E-3</v>
      </c>
      <c r="M219" s="240" t="s">
        <v>418</v>
      </c>
      <c r="N219">
        <v>5254.35</v>
      </c>
      <c r="O219" s="227">
        <f t="shared" si="23"/>
        <v>2.0176323522962392E-3</v>
      </c>
      <c r="P219" s="5">
        <f>O219-O1278</f>
        <v>2.3833895532094107E-3</v>
      </c>
      <c r="Q219" s="8">
        <f t="shared" si="27"/>
        <v>5.6805457623477543E-6</v>
      </c>
      <c r="S219" t="s">
        <v>418</v>
      </c>
      <c r="T219">
        <v>3.14</v>
      </c>
      <c r="U219" s="29">
        <f t="shared" si="24"/>
        <v>-1.5673981191222541E-2</v>
      </c>
      <c r="V219" s="5">
        <f>U219-V1274</f>
        <v>-1.741017196692958E-2</v>
      </c>
      <c r="X219" s="1">
        <v>45630</v>
      </c>
      <c r="Y219">
        <v>4.8099999999999996</v>
      </c>
      <c r="Z219" s="48">
        <f t="shared" si="25"/>
        <v>3.2188841201716611E-2</v>
      </c>
      <c r="AA219" s="5">
        <f>Z219-Y1274</f>
        <v>2.7971521732442477E-2</v>
      </c>
      <c r="AD219" t="s">
        <v>418</v>
      </c>
      <c r="AE219">
        <v>137.72</v>
      </c>
      <c r="AF219" s="29">
        <f t="shared" si="26"/>
        <v>-3.8336347197106546E-3</v>
      </c>
    </row>
    <row r="220" spans="1:32">
      <c r="A220" s="3" t="s">
        <v>422</v>
      </c>
      <c r="B220" s="222">
        <v>80.23</v>
      </c>
      <c r="C220" s="227">
        <f t="shared" si="21"/>
        <v>1.0326155396045866E-2</v>
      </c>
      <c r="D220" s="5">
        <f>C220-C1275</f>
        <v>1.0248109826486978E-2</v>
      </c>
      <c r="E220" s="1"/>
      <c r="F220" s="8"/>
      <c r="H220" t="s">
        <v>421</v>
      </c>
      <c r="I220">
        <v>19.52</v>
      </c>
      <c r="J220" s="227">
        <f t="shared" si="22"/>
        <v>-5.6036678553234021E-3</v>
      </c>
      <c r="K220" s="5">
        <f>J220-J1276</f>
        <v>-7.7396237709333598E-3</v>
      </c>
      <c r="M220" s="240" t="s">
        <v>419</v>
      </c>
      <c r="N220">
        <v>5248.49</v>
      </c>
      <c r="O220" s="227">
        <f t="shared" si="23"/>
        <v>-1.1152663983177158E-3</v>
      </c>
      <c r="P220" s="5">
        <f>O220-O1278</f>
        <v>-7.495091974045443E-4</v>
      </c>
      <c r="Q220" s="8">
        <f t="shared" si="27"/>
        <v>5.6176403699400412E-7</v>
      </c>
      <c r="S220" t="s">
        <v>419</v>
      </c>
      <c r="T220">
        <v>3.2</v>
      </c>
      <c r="U220" s="29">
        <f t="shared" si="24"/>
        <v>1.9108280254777066E-2</v>
      </c>
      <c r="V220" s="5">
        <f>U220-V1274</f>
        <v>1.7372089479070027E-2</v>
      </c>
      <c r="X220" s="1">
        <v>45600</v>
      </c>
      <c r="Y220">
        <v>4.92</v>
      </c>
      <c r="Z220" s="48">
        <f t="shared" si="25"/>
        <v>2.2869022869022926E-2</v>
      </c>
      <c r="AA220" s="5">
        <f>Z220-Y1274</f>
        <v>1.8651703399748792E-2</v>
      </c>
      <c r="AD220" t="s">
        <v>419</v>
      </c>
      <c r="AE220">
        <v>138.88</v>
      </c>
      <c r="AF220" s="29">
        <f t="shared" si="26"/>
        <v>8.4228870171361159E-3</v>
      </c>
    </row>
    <row r="221" spans="1:32">
      <c r="A221" s="3" t="s">
        <v>423</v>
      </c>
      <c r="B221" s="222">
        <v>80.25</v>
      </c>
      <c r="C221" s="227">
        <f t="shared" si="21"/>
        <v>2.4928331048235108E-4</v>
      </c>
      <c r="D221" s="5">
        <f>C221-C1275</f>
        <v>1.7123774092346188E-4</v>
      </c>
      <c r="E221" s="1"/>
      <c r="F221" s="8"/>
      <c r="H221" t="s">
        <v>422</v>
      </c>
      <c r="I221">
        <v>20.16</v>
      </c>
      <c r="J221" s="227">
        <f t="shared" si="22"/>
        <v>3.2786885245901676E-2</v>
      </c>
      <c r="K221" s="5">
        <f>J221-J1276</f>
        <v>3.0650929330291718E-2</v>
      </c>
      <c r="M221" s="240" t="s">
        <v>420</v>
      </c>
      <c r="N221">
        <v>5203.58</v>
      </c>
      <c r="O221" s="227">
        <f t="shared" si="23"/>
        <v>-8.5567467976503941E-3</v>
      </c>
      <c r="P221" s="5">
        <f>O221-O1278</f>
        <v>-8.1909895967372231E-3</v>
      </c>
      <c r="Q221" s="8">
        <f t="shared" si="27"/>
        <v>6.7092310573857417E-5</v>
      </c>
      <c r="S221" t="s">
        <v>420</v>
      </c>
      <c r="T221">
        <v>3.16</v>
      </c>
      <c r="U221" s="29">
        <f t="shared" si="24"/>
        <v>-1.2499999999999956E-2</v>
      </c>
      <c r="V221" s="5">
        <f>U221-V1274</f>
        <v>-1.4236190775706994E-2</v>
      </c>
      <c r="X221" s="1">
        <v>45569</v>
      </c>
      <c r="Y221">
        <v>4.8</v>
      </c>
      <c r="Z221" s="48">
        <f t="shared" si="25"/>
        <v>-2.4390243902439046E-2</v>
      </c>
      <c r="AA221" s="5">
        <f>Z221-Y1274</f>
        <v>-2.860756337171318E-2</v>
      </c>
      <c r="AD221" t="s">
        <v>420</v>
      </c>
      <c r="AE221">
        <v>140.26</v>
      </c>
      <c r="AF221" s="29">
        <f t="shared" si="26"/>
        <v>9.9366359447004005E-3</v>
      </c>
    </row>
    <row r="222" spans="1:32">
      <c r="A222" s="3" t="s">
        <v>424</v>
      </c>
      <c r="B222" s="222">
        <v>78.64</v>
      </c>
      <c r="C222" s="227">
        <f t="shared" si="21"/>
        <v>-2.00623052959501E-2</v>
      </c>
      <c r="D222" s="5">
        <f>C222-C1275</f>
        <v>-2.0140350865508989E-2</v>
      </c>
      <c r="E222" s="1"/>
      <c r="F222" s="8"/>
      <c r="H222" t="s">
        <v>423</v>
      </c>
      <c r="I222">
        <v>20.28</v>
      </c>
      <c r="J222" s="227">
        <f t="shared" si="22"/>
        <v>5.9523809523809312E-3</v>
      </c>
      <c r="K222" s="5">
        <f>J222-J1276</f>
        <v>3.8164250367709734E-3</v>
      </c>
      <c r="M222" s="240" t="s">
        <v>421</v>
      </c>
      <c r="N222">
        <v>5218.1899999999996</v>
      </c>
      <c r="O222" s="227">
        <f t="shared" si="23"/>
        <v>2.8076824032685632E-3</v>
      </c>
      <c r="P222" s="5">
        <f>O222-O1278</f>
        <v>3.1734396041817347E-3</v>
      </c>
      <c r="Q222" s="8">
        <f t="shared" si="27"/>
        <v>1.0070718921389126E-5</v>
      </c>
      <c r="S222" t="s">
        <v>421</v>
      </c>
      <c r="T222">
        <v>3.14</v>
      </c>
      <c r="U222" s="29">
        <f t="shared" si="24"/>
        <v>-6.3291139240506666E-3</v>
      </c>
      <c r="V222" s="5">
        <f>U222-V1274</f>
        <v>-8.0653046997577055E-3</v>
      </c>
      <c r="X222" s="1">
        <v>45539</v>
      </c>
      <c r="Y222">
        <v>4.51</v>
      </c>
      <c r="Z222" s="48">
        <f t="shared" si="25"/>
        <v>-6.0416666666666674E-2</v>
      </c>
      <c r="AA222" s="5">
        <f>Z222-Y1274</f>
        <v>-6.4633986135940805E-2</v>
      </c>
      <c r="AD222" t="s">
        <v>421</v>
      </c>
      <c r="AE222">
        <v>137.82</v>
      </c>
      <c r="AF222" s="29">
        <f t="shared" si="26"/>
        <v>-1.7396264080992374E-2</v>
      </c>
    </row>
    <row r="223" spans="1:32">
      <c r="A223" s="3" t="s">
        <v>425</v>
      </c>
      <c r="B223" s="222">
        <v>77.08</v>
      </c>
      <c r="C223" s="227">
        <f t="shared" si="21"/>
        <v>-1.9837232960325579E-2</v>
      </c>
      <c r="D223" s="5">
        <f>C223-C1275</f>
        <v>-1.9915278529884468E-2</v>
      </c>
      <c r="E223" s="1"/>
      <c r="F223" s="8"/>
      <c r="H223" t="s">
        <v>424</v>
      </c>
      <c r="I223">
        <v>19.2</v>
      </c>
      <c r="J223" s="227">
        <f t="shared" si="22"/>
        <v>-5.3254437869822535E-2</v>
      </c>
      <c r="K223" s="5">
        <f>J223-J1276</f>
        <v>-5.5390393785432493E-2</v>
      </c>
      <c r="M223" s="240" t="s">
        <v>422</v>
      </c>
      <c r="N223">
        <v>5234.18</v>
      </c>
      <c r="O223" s="227">
        <f t="shared" si="23"/>
        <v>3.0642809096641521E-3</v>
      </c>
      <c r="P223" s="5">
        <f>O223-O1278</f>
        <v>3.4300381105773236E-3</v>
      </c>
      <c r="Q223" s="8">
        <f t="shared" si="27"/>
        <v>1.1765161440012856E-5</v>
      </c>
      <c r="S223" t="s">
        <v>422</v>
      </c>
      <c r="T223">
        <v>3.15</v>
      </c>
      <c r="U223" s="29">
        <f t="shared" si="24"/>
        <v>3.1847133757960666E-3</v>
      </c>
      <c r="V223" s="5">
        <f>U223-V1274</f>
        <v>1.4485226000890286E-3</v>
      </c>
      <c r="X223" s="1">
        <v>45508</v>
      </c>
      <c r="Y223">
        <v>4.4400000000000004</v>
      </c>
      <c r="Z223" s="48">
        <f t="shared" si="25"/>
        <v>-1.5521064301551979E-2</v>
      </c>
      <c r="AA223" s="5">
        <f>Z223-Y1274</f>
        <v>-1.9738383770826113E-2</v>
      </c>
      <c r="AD223" t="s">
        <v>422</v>
      </c>
      <c r="AE223">
        <v>137.24</v>
      </c>
      <c r="AF223" s="29">
        <f t="shared" si="26"/>
        <v>-4.2083877521403856E-3</v>
      </c>
    </row>
    <row r="224" spans="1:32">
      <c r="A224" s="3" t="s">
        <v>426</v>
      </c>
      <c r="B224" s="222">
        <v>75.7</v>
      </c>
      <c r="C224" s="227">
        <f t="shared" si="21"/>
        <v>-1.7903476907109472E-2</v>
      </c>
      <c r="D224" s="5">
        <f>C224-C1275</f>
        <v>-1.7981522476668361E-2</v>
      </c>
      <c r="E224" s="1"/>
      <c r="F224" s="8"/>
      <c r="H224" t="s">
        <v>425</v>
      </c>
      <c r="I224">
        <v>18.16</v>
      </c>
      <c r="J224" s="227">
        <f t="shared" si="22"/>
        <v>-5.4166666666666585E-2</v>
      </c>
      <c r="K224" s="5">
        <f>J224-J1276</f>
        <v>-5.6302622582276543E-2</v>
      </c>
      <c r="M224" s="240" t="s">
        <v>423</v>
      </c>
      <c r="N224">
        <v>5241.53</v>
      </c>
      <c r="O224" s="227">
        <f t="shared" si="23"/>
        <v>1.4042314173374759E-3</v>
      </c>
      <c r="P224" s="5">
        <f>O224-O1278</f>
        <v>1.7699886182506474E-3</v>
      </c>
      <c r="Q224" s="8">
        <f t="shared" si="27"/>
        <v>3.1328597087368361E-6</v>
      </c>
      <c r="S224" t="s">
        <v>423</v>
      </c>
      <c r="T224">
        <v>3.25</v>
      </c>
      <c r="U224" s="29">
        <f t="shared" si="24"/>
        <v>3.1746031746031855E-2</v>
      </c>
      <c r="V224" s="5">
        <f>U224-V1274</f>
        <v>3.0009840970324816E-2</v>
      </c>
      <c r="X224" s="1">
        <v>45416</v>
      </c>
      <c r="Y224">
        <v>4.42</v>
      </c>
      <c r="Z224" s="48">
        <f t="shared" si="25"/>
        <v>-4.5045045045045695E-3</v>
      </c>
      <c r="AA224" s="5">
        <f>Z224-Y1274</f>
        <v>-8.7218239737787036E-3</v>
      </c>
      <c r="AD224" t="s">
        <v>423</v>
      </c>
      <c r="AE224">
        <v>136.76</v>
      </c>
      <c r="AF224" s="29">
        <f t="shared" si="26"/>
        <v>-3.4975225881668237E-3</v>
      </c>
    </row>
    <row r="225" spans="1:32">
      <c r="A225" s="3" t="s">
        <v>427</v>
      </c>
      <c r="B225" s="222">
        <v>76.069999999999993</v>
      </c>
      <c r="C225" s="227">
        <f t="shared" si="21"/>
        <v>4.8877146631438606E-3</v>
      </c>
      <c r="D225" s="5">
        <f>C225-C1275</f>
        <v>4.8096690935849713E-3</v>
      </c>
      <c r="F225" s="8"/>
      <c r="H225" t="s">
        <v>426</v>
      </c>
      <c r="I225">
        <v>17.95</v>
      </c>
      <c r="J225" s="227">
        <f t="shared" si="22"/>
        <v>-1.1563876651982441E-2</v>
      </c>
      <c r="K225" s="5">
        <f>J225-J1276</f>
        <v>-1.3699832567592399E-2</v>
      </c>
      <c r="M225" s="240" t="s">
        <v>424</v>
      </c>
      <c r="N225">
        <v>5224.62</v>
      </c>
      <c r="O225" s="227">
        <f t="shared" si="23"/>
        <v>-3.2261572479791445E-3</v>
      </c>
      <c r="P225" s="5">
        <f>O225-O1278</f>
        <v>-2.860400047065973E-3</v>
      </c>
      <c r="Q225" s="8">
        <f t="shared" si="27"/>
        <v>8.1818884292550211E-6</v>
      </c>
      <c r="S225" t="s">
        <v>424</v>
      </c>
      <c r="T225">
        <v>3.2</v>
      </c>
      <c r="U225" s="29">
        <f t="shared" si="24"/>
        <v>-1.538461538461533E-2</v>
      </c>
      <c r="V225" s="5">
        <f>U225-V1274</f>
        <v>-1.7120806160322369E-2</v>
      </c>
      <c r="X225" s="1">
        <v>45386</v>
      </c>
      <c r="Y225">
        <v>3.99</v>
      </c>
      <c r="Z225" s="48">
        <f t="shared" si="25"/>
        <v>-9.7285067873303155E-2</v>
      </c>
      <c r="AA225" s="5">
        <f>Z225-Y1274</f>
        <v>-0.10150238734257729</v>
      </c>
      <c r="AD225" t="s">
        <v>424</v>
      </c>
      <c r="AE225">
        <v>137.91</v>
      </c>
      <c r="AF225" s="29">
        <f t="shared" si="26"/>
        <v>8.4088914887394672E-3</v>
      </c>
    </row>
    <row r="226" spans="1:32">
      <c r="A226" s="3" t="s">
        <v>428</v>
      </c>
      <c r="B226" s="222">
        <v>77.650000000000006</v>
      </c>
      <c r="C226" s="227">
        <f t="shared" si="21"/>
        <v>2.0770343105035005E-2</v>
      </c>
      <c r="D226" s="5">
        <f>C226-C1275</f>
        <v>2.0692297535476117E-2</v>
      </c>
      <c r="F226" s="8"/>
      <c r="H226" t="s">
        <v>427</v>
      </c>
      <c r="I226">
        <v>17.23</v>
      </c>
      <c r="J226" s="227">
        <f t="shared" si="22"/>
        <v>-4.0111420612813253E-2</v>
      </c>
      <c r="K226" s="5">
        <f>J226-J1276</f>
        <v>-4.2247376528423211E-2</v>
      </c>
      <c r="M226" s="240" t="s">
        <v>425</v>
      </c>
      <c r="N226">
        <v>5178.51</v>
      </c>
      <c r="O226" s="227">
        <f t="shared" si="23"/>
        <v>-8.825522238937844E-3</v>
      </c>
      <c r="P226" s="5">
        <f>O226-O1278</f>
        <v>-8.459765038024673E-3</v>
      </c>
      <c r="Q226" s="8">
        <f t="shared" si="27"/>
        <v>7.1567624498584601E-5</v>
      </c>
      <c r="S226" t="s">
        <v>425</v>
      </c>
      <c r="T226">
        <v>3.18</v>
      </c>
      <c r="U226" s="29">
        <f t="shared" si="24"/>
        <v>-6.2499999999999778E-3</v>
      </c>
      <c r="V226" s="5">
        <f>U226-V1274</f>
        <v>-7.9861907757070166E-3</v>
      </c>
      <c r="X226" s="1">
        <v>45355</v>
      </c>
      <c r="Y226">
        <v>3.95</v>
      </c>
      <c r="Z226" s="48">
        <f t="shared" si="25"/>
        <v>-1.0025062656641603E-2</v>
      </c>
      <c r="AA226" s="5">
        <f>Z226-Y1274</f>
        <v>-1.4242382125915738E-2</v>
      </c>
      <c r="AD226" t="s">
        <v>425</v>
      </c>
      <c r="AE226">
        <v>130.83000000000001</v>
      </c>
      <c r="AF226" s="29">
        <f t="shared" si="26"/>
        <v>-5.1337829018925252E-2</v>
      </c>
    </row>
    <row r="227" spans="1:32">
      <c r="A227" s="3" t="s">
        <v>429</v>
      </c>
      <c r="B227" s="222">
        <v>78.25</v>
      </c>
      <c r="C227" s="227">
        <f t="shared" si="21"/>
        <v>7.726980038634812E-3</v>
      </c>
      <c r="D227" s="5">
        <f>C227-C1275</f>
        <v>7.6489344690759227E-3</v>
      </c>
      <c r="F227" s="8"/>
      <c r="H227" t="s">
        <v>428</v>
      </c>
      <c r="I227">
        <v>17.809999999999999</v>
      </c>
      <c r="J227" s="227">
        <f t="shared" si="22"/>
        <v>3.3662217063261668E-2</v>
      </c>
      <c r="K227" s="5">
        <f>J227-J1276</f>
        <v>3.152626114765171E-2</v>
      </c>
      <c r="M227" s="240" t="s">
        <v>426</v>
      </c>
      <c r="N227">
        <v>5149.42</v>
      </c>
      <c r="O227" s="227">
        <f t="shared" si="23"/>
        <v>-5.6174459448760095E-3</v>
      </c>
      <c r="P227" s="5">
        <f>O227-O1278</f>
        <v>-5.2516887439628375E-3</v>
      </c>
      <c r="Q227" s="8">
        <f t="shared" si="27"/>
        <v>2.7580234663465966E-5</v>
      </c>
      <c r="S227" t="s">
        <v>426</v>
      </c>
      <c r="T227">
        <v>3.17</v>
      </c>
      <c r="U227" s="29">
        <f t="shared" si="24"/>
        <v>-3.1446540880504248E-3</v>
      </c>
      <c r="V227" s="5">
        <f>U227-V1274</f>
        <v>-4.8808448637574628E-3</v>
      </c>
      <c r="X227" s="1">
        <v>45326</v>
      </c>
      <c r="Y227">
        <v>3.96</v>
      </c>
      <c r="Z227" s="48">
        <f t="shared" si="25"/>
        <v>2.5316455696202667E-3</v>
      </c>
      <c r="AA227" s="5">
        <f>Z227-Y1274</f>
        <v>-1.6856738996538674E-3</v>
      </c>
      <c r="AD227" t="s">
        <v>426</v>
      </c>
      <c r="AE227">
        <v>129.58000000000001</v>
      </c>
      <c r="AF227" s="29">
        <f t="shared" si="26"/>
        <v>-9.5543835511733288E-3</v>
      </c>
    </row>
    <row r="228" spans="1:32">
      <c r="A228" s="220">
        <v>45629</v>
      </c>
      <c r="B228" s="222">
        <v>78.319999999999993</v>
      </c>
      <c r="C228" s="227">
        <f t="shared" si="21"/>
        <v>8.9456869009585382E-4</v>
      </c>
      <c r="D228" s="5">
        <f>C228-C1275</f>
        <v>8.1652312053696462E-4</v>
      </c>
      <c r="F228" s="8"/>
      <c r="H228" t="s">
        <v>429</v>
      </c>
      <c r="I228">
        <v>18.260000000000002</v>
      </c>
      <c r="J228" s="227">
        <f t="shared" si="22"/>
        <v>2.5266704098821036E-2</v>
      </c>
      <c r="K228" s="5">
        <f>J228-J1276</f>
        <v>2.3130748183211078E-2</v>
      </c>
      <c r="M228" s="240" t="s">
        <v>427</v>
      </c>
      <c r="N228">
        <v>5117.09</v>
      </c>
      <c r="O228" s="227">
        <f t="shared" si="23"/>
        <v>-6.2783769822620794E-3</v>
      </c>
      <c r="P228" s="5">
        <f>O228-O1278</f>
        <v>-5.9126197813489075E-3</v>
      </c>
      <c r="Q228" s="8">
        <f t="shared" si="27"/>
        <v>3.4959072678798399E-5</v>
      </c>
      <c r="S228" t="s">
        <v>427</v>
      </c>
      <c r="T228">
        <v>3.17</v>
      </c>
      <c r="U228" s="29">
        <f t="shared" si="24"/>
        <v>0</v>
      </c>
      <c r="V228" s="5">
        <f>U228-V1274</f>
        <v>-1.736190775707038E-3</v>
      </c>
      <c r="X228" s="1">
        <v>45295</v>
      </c>
      <c r="Y228">
        <v>3.9874999999999998</v>
      </c>
      <c r="Z228" s="48">
        <f t="shared" si="25"/>
        <v>6.9444444444444198E-3</v>
      </c>
      <c r="AA228" s="5">
        <f>Z228-Y1274</f>
        <v>2.7271249751702857E-3</v>
      </c>
      <c r="AD228" t="s">
        <v>427</v>
      </c>
      <c r="AE228">
        <v>130.55000000000001</v>
      </c>
      <c r="AF228" s="29">
        <f t="shared" si="26"/>
        <v>7.4857231054175077E-3</v>
      </c>
    </row>
    <row r="229" spans="1:32">
      <c r="A229" s="220">
        <v>45599</v>
      </c>
      <c r="B229" s="222">
        <v>77.47</v>
      </c>
      <c r="C229" s="227">
        <f t="shared" si="21"/>
        <v>-1.0852911133809928E-2</v>
      </c>
      <c r="D229" s="5">
        <f>C229-C1275</f>
        <v>-1.0930956703368817E-2</v>
      </c>
      <c r="F229" s="8"/>
      <c r="H229" s="1">
        <v>45629</v>
      </c>
      <c r="I229">
        <v>17.7</v>
      </c>
      <c r="J229" s="227">
        <f t="shared" si="22"/>
        <v>-3.0668127053669392E-2</v>
      </c>
      <c r="K229" s="5">
        <f>J229-J1276</f>
        <v>-3.280408296927935E-2</v>
      </c>
      <c r="M229" s="240" t="s">
        <v>428</v>
      </c>
      <c r="N229">
        <v>5150.4799999999996</v>
      </c>
      <c r="O229" s="227">
        <f t="shared" si="23"/>
        <v>6.5251930296319482E-3</v>
      </c>
      <c r="P229" s="5">
        <f>O229-O1278</f>
        <v>6.8909502305451202E-3</v>
      </c>
      <c r="Q229" s="8">
        <f t="shared" si="27"/>
        <v>4.7485195079849847E-5</v>
      </c>
      <c r="S229" t="s">
        <v>428</v>
      </c>
      <c r="T229">
        <v>3.24</v>
      </c>
      <c r="U229" s="29">
        <f t="shared" si="24"/>
        <v>2.208201892744488E-2</v>
      </c>
      <c r="V229" s="5">
        <f>U229-V1274</f>
        <v>2.0345828151737841E-2</v>
      </c>
      <c r="X229" t="s">
        <v>418</v>
      </c>
      <c r="Y229">
        <v>3.83</v>
      </c>
      <c r="Z229" s="48">
        <f t="shared" si="25"/>
        <v>-3.9498432601880795E-2</v>
      </c>
      <c r="AA229" s="5">
        <f>Z229-Y1274</f>
        <v>-4.3715752071154926E-2</v>
      </c>
      <c r="AD229" t="s">
        <v>428</v>
      </c>
      <c r="AE229">
        <v>132.55000000000001</v>
      </c>
      <c r="AF229" s="29">
        <f t="shared" si="26"/>
        <v>1.5319800842588993E-2</v>
      </c>
    </row>
    <row r="230" spans="1:32">
      <c r="A230" s="220">
        <v>45507</v>
      </c>
      <c r="B230" s="222">
        <v>78.7</v>
      </c>
      <c r="C230" s="227">
        <f t="shared" si="21"/>
        <v>1.5877113721440628E-2</v>
      </c>
      <c r="D230" s="5">
        <f>C230-C1275</f>
        <v>1.5799068151881739E-2</v>
      </c>
      <c r="F230" s="8"/>
      <c r="H230" s="1">
        <v>45599</v>
      </c>
      <c r="I230">
        <v>17.8</v>
      </c>
      <c r="J230" s="227">
        <f t="shared" si="22"/>
        <v>5.6497175141243527E-3</v>
      </c>
      <c r="K230" s="5">
        <f>J230-J1276</f>
        <v>3.513761598514395E-3</v>
      </c>
      <c r="M230" s="240" t="s">
        <v>429</v>
      </c>
      <c r="N230">
        <v>5165.3100000000004</v>
      </c>
      <c r="O230" s="227">
        <f t="shared" si="23"/>
        <v>2.8793432845095612E-3</v>
      </c>
      <c r="P230" s="5">
        <f>O230-O1278</f>
        <v>3.2451004854227327E-3</v>
      </c>
      <c r="Q230" s="8">
        <f t="shared" si="27"/>
        <v>1.0530677160490856E-5</v>
      </c>
      <c r="S230" t="s">
        <v>429</v>
      </c>
      <c r="T230">
        <v>3.23</v>
      </c>
      <c r="U230" s="29">
        <f t="shared" si="24"/>
        <v>-3.0864197530865445E-3</v>
      </c>
      <c r="V230" s="5">
        <f>U230-V1274</f>
        <v>-4.8226105287935825E-3</v>
      </c>
      <c r="X230" t="s">
        <v>419</v>
      </c>
      <c r="Y230">
        <v>3.81</v>
      </c>
      <c r="Z230" s="48">
        <f t="shared" si="25"/>
        <v>-5.2219321148825326E-3</v>
      </c>
      <c r="AA230" s="5">
        <f>Z230-Y1274</f>
        <v>-9.4392515841566667E-3</v>
      </c>
      <c r="AD230" t="s">
        <v>429</v>
      </c>
      <c r="AE230">
        <v>132.41999999999999</v>
      </c>
      <c r="AF230" s="29">
        <f t="shared" si="26"/>
        <v>-9.807619766127873E-4</v>
      </c>
    </row>
    <row r="231" spans="1:32">
      <c r="A231" s="220">
        <v>45476</v>
      </c>
      <c r="B231" s="222">
        <v>79.41</v>
      </c>
      <c r="C231" s="227">
        <f t="shared" si="21"/>
        <v>9.0216010165182769E-3</v>
      </c>
      <c r="D231" s="5">
        <f>C231-C1275</f>
        <v>8.9435554469593885E-3</v>
      </c>
      <c r="F231" s="8"/>
      <c r="H231" s="1">
        <v>45507</v>
      </c>
      <c r="I231">
        <v>18.309999999999999</v>
      </c>
      <c r="J231" s="227">
        <f t="shared" si="22"/>
        <v>2.8651685393258353E-2</v>
      </c>
      <c r="K231" s="5">
        <f>J231-J1276</f>
        <v>2.6515729477648395E-2</v>
      </c>
      <c r="M231" s="241">
        <v>45629</v>
      </c>
      <c r="N231">
        <v>5175.2700000000004</v>
      </c>
      <c r="O231" s="227">
        <f t="shared" si="23"/>
        <v>1.9282482561551184E-3</v>
      </c>
      <c r="P231" s="5">
        <f>O231-O1278</f>
        <v>2.2940054570682899E-3</v>
      </c>
      <c r="Q231" s="8">
        <f t="shared" si="27"/>
        <v>5.2624610370590933E-6</v>
      </c>
      <c r="S231" s="1">
        <v>45629</v>
      </c>
      <c r="T231">
        <v>3.22</v>
      </c>
      <c r="U231" s="29">
        <f t="shared" si="24"/>
        <v>-3.0959752321980671E-3</v>
      </c>
      <c r="V231" s="5">
        <f>U231-V1274</f>
        <v>-4.8321660079051051E-3</v>
      </c>
      <c r="X231" t="s">
        <v>420</v>
      </c>
      <c r="Y231">
        <v>3.72</v>
      </c>
      <c r="Z231" s="48">
        <f t="shared" si="25"/>
        <v>-2.3622047244094446E-2</v>
      </c>
      <c r="AA231" s="5">
        <f>Z231-Y1274</f>
        <v>-2.783936671336858E-2</v>
      </c>
      <c r="AD231" s="1">
        <v>45629</v>
      </c>
      <c r="AE231">
        <v>130.44999999999999</v>
      </c>
      <c r="AF231" s="29">
        <f t="shared" si="26"/>
        <v>-1.4876906811659873E-2</v>
      </c>
    </row>
    <row r="232" spans="1:32">
      <c r="A232" s="220">
        <v>45446</v>
      </c>
      <c r="B232" s="222">
        <v>78.64</v>
      </c>
      <c r="C232" s="227">
        <f t="shared" si="21"/>
        <v>-9.6965117743357254E-3</v>
      </c>
      <c r="D232" s="5">
        <f>C232-C1275</f>
        <v>-9.7745573438946139E-3</v>
      </c>
      <c r="F232" s="8"/>
      <c r="H232" s="1">
        <v>45476</v>
      </c>
      <c r="I232">
        <v>18.05</v>
      </c>
      <c r="J232" s="227">
        <f t="shared" si="22"/>
        <v>-1.4199890770070889E-2</v>
      </c>
      <c r="K232" s="5">
        <f>J232-J1276</f>
        <v>-1.6335846685680847E-2</v>
      </c>
      <c r="M232" s="241">
        <v>45599</v>
      </c>
      <c r="N232">
        <v>5117.9399999999996</v>
      </c>
      <c r="O232" s="227">
        <f t="shared" si="23"/>
        <v>-1.1077682903500863E-2</v>
      </c>
      <c r="P232" s="5">
        <f>O232-O1278</f>
        <v>-1.0711925702587692E-2</v>
      </c>
      <c r="Q232" s="8">
        <f t="shared" si="27"/>
        <v>1.1474535225775881E-4</v>
      </c>
      <c r="S232" s="1">
        <v>45599</v>
      </c>
      <c r="T232">
        <v>3.17</v>
      </c>
      <c r="U232" s="29">
        <f t="shared" si="24"/>
        <v>-1.5527950310559091E-2</v>
      </c>
      <c r="V232" s="5">
        <f>U232-V1274</f>
        <v>-1.726414108626613E-2</v>
      </c>
      <c r="X232" t="s">
        <v>421</v>
      </c>
      <c r="Y232">
        <v>3.9</v>
      </c>
      <c r="Z232" s="48">
        <f t="shared" si="25"/>
        <v>4.8387096774193505E-2</v>
      </c>
      <c r="AA232" s="5">
        <f>Z232-Y1274</f>
        <v>4.4169777304919375E-2</v>
      </c>
      <c r="AD232" s="1">
        <v>45599</v>
      </c>
      <c r="AE232">
        <v>128.77000000000001</v>
      </c>
      <c r="AF232" s="29">
        <f t="shared" si="26"/>
        <v>-1.2878497508623798E-2</v>
      </c>
    </row>
    <row r="233" spans="1:32">
      <c r="A233" s="220">
        <v>45415</v>
      </c>
      <c r="B233" s="222">
        <v>79.09</v>
      </c>
      <c r="C233" s="227">
        <f t="shared" si="21"/>
        <v>5.7222787385555751E-3</v>
      </c>
      <c r="D233" s="5">
        <f>C233-C1275</f>
        <v>5.6442331689966858E-3</v>
      </c>
      <c r="F233" s="8"/>
      <c r="H233" s="1">
        <v>45446</v>
      </c>
      <c r="I233">
        <v>18.3</v>
      </c>
      <c r="J233" s="227">
        <f t="shared" si="22"/>
        <v>1.3850415512465464E-2</v>
      </c>
      <c r="K233" s="5">
        <f>J233-J1276</f>
        <v>1.1714459596855506E-2</v>
      </c>
      <c r="M233" s="241">
        <v>45507</v>
      </c>
      <c r="N233">
        <v>5123.6899999999996</v>
      </c>
      <c r="O233" s="227">
        <f t="shared" si="23"/>
        <v>1.1234989077637536E-3</v>
      </c>
      <c r="P233" s="5">
        <f>O233-O1278</f>
        <v>1.4892561086769251E-3</v>
      </c>
      <c r="Q233" s="8">
        <f t="shared" si="27"/>
        <v>2.2178837572315375E-6</v>
      </c>
      <c r="S233" s="1">
        <v>45507</v>
      </c>
      <c r="T233">
        <v>3.08</v>
      </c>
      <c r="U233" s="29">
        <f t="shared" si="24"/>
        <v>-2.8391167192428957E-2</v>
      </c>
      <c r="V233" s="5">
        <f>U233-V1274</f>
        <v>-3.0127357968135995E-2</v>
      </c>
      <c r="X233" t="s">
        <v>422</v>
      </c>
      <c r="Y233">
        <v>3.92</v>
      </c>
      <c r="Z233" s="48">
        <f t="shared" si="25"/>
        <v>5.12820512820511E-3</v>
      </c>
      <c r="AA233" s="5">
        <f>Z233-Y1274</f>
        <v>9.1088565893097592E-4</v>
      </c>
      <c r="AD233" s="1">
        <v>45507</v>
      </c>
      <c r="AE233">
        <v>131.80000000000001</v>
      </c>
      <c r="AF233" s="29">
        <f t="shared" si="26"/>
        <v>2.3530325386347695E-2</v>
      </c>
    </row>
    <row r="234" spans="1:32">
      <c r="A234" s="220">
        <v>45385</v>
      </c>
      <c r="B234" s="222">
        <v>81.3</v>
      </c>
      <c r="C234" s="227">
        <f t="shared" si="21"/>
        <v>2.7942849917815149E-2</v>
      </c>
      <c r="D234" s="5">
        <f>C234-C1275</f>
        <v>2.7864804348256261E-2</v>
      </c>
      <c r="F234" s="8"/>
      <c r="H234" s="1">
        <v>45415</v>
      </c>
      <c r="I234">
        <v>16.86</v>
      </c>
      <c r="J234" s="227">
        <f t="shared" si="22"/>
        <v>-7.8688524590163955E-2</v>
      </c>
      <c r="K234" s="5">
        <f>J234-J1276</f>
        <v>-8.0824480505773913E-2</v>
      </c>
      <c r="M234" s="241">
        <v>45476</v>
      </c>
      <c r="N234">
        <v>5157.3599999999997</v>
      </c>
      <c r="O234" s="227">
        <f t="shared" si="23"/>
        <v>6.5714358206683254E-3</v>
      </c>
      <c r="P234" s="5">
        <f>O234-O1278</f>
        <v>6.9371930215814974E-3</v>
      </c>
      <c r="Q234" s="8">
        <f t="shared" si="27"/>
        <v>4.8124647018679027E-5</v>
      </c>
      <c r="S234" s="1">
        <v>45476</v>
      </c>
      <c r="T234">
        <v>3.2</v>
      </c>
      <c r="U234" s="29">
        <f t="shared" si="24"/>
        <v>3.8961038961039085E-2</v>
      </c>
      <c r="V234" s="5">
        <f>U234-V1274</f>
        <v>3.7224848185332046E-2</v>
      </c>
      <c r="X234" t="s">
        <v>423</v>
      </c>
      <c r="Y234">
        <v>3.97</v>
      </c>
      <c r="Z234" s="48">
        <f t="shared" si="25"/>
        <v>1.2755102040816313E-2</v>
      </c>
      <c r="AA234" s="5">
        <f>Z234-Y1274</f>
        <v>8.5377825715421789E-3</v>
      </c>
      <c r="AD234" s="1">
        <v>45476</v>
      </c>
      <c r="AE234">
        <v>133.19999999999999</v>
      </c>
      <c r="AF234" s="29">
        <f t="shared" si="26"/>
        <v>1.0622154779969417E-2</v>
      </c>
    </row>
    <row r="235" spans="1:32">
      <c r="A235" s="220">
        <v>45294</v>
      </c>
      <c r="B235" s="222">
        <v>81.03</v>
      </c>
      <c r="C235" s="227">
        <f t="shared" si="21"/>
        <v>-3.3210332103320583E-3</v>
      </c>
      <c r="D235" s="5">
        <f>C235-C1275</f>
        <v>-3.3990787798909477E-3</v>
      </c>
      <c r="F235" s="8"/>
      <c r="H235" s="1">
        <v>45385</v>
      </c>
      <c r="I235">
        <v>17.079999999999998</v>
      </c>
      <c r="J235" s="227">
        <f t="shared" si="22"/>
        <v>1.3048635824436383E-2</v>
      </c>
      <c r="K235" s="5">
        <f>J235-J1276</f>
        <v>1.0912679908826425E-2</v>
      </c>
      <c r="M235" s="241">
        <v>45446</v>
      </c>
      <c r="N235">
        <v>5104.76</v>
      </c>
      <c r="O235" s="227">
        <f t="shared" si="23"/>
        <v>-1.0199016551103557E-2</v>
      </c>
      <c r="P235" s="5">
        <f>O235-O1278</f>
        <v>-9.8332593501903858E-3</v>
      </c>
      <c r="Q235" s="8">
        <f t="shared" si="27"/>
        <v>9.6692989448106647E-5</v>
      </c>
      <c r="S235" s="1">
        <v>45446</v>
      </c>
      <c r="T235">
        <v>3.1</v>
      </c>
      <c r="U235" s="29">
        <f t="shared" si="24"/>
        <v>-3.125E-2</v>
      </c>
      <c r="V235" s="5">
        <f>U235-V1274</f>
        <v>-3.2986190775707039E-2</v>
      </c>
      <c r="X235" t="s">
        <v>424</v>
      </c>
      <c r="Y235">
        <v>3.99</v>
      </c>
      <c r="Z235" s="48">
        <f t="shared" si="25"/>
        <v>5.0377833753147971E-3</v>
      </c>
      <c r="AA235" s="5">
        <f>Z235-Y1274</f>
        <v>8.2046390604066308E-4</v>
      </c>
      <c r="AD235" s="1">
        <v>45446</v>
      </c>
      <c r="AE235">
        <v>132.13</v>
      </c>
      <c r="AF235" s="29">
        <f t="shared" si="26"/>
        <v>-8.0330330330329325E-3</v>
      </c>
    </row>
    <row r="236" spans="1:32">
      <c r="A236" s="3" t="s">
        <v>430</v>
      </c>
      <c r="B236" s="222">
        <v>79.5</v>
      </c>
      <c r="C236" s="227">
        <f t="shared" si="21"/>
        <v>-1.8881895594224374E-2</v>
      </c>
      <c r="D236" s="5">
        <f>C236-C1275</f>
        <v>-1.8959941163783262E-2</v>
      </c>
      <c r="F236" s="8"/>
      <c r="H236" s="1">
        <v>45294</v>
      </c>
      <c r="I236">
        <v>16.350000000000001</v>
      </c>
      <c r="J236" s="227">
        <f t="shared" si="22"/>
        <v>-4.2740046838407264E-2</v>
      </c>
      <c r="K236" s="5">
        <f>J236-J1276</f>
        <v>-4.4876002754017222E-2</v>
      </c>
      <c r="M236" s="241">
        <v>45415</v>
      </c>
      <c r="N236">
        <v>5078.6499999999996</v>
      </c>
      <c r="O236" s="227">
        <f t="shared" si="23"/>
        <v>-5.1148339980725543E-3</v>
      </c>
      <c r="P236" s="5">
        <f>O236-O1278</f>
        <v>-4.7490767971593824E-3</v>
      </c>
      <c r="Q236" s="8">
        <f t="shared" si="27"/>
        <v>2.2553730425317617E-5</v>
      </c>
      <c r="S236" s="1">
        <v>45415</v>
      </c>
      <c r="T236">
        <v>3.09</v>
      </c>
      <c r="U236" s="29">
        <f t="shared" si="24"/>
        <v>-3.225806451612967E-3</v>
      </c>
      <c r="V236" s="5">
        <f>U236-V1274</f>
        <v>-4.9619972273200049E-3</v>
      </c>
      <c r="X236" t="s">
        <v>425</v>
      </c>
      <c r="Y236">
        <v>3.88</v>
      </c>
      <c r="Z236" s="48">
        <f t="shared" si="25"/>
        <v>-2.7568922305764465E-2</v>
      </c>
      <c r="AA236" s="5">
        <f>Z236-Y1274</f>
        <v>-3.1786241775038596E-2</v>
      </c>
      <c r="AD236" s="1">
        <v>45415</v>
      </c>
      <c r="AE236">
        <v>130.9</v>
      </c>
      <c r="AF236" s="29">
        <f t="shared" si="26"/>
        <v>-9.3090138499961617E-3</v>
      </c>
    </row>
    <row r="237" spans="1:32">
      <c r="A237" s="3" t="s">
        <v>431</v>
      </c>
      <c r="B237" s="222">
        <v>77.73</v>
      </c>
      <c r="C237" s="227">
        <f t="shared" si="21"/>
        <v>-2.2264150943396177E-2</v>
      </c>
      <c r="D237" s="5">
        <f>C237-C1275</f>
        <v>-2.2342196512955066E-2</v>
      </c>
      <c r="E237" s="1"/>
      <c r="F237" s="8"/>
      <c r="H237" t="s">
        <v>430</v>
      </c>
      <c r="I237">
        <v>15.88</v>
      </c>
      <c r="J237" s="227">
        <f t="shared" si="22"/>
        <v>-2.8746177370030601E-2</v>
      </c>
      <c r="K237" s="5">
        <f>J237-J1276</f>
        <v>-3.0882133285640559E-2</v>
      </c>
      <c r="M237" s="241">
        <v>45385</v>
      </c>
      <c r="N237">
        <v>5130.95</v>
      </c>
      <c r="O237" s="227">
        <f t="shared" si="23"/>
        <v>1.0298012267039525E-2</v>
      </c>
      <c r="P237" s="5">
        <f>O237-O1278</f>
        <v>1.0663769467952696E-2</v>
      </c>
      <c r="Q237" s="8">
        <f t="shared" si="27"/>
        <v>1.1371597926564011E-4</v>
      </c>
      <c r="S237" s="1">
        <v>45385</v>
      </c>
      <c r="T237">
        <v>3.07</v>
      </c>
      <c r="U237" s="29">
        <f t="shared" si="24"/>
        <v>-6.4724919093851474E-3</v>
      </c>
      <c r="V237" s="5">
        <f>U237-V1274</f>
        <v>-8.2086826850921862E-3</v>
      </c>
      <c r="X237" t="s">
        <v>426</v>
      </c>
      <c r="Y237">
        <v>3.84</v>
      </c>
      <c r="Z237" s="48">
        <f t="shared" si="25"/>
        <v>-1.0309278350515427E-2</v>
      </c>
      <c r="AA237" s="5">
        <f>Z237-Y1274</f>
        <v>-1.4526597819789561E-2</v>
      </c>
      <c r="AD237" s="1">
        <v>45385</v>
      </c>
      <c r="AE237">
        <v>132.4</v>
      </c>
      <c r="AF237" s="29">
        <f t="shared" si="26"/>
        <v>1.1459129106187849E-2</v>
      </c>
    </row>
    <row r="238" spans="1:32">
      <c r="A238" s="3" t="s">
        <v>432</v>
      </c>
      <c r="B238" s="222">
        <v>78.75</v>
      </c>
      <c r="C238" s="227">
        <f t="shared" si="21"/>
        <v>1.3122346584330424E-2</v>
      </c>
      <c r="D238" s="5">
        <f>C238-C1275</f>
        <v>1.3044301014771536E-2</v>
      </c>
      <c r="E238" s="1"/>
      <c r="F238" s="8"/>
      <c r="H238" t="s">
        <v>431</v>
      </c>
      <c r="I238">
        <v>15.69</v>
      </c>
      <c r="J238" s="227">
        <f t="shared" si="22"/>
        <v>-1.1964735516372893E-2</v>
      </c>
      <c r="K238" s="5">
        <f>J238-J1276</f>
        <v>-1.4100691431982851E-2</v>
      </c>
      <c r="M238" s="241">
        <v>45294</v>
      </c>
      <c r="N238">
        <v>5137.08</v>
      </c>
      <c r="O238" s="227">
        <f t="shared" si="23"/>
        <v>1.1947105311882478E-3</v>
      </c>
      <c r="P238" s="5">
        <f>O238-O1278</f>
        <v>1.5604677321014193E-3</v>
      </c>
      <c r="Q238" s="8">
        <f t="shared" si="27"/>
        <v>2.4350595429297467E-6</v>
      </c>
      <c r="S238" s="1">
        <v>45294</v>
      </c>
      <c r="T238">
        <v>3.1</v>
      </c>
      <c r="U238" s="29">
        <f t="shared" si="24"/>
        <v>9.7719869706840434E-3</v>
      </c>
      <c r="V238" s="5">
        <f>U238-V1274</f>
        <v>8.0357961949770046E-3</v>
      </c>
      <c r="X238" t="s">
        <v>427</v>
      </c>
      <c r="Y238">
        <v>3.85</v>
      </c>
      <c r="Z238" s="48">
        <f t="shared" si="25"/>
        <v>2.6041666666667407E-3</v>
      </c>
      <c r="AA238" s="5">
        <f>Z238-Y1274</f>
        <v>-1.6131528026073934E-3</v>
      </c>
      <c r="AD238" s="1">
        <v>45294</v>
      </c>
      <c r="AE238">
        <v>127.43</v>
      </c>
      <c r="AF238" s="29">
        <f t="shared" si="26"/>
        <v>-3.7537764350453195E-2</v>
      </c>
    </row>
    <row r="239" spans="1:32">
      <c r="A239" s="3" t="s">
        <v>433</v>
      </c>
      <c r="B239" s="222">
        <v>78.36</v>
      </c>
      <c r="C239" s="227">
        <f t="shared" si="21"/>
        <v>-4.9523809523809303E-3</v>
      </c>
      <c r="D239" s="5">
        <f>C239-C1275</f>
        <v>-5.0304265219398197E-3</v>
      </c>
      <c r="E239" s="1"/>
      <c r="F239" s="8"/>
      <c r="H239" t="s">
        <v>432</v>
      </c>
      <c r="I239">
        <v>16.66</v>
      </c>
      <c r="J239" s="227">
        <f t="shared" si="22"/>
        <v>6.1822817080943393E-2</v>
      </c>
      <c r="K239" s="5">
        <f>J239-J1276</f>
        <v>5.9686861165333435E-2</v>
      </c>
      <c r="M239" s="240" t="s">
        <v>430</v>
      </c>
      <c r="N239">
        <v>5096.2700000000004</v>
      </c>
      <c r="O239" s="227">
        <f t="shared" si="23"/>
        <v>-7.9442017644263396E-3</v>
      </c>
      <c r="P239" s="5">
        <f>O239-O1278</f>
        <v>-7.5784445635131677E-3</v>
      </c>
      <c r="Q239" s="8">
        <f t="shared" si="27"/>
        <v>5.743282200224229E-5</v>
      </c>
      <c r="S239" t="s">
        <v>430</v>
      </c>
      <c r="T239">
        <v>3.07</v>
      </c>
      <c r="U239" s="29">
        <f t="shared" si="24"/>
        <v>-9.6774193548387899E-3</v>
      </c>
      <c r="V239" s="5">
        <f>U239-V1274</f>
        <v>-1.1413610130545829E-2</v>
      </c>
      <c r="X239" t="s">
        <v>428</v>
      </c>
      <c r="Y239">
        <v>3.9</v>
      </c>
      <c r="Z239" s="48">
        <f t="shared" si="25"/>
        <v>1.298701298701288E-2</v>
      </c>
      <c r="AA239" s="5">
        <f>Z239-Y1274</f>
        <v>8.7696935177387463E-3</v>
      </c>
      <c r="AD239" t="s">
        <v>430</v>
      </c>
      <c r="AE239">
        <v>124.57</v>
      </c>
      <c r="AF239" s="29">
        <f t="shared" si="26"/>
        <v>-2.244369457741513E-2</v>
      </c>
    </row>
    <row r="240" spans="1:32">
      <c r="A240" s="3" t="s">
        <v>434</v>
      </c>
      <c r="B240" s="222">
        <v>78.2</v>
      </c>
      <c r="C240" s="227">
        <f t="shared" si="21"/>
        <v>-2.0418580908626582E-3</v>
      </c>
      <c r="D240" s="5">
        <f>C240-C1275</f>
        <v>-2.1199036604215475E-3</v>
      </c>
      <c r="E240" s="1"/>
      <c r="F240" s="8"/>
      <c r="H240" t="s">
        <v>433</v>
      </c>
      <c r="I240">
        <v>15.95</v>
      </c>
      <c r="J240" s="227">
        <f t="shared" si="22"/>
        <v>-4.2617046818727577E-2</v>
      </c>
      <c r="K240" s="5">
        <f>J240-J1276</f>
        <v>-4.4753002734337535E-2</v>
      </c>
      <c r="M240" s="240" t="s">
        <v>431</v>
      </c>
      <c r="N240">
        <v>5069.76</v>
      </c>
      <c r="O240" s="227">
        <f t="shared" si="23"/>
        <v>-5.2018437013737762E-3</v>
      </c>
      <c r="P240" s="5">
        <f>O240-O1278</f>
        <v>-4.8360865004606042E-3</v>
      </c>
      <c r="Q240" s="8">
        <f t="shared" si="27"/>
        <v>2.3387732639937295E-5</v>
      </c>
      <c r="S240" t="s">
        <v>431</v>
      </c>
      <c r="T240">
        <v>3.08</v>
      </c>
      <c r="U240" s="29">
        <f t="shared" si="24"/>
        <v>3.2573289902280145E-3</v>
      </c>
      <c r="V240" s="5">
        <f>U240-V1274</f>
        <v>1.5211382145209765E-3</v>
      </c>
      <c r="X240" t="s">
        <v>429</v>
      </c>
      <c r="Y240">
        <v>3.92</v>
      </c>
      <c r="Z240" s="48">
        <f t="shared" si="25"/>
        <v>5.12820512820511E-3</v>
      </c>
      <c r="AA240" s="5">
        <f>Z240-Y1274</f>
        <v>9.1088565893097592E-4</v>
      </c>
      <c r="AD240" t="s">
        <v>431</v>
      </c>
      <c r="AE240">
        <v>122.44</v>
      </c>
      <c r="AF240" s="29">
        <f t="shared" si="26"/>
        <v>-1.7098819940595589E-2</v>
      </c>
    </row>
    <row r="241" spans="1:32">
      <c r="A241" s="3" t="s">
        <v>435</v>
      </c>
      <c r="B241" s="222">
        <v>78.03</v>
      </c>
      <c r="C241" s="227">
        <f t="shared" si="21"/>
        <v>-2.1739130434782483E-3</v>
      </c>
      <c r="D241" s="5">
        <f>C241-C1275</f>
        <v>-2.2519586130371376E-3</v>
      </c>
      <c r="E241" s="1"/>
      <c r="F241" s="8"/>
      <c r="H241" t="s">
        <v>434</v>
      </c>
      <c r="I241">
        <v>16.010000000000002</v>
      </c>
      <c r="J241" s="227">
        <f t="shared" si="22"/>
        <v>3.7617554858935254E-3</v>
      </c>
      <c r="K241" s="5">
        <f>J241-J1276</f>
        <v>1.6257995702835676E-3</v>
      </c>
      <c r="M241" s="240" t="s">
        <v>432</v>
      </c>
      <c r="N241">
        <v>5078.18</v>
      </c>
      <c r="O241" s="227">
        <f t="shared" si="23"/>
        <v>1.6608281259862245E-3</v>
      </c>
      <c r="P241" s="5">
        <f>O241-O1278</f>
        <v>2.026585326899396E-3</v>
      </c>
      <c r="Q241" s="8">
        <f t="shared" si="27"/>
        <v>4.1070480872039319E-6</v>
      </c>
      <c r="S241" t="s">
        <v>432</v>
      </c>
      <c r="T241">
        <v>3.145</v>
      </c>
      <c r="U241" s="29">
        <f t="shared" si="24"/>
        <v>2.1103896103896069E-2</v>
      </c>
      <c r="V241" s="5">
        <f>U241-V1274</f>
        <v>1.936770532818903E-2</v>
      </c>
      <c r="X241" s="1">
        <v>45629</v>
      </c>
      <c r="Y241">
        <v>3.93</v>
      </c>
      <c r="Z241" s="48">
        <f t="shared" si="25"/>
        <v>2.5510204081633514E-3</v>
      </c>
      <c r="AA241" s="5">
        <f>Z241-Y1274</f>
        <v>-1.6662990611107827E-3</v>
      </c>
      <c r="AD241" t="s">
        <v>432</v>
      </c>
      <c r="AE241">
        <v>123.7</v>
      </c>
      <c r="AF241" s="29">
        <f t="shared" si="26"/>
        <v>1.0290754655341461E-2</v>
      </c>
    </row>
    <row r="242" spans="1:32">
      <c r="A242" s="3" t="s">
        <v>436</v>
      </c>
      <c r="B242" s="222">
        <v>76.44</v>
      </c>
      <c r="C242" s="227">
        <f t="shared" si="21"/>
        <v>-2.0376778162245368E-2</v>
      </c>
      <c r="D242" s="5">
        <f>C242-C1275</f>
        <v>-2.0454823731804257E-2</v>
      </c>
      <c r="E242" s="1"/>
      <c r="F242" s="8"/>
      <c r="H242" t="s">
        <v>435</v>
      </c>
      <c r="I242">
        <v>15.91</v>
      </c>
      <c r="J242" s="227">
        <f t="shared" si="22"/>
        <v>-6.2460961898813672E-3</v>
      </c>
      <c r="K242" s="5">
        <f>J242-J1276</f>
        <v>-8.382052105491325E-3</v>
      </c>
      <c r="M242" s="240" t="s">
        <v>433</v>
      </c>
      <c r="N242">
        <v>5069.53</v>
      </c>
      <c r="O242" s="227">
        <f t="shared" si="23"/>
        <v>-1.7033661666188138E-3</v>
      </c>
      <c r="P242" s="5">
        <f>O242-O1278</f>
        <v>-1.3376089657056423E-3</v>
      </c>
      <c r="Q242" s="8">
        <f t="shared" si="27"/>
        <v>1.7891977451361181E-6</v>
      </c>
      <c r="S242" t="s">
        <v>433</v>
      </c>
      <c r="T242">
        <v>3.19</v>
      </c>
      <c r="U242" s="29">
        <f t="shared" si="24"/>
        <v>1.4308426073131875E-2</v>
      </c>
      <c r="V242" s="5">
        <f>U242-V1274</f>
        <v>1.2572235297424836E-2</v>
      </c>
      <c r="X242" s="1">
        <v>45599</v>
      </c>
      <c r="Y242">
        <v>3.88</v>
      </c>
      <c r="Z242" s="48">
        <f t="shared" si="25"/>
        <v>-1.2722646310432628E-2</v>
      </c>
      <c r="AA242" s="5">
        <f>Z242-Y1274</f>
        <v>-1.6939965779706762E-2</v>
      </c>
      <c r="AD242" t="s">
        <v>433</v>
      </c>
      <c r="AE242">
        <v>119.89</v>
      </c>
      <c r="AF242" s="29">
        <f t="shared" si="26"/>
        <v>-3.0800323362975002E-2</v>
      </c>
    </row>
    <row r="243" spans="1:32">
      <c r="A243" s="3" t="s">
        <v>437</v>
      </c>
      <c r="B243" s="222">
        <v>76.599999999999994</v>
      </c>
      <c r="C243" s="227">
        <f t="shared" si="21"/>
        <v>2.0931449502876731E-3</v>
      </c>
      <c r="D243" s="5">
        <f>C243-C1275</f>
        <v>2.0150993807287838E-3</v>
      </c>
      <c r="E243" s="1"/>
      <c r="F243" s="8"/>
      <c r="H243" t="s">
        <v>436</v>
      </c>
      <c r="I243">
        <v>16.13</v>
      </c>
      <c r="J243" s="227">
        <f t="shared" si="22"/>
        <v>1.3827781269641681E-2</v>
      </c>
      <c r="K243" s="5">
        <f>J243-J1276</f>
        <v>1.1691825354031724E-2</v>
      </c>
      <c r="M243" s="240" t="s">
        <v>434</v>
      </c>
      <c r="N243">
        <v>5088.8</v>
      </c>
      <c r="O243" s="227">
        <f t="shared" si="23"/>
        <v>3.8011413286833662E-3</v>
      </c>
      <c r="P243" s="5">
        <f>O243-O1278</f>
        <v>4.1668985295965381E-3</v>
      </c>
      <c r="Q243" s="8">
        <f t="shared" si="27"/>
        <v>1.7363043355953792E-5</v>
      </c>
      <c r="S243" t="s">
        <v>434</v>
      </c>
      <c r="T243">
        <v>3.16</v>
      </c>
      <c r="U243" s="29">
        <f t="shared" si="24"/>
        <v>-9.4043887147334804E-3</v>
      </c>
      <c r="V243" s="5">
        <f>U243-V1274</f>
        <v>-1.1140579490440519E-2</v>
      </c>
      <c r="X243" s="1">
        <v>45507</v>
      </c>
      <c r="Y243">
        <v>3.8</v>
      </c>
      <c r="Z243" s="48">
        <f t="shared" si="25"/>
        <v>-2.0618556701030966E-2</v>
      </c>
      <c r="AA243" s="5">
        <f>Z243-Y1274</f>
        <v>-2.48358761703051E-2</v>
      </c>
      <c r="AD243" t="s">
        <v>434</v>
      </c>
      <c r="AE243">
        <v>121.76</v>
      </c>
      <c r="AF243" s="29">
        <f t="shared" si="26"/>
        <v>1.5597631161898384E-2</v>
      </c>
    </row>
    <row r="244" spans="1:32">
      <c r="A244" s="3" t="s">
        <v>438</v>
      </c>
      <c r="B244" s="222">
        <v>78.41</v>
      </c>
      <c r="C244" s="227">
        <f t="shared" si="21"/>
        <v>2.3629242819843466E-2</v>
      </c>
      <c r="D244" s="5">
        <f>C244-C1275</f>
        <v>2.3551197250284577E-2</v>
      </c>
      <c r="E244" s="1"/>
      <c r="F244" s="8"/>
      <c r="H244" t="s">
        <v>437</v>
      </c>
      <c r="I244">
        <v>16.73</v>
      </c>
      <c r="J244" s="227">
        <f t="shared" si="22"/>
        <v>3.7197768133911957E-2</v>
      </c>
      <c r="K244" s="5">
        <f>J244-J1276</f>
        <v>3.5061812218301999E-2</v>
      </c>
      <c r="M244" s="240" t="s">
        <v>435</v>
      </c>
      <c r="N244">
        <v>5087.03</v>
      </c>
      <c r="O244" s="227">
        <f t="shared" si="23"/>
        <v>-3.4782266939170636E-4</v>
      </c>
      <c r="P244" s="5">
        <f>O244-O1278</f>
        <v>1.7934531521465182E-5</v>
      </c>
      <c r="Q244" s="8">
        <f t="shared" si="27"/>
        <v>3.2164742089442823E-10</v>
      </c>
      <c r="S244" t="s">
        <v>435</v>
      </c>
      <c r="T244">
        <v>3.16</v>
      </c>
      <c r="U244" s="29">
        <f t="shared" si="24"/>
        <v>0</v>
      </c>
      <c r="V244" s="5">
        <f>U244-V1274</f>
        <v>-1.736190775707038E-3</v>
      </c>
      <c r="X244" s="1">
        <v>45476</v>
      </c>
      <c r="Y244">
        <v>3.87</v>
      </c>
      <c r="Z244" s="48">
        <f t="shared" si="25"/>
        <v>1.8421052631579116E-2</v>
      </c>
      <c r="AA244" s="5">
        <f>Z244-Y1274</f>
        <v>1.4203733162304982E-2</v>
      </c>
      <c r="AD244" t="s">
        <v>435</v>
      </c>
      <c r="AE244">
        <v>121.41</v>
      </c>
      <c r="AF244" s="29">
        <f t="shared" si="26"/>
        <v>-2.8745072273325123E-3</v>
      </c>
    </row>
    <row r="245" spans="1:32">
      <c r="A245" s="3" t="s">
        <v>439</v>
      </c>
      <c r="B245" s="222">
        <v>81.39</v>
      </c>
      <c r="C245" s="227">
        <f t="shared" si="21"/>
        <v>3.8005356459635209E-2</v>
      </c>
      <c r="D245" s="5">
        <f>C245-C1275</f>
        <v>3.7927310890076317E-2</v>
      </c>
      <c r="F245" s="8"/>
      <c r="H245" t="s">
        <v>438</v>
      </c>
      <c r="I245">
        <v>17.91</v>
      </c>
      <c r="J245" s="227">
        <f t="shared" si="22"/>
        <v>7.0531978481769286E-2</v>
      </c>
      <c r="K245" s="5">
        <f>J245-J1276</f>
        <v>6.8396022566159329E-2</v>
      </c>
      <c r="M245" s="240" t="s">
        <v>436</v>
      </c>
      <c r="N245">
        <v>4981.8</v>
      </c>
      <c r="O245" s="227">
        <f t="shared" si="23"/>
        <v>-2.06859405193206E-2</v>
      </c>
      <c r="P245" s="5">
        <f>O245-O1278</f>
        <v>-2.0320183318407428E-2</v>
      </c>
      <c r="Q245" s="8">
        <f t="shared" si="27"/>
        <v>4.1290985009368348E-4</v>
      </c>
      <c r="S245" t="s">
        <v>436</v>
      </c>
      <c r="T245">
        <v>3.45</v>
      </c>
      <c r="U245" s="29">
        <f t="shared" si="24"/>
        <v>9.1772151898734222E-2</v>
      </c>
      <c r="V245" s="5">
        <f>U245-V1274</f>
        <v>9.0035961123027183E-2</v>
      </c>
      <c r="X245" s="1">
        <v>45446</v>
      </c>
      <c r="Y245">
        <v>3.91</v>
      </c>
      <c r="Z245" s="48">
        <f t="shared" si="25"/>
        <v>1.0335917312661591E-2</v>
      </c>
      <c r="AA245" s="5">
        <f>Z245-Y1274</f>
        <v>6.118597843387457E-3</v>
      </c>
      <c r="AD245" t="s">
        <v>436</v>
      </c>
      <c r="AE245">
        <v>114.69</v>
      </c>
      <c r="AF245" s="29">
        <f t="shared" si="26"/>
        <v>-5.5349641709908526E-2</v>
      </c>
    </row>
    <row r="246" spans="1:32">
      <c r="A246" s="3" t="s">
        <v>440</v>
      </c>
      <c r="B246" s="222">
        <v>79.150000000000006</v>
      </c>
      <c r="C246" s="227">
        <f t="shared" si="21"/>
        <v>-2.7521808575992068E-2</v>
      </c>
      <c r="D246" s="5">
        <f>C246-C1275</f>
        <v>-2.7599854145550957E-2</v>
      </c>
      <c r="F246" s="8"/>
      <c r="H246" t="s">
        <v>439</v>
      </c>
      <c r="I246">
        <v>19.03</v>
      </c>
      <c r="J246" s="227">
        <f t="shared" si="22"/>
        <v>6.2534896705751075E-2</v>
      </c>
      <c r="K246" s="5">
        <f>J246-J1276</f>
        <v>6.0398940790141117E-2</v>
      </c>
      <c r="M246" s="240" t="s">
        <v>437</v>
      </c>
      <c r="N246">
        <v>4975.51</v>
      </c>
      <c r="O246" s="227">
        <f t="shared" si="23"/>
        <v>-1.2625958488899913E-3</v>
      </c>
      <c r="P246" s="5">
        <f>O246-O1278</f>
        <v>-8.9683864797681983E-4</v>
      </c>
      <c r="Q246" s="8">
        <f t="shared" si="27"/>
        <v>8.0431956050489017E-7</v>
      </c>
      <c r="S246" t="s">
        <v>437</v>
      </c>
      <c r="T246">
        <v>3.49</v>
      </c>
      <c r="U246" s="29">
        <f t="shared" si="24"/>
        <v>1.1594202898550732E-2</v>
      </c>
      <c r="V246" s="5">
        <f>U246-V1274</f>
        <v>9.8580121228436929E-3</v>
      </c>
      <c r="X246" s="1">
        <v>45415</v>
      </c>
      <c r="Y246">
        <v>3.83</v>
      </c>
      <c r="Z246" s="48">
        <f t="shared" si="25"/>
        <v>-2.0460358056266004E-2</v>
      </c>
      <c r="AA246" s="5">
        <f>Z246-Y1274</f>
        <v>-2.4677677525540138E-2</v>
      </c>
      <c r="AD246" t="s">
        <v>437</v>
      </c>
      <c r="AE246">
        <v>115.48</v>
      </c>
      <c r="AF246" s="29">
        <f t="shared" si="26"/>
        <v>6.8881332287034081E-3</v>
      </c>
    </row>
    <row r="247" spans="1:32">
      <c r="A247" s="3" t="s">
        <v>441</v>
      </c>
      <c r="B247" s="222">
        <v>68.989999999999995</v>
      </c>
      <c r="C247" s="227">
        <f t="shared" si="21"/>
        <v>-0.12836386607706896</v>
      </c>
      <c r="D247" s="5">
        <f>C247-C1275</f>
        <v>-0.12844191164662785</v>
      </c>
      <c r="F247" s="8"/>
      <c r="H247" t="s">
        <v>440</v>
      </c>
      <c r="I247">
        <v>16.39</v>
      </c>
      <c r="J247" s="227">
        <f t="shared" si="22"/>
        <v>-0.13872832369942201</v>
      </c>
      <c r="K247" s="5">
        <f>J247-J1276</f>
        <v>-0.14086427961503195</v>
      </c>
      <c r="M247" s="240" t="s">
        <v>438</v>
      </c>
      <c r="N247">
        <v>5005.57</v>
      </c>
      <c r="O247" s="227">
        <f t="shared" si="23"/>
        <v>6.0415917162259802E-3</v>
      </c>
      <c r="P247" s="5">
        <f>O247-O1278</f>
        <v>6.4073489171391522E-3</v>
      </c>
      <c r="Q247" s="8">
        <f t="shared" si="27"/>
        <v>4.1054120145964267E-5</v>
      </c>
      <c r="S247" t="s">
        <v>438</v>
      </c>
      <c r="T247">
        <v>3.53</v>
      </c>
      <c r="U247" s="29">
        <f t="shared" si="24"/>
        <v>1.1461318051575908E-2</v>
      </c>
      <c r="V247" s="5">
        <f>U247-V1274</f>
        <v>9.7251272758688695E-3</v>
      </c>
      <c r="X247" s="1">
        <v>45385</v>
      </c>
      <c r="Y247">
        <v>3.78</v>
      </c>
      <c r="Z247" s="48">
        <f t="shared" si="25"/>
        <v>-1.3054830287206332E-2</v>
      </c>
      <c r="AA247" s="5">
        <f>Z247-Y1274</f>
        <v>-1.7272149756480466E-2</v>
      </c>
      <c r="AD247" t="s">
        <v>438</v>
      </c>
      <c r="AE247">
        <v>116.01</v>
      </c>
      <c r="AF247" s="29">
        <f t="shared" si="26"/>
        <v>4.5895393141670571E-3</v>
      </c>
    </row>
    <row r="248" spans="1:32">
      <c r="A248" s="220">
        <v>45628</v>
      </c>
      <c r="B248" s="222">
        <v>69.12</v>
      </c>
      <c r="C248" s="227">
        <f t="shared" si="21"/>
        <v>1.8843310624729881E-3</v>
      </c>
      <c r="D248" s="5">
        <f>C248-C1275</f>
        <v>1.8062854929140988E-3</v>
      </c>
      <c r="F248" s="8"/>
      <c r="H248" t="s">
        <v>441</v>
      </c>
      <c r="I248">
        <v>12.13</v>
      </c>
      <c r="J248" s="227">
        <f t="shared" si="22"/>
        <v>-0.25991458206223306</v>
      </c>
      <c r="K248" s="5">
        <f>J248-J1276</f>
        <v>-0.262050537977843</v>
      </c>
      <c r="M248" s="240" t="s">
        <v>439</v>
      </c>
      <c r="N248">
        <v>5029.7299999999996</v>
      </c>
      <c r="O248" s="227">
        <f t="shared" si="23"/>
        <v>4.826623141819919E-3</v>
      </c>
      <c r="P248" s="5">
        <f>O248-O1278</f>
        <v>5.192380342733091E-3</v>
      </c>
      <c r="Q248" s="8">
        <f t="shared" si="27"/>
        <v>2.6960813623601011E-5</v>
      </c>
      <c r="S248" t="s">
        <v>439</v>
      </c>
      <c r="T248">
        <v>3.52</v>
      </c>
      <c r="U248" s="29">
        <f t="shared" si="24"/>
        <v>-2.8328611898016387E-3</v>
      </c>
      <c r="V248" s="5">
        <f>U248-V1274</f>
        <v>-4.5690519655086767E-3</v>
      </c>
      <c r="X248" s="1">
        <v>45294</v>
      </c>
      <c r="Y248">
        <v>3.7</v>
      </c>
      <c r="Z248" s="48">
        <f t="shared" si="25"/>
        <v>-2.1164021164021052E-2</v>
      </c>
      <c r="AA248" s="5">
        <f>Z248-Y1274</f>
        <v>-2.5381340633295186E-2</v>
      </c>
      <c r="AD248" t="s">
        <v>439</v>
      </c>
      <c r="AE248">
        <v>126.27</v>
      </c>
      <c r="AF248" s="29">
        <f t="shared" si="26"/>
        <v>8.8440651667959669E-2</v>
      </c>
    </row>
    <row r="249" spans="1:32">
      <c r="A249" s="220">
        <v>45537</v>
      </c>
      <c r="B249" s="222">
        <v>70.91</v>
      </c>
      <c r="C249" s="227">
        <f t="shared" si="21"/>
        <v>2.58969907407407E-2</v>
      </c>
      <c r="D249" s="5">
        <f>C249-C1275</f>
        <v>2.5818945171181811E-2</v>
      </c>
      <c r="F249" s="8"/>
      <c r="H249" s="1">
        <v>45628</v>
      </c>
      <c r="I249">
        <v>12.4</v>
      </c>
      <c r="J249" s="227">
        <f t="shared" si="22"/>
        <v>2.2258862324814555E-2</v>
      </c>
      <c r="K249" s="5">
        <f>J249-J1276</f>
        <v>2.0122906409204597E-2</v>
      </c>
      <c r="M249" s="240" t="s">
        <v>440</v>
      </c>
      <c r="N249">
        <v>5000.62</v>
      </c>
      <c r="O249" s="227">
        <f t="shared" si="23"/>
        <v>-5.7875870076524727E-3</v>
      </c>
      <c r="P249" s="5">
        <f>O249-O1278</f>
        <v>-5.4218298067393008E-3</v>
      </c>
      <c r="Q249" s="8">
        <f t="shared" si="27"/>
        <v>2.9396238453246722E-5</v>
      </c>
      <c r="S249" t="s">
        <v>440</v>
      </c>
      <c r="T249">
        <v>3.41</v>
      </c>
      <c r="U249" s="29">
        <f t="shared" si="24"/>
        <v>-3.125E-2</v>
      </c>
      <c r="V249" s="5">
        <f>U249-V1274</f>
        <v>-3.2986190775707039E-2</v>
      </c>
      <c r="X249" t="s">
        <v>430</v>
      </c>
      <c r="Y249">
        <v>3.77</v>
      </c>
      <c r="Z249" s="48">
        <f t="shared" si="25"/>
        <v>1.8918918918918948E-2</v>
      </c>
      <c r="AA249" s="5">
        <f>Z249-Y1274</f>
        <v>1.4701599449644814E-2</v>
      </c>
      <c r="AD249" t="s">
        <v>440</v>
      </c>
      <c r="AE249">
        <v>120.01</v>
      </c>
      <c r="AF249" s="29">
        <f t="shared" si="26"/>
        <v>-4.9576304743802924E-2</v>
      </c>
    </row>
    <row r="250" spans="1:32">
      <c r="A250" s="220">
        <v>45506</v>
      </c>
      <c r="B250" s="222">
        <v>71.61</v>
      </c>
      <c r="C250" s="227">
        <f t="shared" si="21"/>
        <v>9.8716683119448589E-3</v>
      </c>
      <c r="D250" s="5">
        <f>C250-C1275</f>
        <v>9.7936227423859705E-3</v>
      </c>
      <c r="F250" s="8"/>
      <c r="H250" s="1">
        <v>45537</v>
      </c>
      <c r="I250">
        <v>13.03</v>
      </c>
      <c r="J250" s="227">
        <f t="shared" si="22"/>
        <v>5.0806451612903203E-2</v>
      </c>
      <c r="K250" s="5">
        <f>J250-J1276</f>
        <v>4.8670495697293245E-2</v>
      </c>
      <c r="M250" s="240" t="s">
        <v>441</v>
      </c>
      <c r="N250">
        <v>4953.17</v>
      </c>
      <c r="O250" s="227">
        <f t="shared" si="23"/>
        <v>-9.4888233859000692E-3</v>
      </c>
      <c r="P250" s="5">
        <f>O250-O1278</f>
        <v>-9.1230661849868982E-3</v>
      </c>
      <c r="Q250" s="8">
        <f t="shared" si="27"/>
        <v>8.3230336615651397E-5</v>
      </c>
      <c r="S250" t="s">
        <v>441</v>
      </c>
      <c r="T250">
        <v>3.3</v>
      </c>
      <c r="U250" s="29">
        <f t="shared" si="24"/>
        <v>-3.2258064516129115E-2</v>
      </c>
      <c r="V250" s="5">
        <f>U250-V1274</f>
        <v>-3.3994255291836153E-2</v>
      </c>
      <c r="X250" t="s">
        <v>431</v>
      </c>
      <c r="Y250">
        <v>3.81</v>
      </c>
      <c r="Z250" s="48">
        <f t="shared" si="25"/>
        <v>1.0610079575596787E-2</v>
      </c>
      <c r="AA250" s="5">
        <f>Z250-Y1274</f>
        <v>6.3927601063226529E-3</v>
      </c>
      <c r="AD250" t="s">
        <v>441</v>
      </c>
      <c r="AE250">
        <v>116.39</v>
      </c>
      <c r="AF250" s="29">
        <f t="shared" si="26"/>
        <v>-3.0164152987251058E-2</v>
      </c>
    </row>
    <row r="251" spans="1:32">
      <c r="A251" s="220">
        <v>45475</v>
      </c>
      <c r="B251" s="222">
        <v>70.650000000000006</v>
      </c>
      <c r="C251" s="227">
        <f t="shared" si="21"/>
        <v>-1.3405948889819719E-2</v>
      </c>
      <c r="D251" s="5">
        <f>C251-C1275</f>
        <v>-1.3483994459378607E-2</v>
      </c>
      <c r="F251" s="8"/>
      <c r="H251" s="1">
        <v>45506</v>
      </c>
      <c r="I251">
        <v>12.78</v>
      </c>
      <c r="J251" s="227">
        <f t="shared" si="22"/>
        <v>-1.9186492709132752E-2</v>
      </c>
      <c r="K251" s="5">
        <f>J251-J1276</f>
        <v>-2.132244862474271E-2</v>
      </c>
      <c r="M251" s="241">
        <v>45628</v>
      </c>
      <c r="N251">
        <v>5021.84</v>
      </c>
      <c r="O251" s="227">
        <f t="shared" si="23"/>
        <v>1.3863848807935231E-2</v>
      </c>
      <c r="P251" s="5">
        <f>O251-O1278</f>
        <v>1.4229606008848402E-2</v>
      </c>
      <c r="Q251" s="8">
        <f t="shared" si="27"/>
        <v>2.0248168716705453E-4</v>
      </c>
      <c r="S251" s="1">
        <v>45628</v>
      </c>
      <c r="T251">
        <v>3.34</v>
      </c>
      <c r="U251" s="29">
        <f t="shared" si="24"/>
        <v>1.2121212121212199E-2</v>
      </c>
      <c r="V251" s="5">
        <f>U251-V1274</f>
        <v>1.038502134550516E-2</v>
      </c>
      <c r="X251" t="s">
        <v>432</v>
      </c>
      <c r="Y251">
        <v>3.9</v>
      </c>
      <c r="Z251" s="48">
        <f t="shared" si="25"/>
        <v>2.3622047244094446E-2</v>
      </c>
      <c r="AA251" s="5">
        <f>Z251-Y1274</f>
        <v>1.9404727774820312E-2</v>
      </c>
      <c r="AD251" s="1">
        <v>45628</v>
      </c>
      <c r="AE251">
        <v>118.44</v>
      </c>
      <c r="AF251" s="29">
        <f t="shared" si="26"/>
        <v>1.7613197010052373E-2</v>
      </c>
    </row>
    <row r="252" spans="1:32">
      <c r="A252" s="220">
        <v>45445</v>
      </c>
      <c r="B252" s="222">
        <v>70.47</v>
      </c>
      <c r="C252" s="227">
        <f t="shared" si="21"/>
        <v>-2.5477707006370531E-3</v>
      </c>
      <c r="D252" s="5">
        <f>C252-C1275</f>
        <v>-2.6258162701959424E-3</v>
      </c>
      <c r="F252" s="8"/>
      <c r="H252" s="1">
        <v>45475</v>
      </c>
      <c r="I252">
        <v>12.45</v>
      </c>
      <c r="J252" s="227">
        <f t="shared" si="22"/>
        <v>-2.5821596244131495E-2</v>
      </c>
      <c r="K252" s="5">
        <f>J252-J1276</f>
        <v>-2.7957552159741453E-2</v>
      </c>
      <c r="M252" s="241">
        <v>45537</v>
      </c>
      <c r="N252">
        <v>5026.6099999999997</v>
      </c>
      <c r="O252" s="227">
        <f t="shared" si="23"/>
        <v>9.4985105061073938E-4</v>
      </c>
      <c r="P252" s="5">
        <f>O252-O1278</f>
        <v>1.3156082515239109E-3</v>
      </c>
      <c r="Q252" s="8">
        <f t="shared" si="27"/>
        <v>1.730825071477802E-6</v>
      </c>
      <c r="S252" s="1">
        <v>45537</v>
      </c>
      <c r="T252">
        <v>3.43</v>
      </c>
      <c r="U252" s="29">
        <f t="shared" si="24"/>
        <v>2.6946107784431295E-2</v>
      </c>
      <c r="V252" s="5">
        <f>U252-V1274</f>
        <v>2.5209917008724256E-2</v>
      </c>
      <c r="X252" t="s">
        <v>433</v>
      </c>
      <c r="Y252">
        <v>3.91</v>
      </c>
      <c r="Z252" s="48">
        <f t="shared" si="25"/>
        <v>2.564102564102555E-3</v>
      </c>
      <c r="AA252" s="5">
        <f>Z252-Y1274</f>
        <v>-1.6532169051715791E-3</v>
      </c>
      <c r="AD252" s="1">
        <v>45537</v>
      </c>
      <c r="AE252">
        <v>119.31</v>
      </c>
      <c r="AF252" s="29">
        <f t="shared" si="26"/>
        <v>7.3454913880446338E-3</v>
      </c>
    </row>
    <row r="253" spans="1:32">
      <c r="A253" s="220">
        <v>45414</v>
      </c>
      <c r="B253" s="222">
        <v>68.989999999999995</v>
      </c>
      <c r="C253" s="227">
        <f t="shared" si="21"/>
        <v>-2.1001844756634136E-2</v>
      </c>
      <c r="D253" s="5">
        <f>C253-C1275</f>
        <v>-2.1079890326193024E-2</v>
      </c>
      <c r="F253" s="8"/>
      <c r="H253" s="1">
        <v>45445</v>
      </c>
      <c r="I253">
        <v>13.22</v>
      </c>
      <c r="J253" s="227">
        <f t="shared" si="22"/>
        <v>6.184738955823299E-2</v>
      </c>
      <c r="K253" s="5">
        <f>J253-J1276</f>
        <v>5.9711433642623032E-2</v>
      </c>
      <c r="M253" s="241">
        <v>45506</v>
      </c>
      <c r="N253">
        <v>4997.91</v>
      </c>
      <c r="O253" s="227">
        <f t="shared" si="23"/>
        <v>-5.7096134372867091E-3</v>
      </c>
      <c r="P253" s="5">
        <f>O253-O1278</f>
        <v>-5.3438562363735372E-3</v>
      </c>
      <c r="Q253" s="8">
        <f t="shared" si="27"/>
        <v>2.8556799475028347E-5</v>
      </c>
      <c r="S253" s="1">
        <v>45506</v>
      </c>
      <c r="T253">
        <v>3.32</v>
      </c>
      <c r="U253" s="29">
        <f t="shared" si="24"/>
        <v>-3.2069970845481133E-2</v>
      </c>
      <c r="V253" s="5">
        <f>U253-V1274</f>
        <v>-3.3806161621188172E-2</v>
      </c>
      <c r="X253" t="s">
        <v>434</v>
      </c>
      <c r="Y253">
        <v>3.76</v>
      </c>
      <c r="Z253" s="48">
        <f t="shared" si="25"/>
        <v>-3.8363171355498826E-2</v>
      </c>
      <c r="AA253" s="5">
        <f>Z253-Y1274</f>
        <v>-4.2580490824772957E-2</v>
      </c>
      <c r="AD253" s="1">
        <v>45506</v>
      </c>
      <c r="AE253">
        <v>118.3</v>
      </c>
      <c r="AF253" s="29">
        <f t="shared" si="26"/>
        <v>-8.465342385382657E-3</v>
      </c>
    </row>
    <row r="254" spans="1:32">
      <c r="A254" s="220">
        <v>45324</v>
      </c>
      <c r="B254" s="222">
        <v>68.069999999999993</v>
      </c>
      <c r="C254" s="227">
        <f t="shared" si="21"/>
        <v>-1.3335265980576883E-2</v>
      </c>
      <c r="D254" s="5">
        <f>C254-C1275</f>
        <v>-1.3413311550135771E-2</v>
      </c>
      <c r="F254" s="8"/>
      <c r="H254" s="1">
        <v>45414</v>
      </c>
      <c r="I254">
        <v>12.59</v>
      </c>
      <c r="J254" s="227">
        <f t="shared" si="22"/>
        <v>-4.7655068078668705E-2</v>
      </c>
      <c r="K254" s="5">
        <f>J254-J1276</f>
        <v>-4.9791023994278663E-2</v>
      </c>
      <c r="M254" s="241">
        <v>45475</v>
      </c>
      <c r="N254">
        <v>4995.0600000000004</v>
      </c>
      <c r="O254" s="227">
        <f t="shared" si="23"/>
        <v>-5.7023835963421199E-4</v>
      </c>
      <c r="P254" s="5">
        <f>O254-O1278</f>
        <v>-2.0448115872104044E-4</v>
      </c>
      <c r="Q254" s="8">
        <f t="shared" si="27"/>
        <v>4.1812544271899335E-8</v>
      </c>
      <c r="S254" s="1">
        <v>45475</v>
      </c>
      <c r="T254">
        <v>3.3</v>
      </c>
      <c r="U254" s="29">
        <f t="shared" si="24"/>
        <v>-6.0240963855421326E-3</v>
      </c>
      <c r="V254" s="5">
        <f>U254-V1274</f>
        <v>-7.7602871612491705E-3</v>
      </c>
      <c r="X254" t="s">
        <v>435</v>
      </c>
      <c r="Y254">
        <v>3.67</v>
      </c>
      <c r="Z254" s="48">
        <f t="shared" si="25"/>
        <v>-2.393617021276595E-2</v>
      </c>
      <c r="AA254" s="5">
        <f>Z254-Y1274</f>
        <v>-2.8153489682040084E-2</v>
      </c>
      <c r="AD254" s="1">
        <v>45475</v>
      </c>
      <c r="AE254">
        <v>114.33</v>
      </c>
      <c r="AF254" s="29">
        <f t="shared" si="26"/>
        <v>-3.3558748943364303E-2</v>
      </c>
    </row>
    <row r="255" spans="1:32">
      <c r="A255" s="220">
        <v>45293</v>
      </c>
      <c r="B255" s="222">
        <v>66.73</v>
      </c>
      <c r="C255" s="227">
        <f t="shared" si="21"/>
        <v>-1.9685617746437289E-2</v>
      </c>
      <c r="D255" s="5">
        <f>C255-C1275</f>
        <v>-1.9763663315996178E-2</v>
      </c>
      <c r="F255" s="8"/>
      <c r="H255" s="1">
        <v>45324</v>
      </c>
      <c r="I255">
        <v>12.75</v>
      </c>
      <c r="J255" s="227">
        <f t="shared" si="22"/>
        <v>1.2708498808578161E-2</v>
      </c>
      <c r="K255" s="5">
        <f>J255-J1276</f>
        <v>1.0572542892968204E-2</v>
      </c>
      <c r="M255" s="241">
        <v>45445</v>
      </c>
      <c r="N255">
        <v>4954.2299999999996</v>
      </c>
      <c r="O255" s="227">
        <f t="shared" si="23"/>
        <v>-8.1740759870754243E-3</v>
      </c>
      <c r="P255" s="5">
        <f>O255-O1278</f>
        <v>-7.8083187861622523E-3</v>
      </c>
      <c r="Q255" s="8">
        <f t="shared" si="27"/>
        <v>6.0969842266334347E-5</v>
      </c>
      <c r="S255" s="1">
        <v>45445</v>
      </c>
      <c r="T255">
        <v>3.25</v>
      </c>
      <c r="U255" s="29">
        <f t="shared" si="24"/>
        <v>-1.5151515151515138E-2</v>
      </c>
      <c r="V255" s="5">
        <f>U255-V1274</f>
        <v>-1.6887705927222177E-2</v>
      </c>
      <c r="X255" t="s">
        <v>436</v>
      </c>
      <c r="Y255">
        <v>3.7</v>
      </c>
      <c r="Z255" s="48">
        <f t="shared" si="25"/>
        <v>8.1743869209809361E-3</v>
      </c>
      <c r="AA255" s="5">
        <f>Z255-Y1274</f>
        <v>3.957067451706802E-3</v>
      </c>
      <c r="AD255" s="1">
        <v>45445</v>
      </c>
      <c r="AE255">
        <v>112.34</v>
      </c>
      <c r="AF255" s="29">
        <f t="shared" si="26"/>
        <v>-1.7405755269832901E-2</v>
      </c>
    </row>
    <row r="256" spans="1:32">
      <c r="A256" s="3" t="s">
        <v>442</v>
      </c>
      <c r="B256" s="222">
        <v>65.27</v>
      </c>
      <c r="C256" s="227">
        <f t="shared" si="21"/>
        <v>-2.1879214745991415E-2</v>
      </c>
      <c r="D256" s="5">
        <f>C256-C1275</f>
        <v>-2.1957260315550304E-2</v>
      </c>
      <c r="F256" s="8"/>
      <c r="H256" s="1">
        <v>45293</v>
      </c>
      <c r="I256">
        <v>12.89</v>
      </c>
      <c r="J256" s="227">
        <f t="shared" si="22"/>
        <v>1.098039215686275E-2</v>
      </c>
      <c r="K256" s="5">
        <f>J256-J1276</f>
        <v>8.8444362412527927E-3</v>
      </c>
      <c r="M256" s="241">
        <v>45414</v>
      </c>
      <c r="N256">
        <v>4942.8100000000004</v>
      </c>
      <c r="O256" s="227">
        <f t="shared" si="23"/>
        <v>-2.3051008935797146E-3</v>
      </c>
      <c r="P256" s="5">
        <f>O256-O1278</f>
        <v>-1.9393436926665431E-3</v>
      </c>
      <c r="Q256" s="8">
        <f t="shared" si="27"/>
        <v>3.7610539582855034E-6</v>
      </c>
      <c r="S256" s="1">
        <v>45414</v>
      </c>
      <c r="T256">
        <v>3.21</v>
      </c>
      <c r="U256" s="29">
        <f t="shared" si="24"/>
        <v>-1.2307692307692353E-2</v>
      </c>
      <c r="V256" s="5">
        <f>U256-V1274</f>
        <v>-1.4043883083399392E-2</v>
      </c>
      <c r="X256" t="s">
        <v>437</v>
      </c>
      <c r="Y256">
        <v>3.66</v>
      </c>
      <c r="Z256" s="48">
        <f t="shared" si="25"/>
        <v>-1.0810810810810811E-2</v>
      </c>
      <c r="AA256" s="5">
        <f>Z256-Y1274</f>
        <v>-1.5028130280084945E-2</v>
      </c>
      <c r="AD256" s="1">
        <v>45414</v>
      </c>
      <c r="AE256">
        <v>108.12</v>
      </c>
      <c r="AF256" s="29">
        <f t="shared" si="26"/>
        <v>-3.7564536229303891E-2</v>
      </c>
    </row>
    <row r="257" spans="1:32">
      <c r="A257" s="3" t="s">
        <v>443</v>
      </c>
      <c r="B257" s="222">
        <v>66.84</v>
      </c>
      <c r="C257" s="227">
        <f t="shared" si="21"/>
        <v>2.405392982993737E-2</v>
      </c>
      <c r="D257" s="5">
        <f>C257-C1275</f>
        <v>2.3975884260378482E-2</v>
      </c>
      <c r="E257" s="1"/>
      <c r="F257" s="8"/>
      <c r="H257" t="s">
        <v>442</v>
      </c>
      <c r="I257">
        <v>12.49</v>
      </c>
      <c r="J257" s="227">
        <f t="shared" si="22"/>
        <v>-3.1031807602792894E-2</v>
      </c>
      <c r="K257" s="5">
        <f>J257-J1276</f>
        <v>-3.3167763518402851E-2</v>
      </c>
      <c r="M257" s="241">
        <v>45324</v>
      </c>
      <c r="N257">
        <v>4958.6099999999997</v>
      </c>
      <c r="O257" s="227">
        <f t="shared" si="23"/>
        <v>3.1965622793510562E-3</v>
      </c>
      <c r="P257" s="5">
        <f>O257-O1278</f>
        <v>3.5623194802642277E-3</v>
      </c>
      <c r="Q257" s="8">
        <f t="shared" si="27"/>
        <v>1.2690120079469997E-5</v>
      </c>
      <c r="S257" s="1">
        <v>45324</v>
      </c>
      <c r="T257">
        <v>3.22</v>
      </c>
      <c r="U257" s="29">
        <f t="shared" si="24"/>
        <v>3.1152647975078995E-3</v>
      </c>
      <c r="V257" s="5">
        <f>U257-V1274</f>
        <v>1.3790740218008616E-3</v>
      </c>
      <c r="X257" t="s">
        <v>438</v>
      </c>
      <c r="Y257">
        <v>3.77</v>
      </c>
      <c r="Z257" s="48">
        <f t="shared" si="25"/>
        <v>3.0054644808743092E-2</v>
      </c>
      <c r="AA257" s="5">
        <f>Z257-Y1274</f>
        <v>2.5837325339468958E-2</v>
      </c>
      <c r="AD257" s="1">
        <v>45324</v>
      </c>
      <c r="AE257">
        <v>109.5</v>
      </c>
      <c r="AF257" s="29">
        <f t="shared" si="26"/>
        <v>1.2763596004439437E-2</v>
      </c>
    </row>
    <row r="258" spans="1:32">
      <c r="A258" s="3" t="s">
        <v>444</v>
      </c>
      <c r="B258" s="222">
        <v>66.98</v>
      </c>
      <c r="C258" s="227">
        <f t="shared" si="21"/>
        <v>2.094554159186135E-3</v>
      </c>
      <c r="D258" s="5">
        <f>C258-C1275</f>
        <v>2.0165085896272457E-3</v>
      </c>
      <c r="E258" s="1"/>
      <c r="F258" s="8"/>
      <c r="H258" t="s">
        <v>443</v>
      </c>
      <c r="I258">
        <v>12.69</v>
      </c>
      <c r="J258" s="227">
        <f t="shared" si="22"/>
        <v>1.601281024819845E-2</v>
      </c>
      <c r="K258" s="5">
        <f>J258-J1276</f>
        <v>1.3876854332588492E-2</v>
      </c>
      <c r="M258" s="241">
        <v>45293</v>
      </c>
      <c r="N258">
        <v>4906.1899999999996</v>
      </c>
      <c r="O258" s="227">
        <f t="shared" si="23"/>
        <v>-1.0571510967791409E-2</v>
      </c>
      <c r="P258" s="5">
        <f>O258-O1278</f>
        <v>-1.0205753766878238E-2</v>
      </c>
      <c r="Q258" s="8">
        <f t="shared" si="27"/>
        <v>1.0415740995014933E-4</v>
      </c>
      <c r="S258" s="1">
        <v>45293</v>
      </c>
      <c r="T258">
        <v>3.13</v>
      </c>
      <c r="U258" s="29">
        <f t="shared" si="24"/>
        <v>-2.7950310559006319E-2</v>
      </c>
      <c r="V258" s="5">
        <f>U258-V1274</f>
        <v>-2.9686501334713358E-2</v>
      </c>
      <c r="X258" t="s">
        <v>439</v>
      </c>
      <c r="Y258">
        <v>3.61</v>
      </c>
      <c r="Z258" s="48">
        <f t="shared" si="25"/>
        <v>-4.2440318302387259E-2</v>
      </c>
      <c r="AA258" s="5">
        <f>Z258-Y1274</f>
        <v>-4.6657637771661389E-2</v>
      </c>
      <c r="AD258" s="1">
        <v>45293</v>
      </c>
      <c r="AE258">
        <v>107.3</v>
      </c>
      <c r="AF258" s="29">
        <f t="shared" si="26"/>
        <v>-2.0091324200913308E-2</v>
      </c>
    </row>
    <row r="259" spans="1:32">
      <c r="A259" s="3" t="s">
        <v>445</v>
      </c>
      <c r="B259" s="222">
        <v>65.52</v>
      </c>
      <c r="C259" s="227">
        <f t="shared" si="21"/>
        <v>-2.179755150791296E-2</v>
      </c>
      <c r="D259" s="5">
        <f>C259-C1275</f>
        <v>-2.1875597077471848E-2</v>
      </c>
      <c r="E259" s="1"/>
      <c r="F259" s="8"/>
      <c r="H259" t="s">
        <v>444</v>
      </c>
      <c r="I259">
        <v>13.08</v>
      </c>
      <c r="J259" s="227">
        <f t="shared" si="22"/>
        <v>3.0732860520094718E-2</v>
      </c>
      <c r="K259" s="5">
        <f>J259-J1276</f>
        <v>2.859690460448476E-2</v>
      </c>
      <c r="M259" s="240" t="s">
        <v>442</v>
      </c>
      <c r="N259">
        <v>4845.6499999999996</v>
      </c>
      <c r="O259" s="227">
        <f t="shared" si="23"/>
        <v>-1.2339513960935022E-2</v>
      </c>
      <c r="P259" s="5">
        <f>O259-O1278</f>
        <v>-1.1973756760021851E-2</v>
      </c>
      <c r="Q259" s="8">
        <f t="shared" si="27"/>
        <v>1.4337085094816898E-4</v>
      </c>
      <c r="S259" t="s">
        <v>442</v>
      </c>
      <c r="T259">
        <v>3.07</v>
      </c>
      <c r="U259" s="29">
        <f t="shared" si="24"/>
        <v>-1.9169329073482455E-2</v>
      </c>
      <c r="V259" s="5">
        <f>U259-V1274</f>
        <v>-2.0905519849189494E-2</v>
      </c>
      <c r="X259" t="s">
        <v>440</v>
      </c>
      <c r="Y259">
        <v>3.62</v>
      </c>
      <c r="Z259" s="48">
        <f t="shared" si="25"/>
        <v>2.7700831024930483E-3</v>
      </c>
      <c r="AA259" s="5">
        <f>Z259-Y1274</f>
        <v>-1.4472363667810857E-3</v>
      </c>
      <c r="AD259" t="s">
        <v>442</v>
      </c>
      <c r="AE259">
        <v>104.2</v>
      </c>
      <c r="AF259" s="29">
        <f t="shared" si="26"/>
        <v>-2.8890959925442661E-2</v>
      </c>
    </row>
    <row r="260" spans="1:32">
      <c r="A260" s="3" t="s">
        <v>446</v>
      </c>
      <c r="B260" s="222">
        <v>66</v>
      </c>
      <c r="C260" s="227">
        <f t="shared" si="21"/>
        <v>7.3260073260073E-3</v>
      </c>
      <c r="D260" s="5">
        <f>C260-C1275</f>
        <v>7.2479617564484107E-3</v>
      </c>
      <c r="E260" s="1"/>
      <c r="F260" s="8"/>
      <c r="H260" t="s">
        <v>445</v>
      </c>
      <c r="I260">
        <v>12.6</v>
      </c>
      <c r="J260" s="227">
        <f t="shared" si="22"/>
        <v>-3.669724770642202E-2</v>
      </c>
      <c r="K260" s="5">
        <f>J260-J1276</f>
        <v>-3.8833203622031978E-2</v>
      </c>
      <c r="M260" s="240" t="s">
        <v>443</v>
      </c>
      <c r="N260">
        <v>4924.97</v>
      </c>
      <c r="O260" s="227">
        <f t="shared" si="23"/>
        <v>1.6369320937335674E-2</v>
      </c>
      <c r="P260" s="5">
        <f>O260-O1278</f>
        <v>1.6735078138248847E-2</v>
      </c>
      <c r="Q260" s="8">
        <f t="shared" si="27"/>
        <v>2.800628402932945E-4</v>
      </c>
      <c r="S260" t="s">
        <v>443</v>
      </c>
      <c r="T260">
        <v>3.08</v>
      </c>
      <c r="U260" s="29">
        <f t="shared" si="24"/>
        <v>3.2573289902280145E-3</v>
      </c>
      <c r="V260" s="5">
        <f>U260-V1274</f>
        <v>1.5211382145209765E-3</v>
      </c>
      <c r="X260" t="s">
        <v>441</v>
      </c>
      <c r="Y260">
        <v>3.36</v>
      </c>
      <c r="Z260" s="48">
        <f t="shared" si="25"/>
        <v>-7.1823204419889541E-2</v>
      </c>
      <c r="AA260" s="5">
        <f>Z260-Y1274</f>
        <v>-7.6040523889163672E-2</v>
      </c>
      <c r="AD260" t="s">
        <v>443</v>
      </c>
      <c r="AE260">
        <v>105.47</v>
      </c>
      <c r="AF260" s="29">
        <f t="shared" si="26"/>
        <v>1.2188099808061459E-2</v>
      </c>
    </row>
    <row r="261" spans="1:32">
      <c r="A261" s="3" t="s">
        <v>447</v>
      </c>
      <c r="B261" s="222">
        <v>63.76</v>
      </c>
      <c r="C261" s="227">
        <f t="shared" si="21"/>
        <v>-3.3939393939393936E-2</v>
      </c>
      <c r="D261" s="5">
        <f>C261-C1275</f>
        <v>-3.4017439508952828E-2</v>
      </c>
      <c r="E261" s="1"/>
      <c r="F261" s="8"/>
      <c r="H261" t="s">
        <v>446</v>
      </c>
      <c r="I261">
        <v>12.57</v>
      </c>
      <c r="J261" s="227">
        <f t="shared" si="22"/>
        <v>-2.3809523809523725E-3</v>
      </c>
      <c r="K261" s="5">
        <f>J261-J1276</f>
        <v>-4.5169082965623303E-3</v>
      </c>
      <c r="M261" s="240" t="s">
        <v>444</v>
      </c>
      <c r="N261">
        <v>4927.93</v>
      </c>
      <c r="O261" s="227">
        <f t="shared" si="23"/>
        <v>6.0101888945518489E-4</v>
      </c>
      <c r="P261" s="5">
        <f>O261-O1278</f>
        <v>9.6677609036835638E-4</v>
      </c>
      <c r="Q261" s="8">
        <f t="shared" si="27"/>
        <v>9.3465600890792435E-7</v>
      </c>
      <c r="S261" t="s">
        <v>444</v>
      </c>
      <c r="T261">
        <v>3.24</v>
      </c>
      <c r="U261" s="29">
        <f t="shared" si="24"/>
        <v>5.1948051948051965E-2</v>
      </c>
      <c r="V261" s="5">
        <f>U261-V1274</f>
        <v>5.0211861172344927E-2</v>
      </c>
      <c r="X261" s="1">
        <v>45628</v>
      </c>
      <c r="Y261">
        <v>3.48</v>
      </c>
      <c r="Z261" s="48">
        <f t="shared" si="25"/>
        <v>3.5714285714285809E-2</v>
      </c>
      <c r="AA261" s="5">
        <f>Z261-Y1274</f>
        <v>3.1496966245011679E-2</v>
      </c>
      <c r="AD261" t="s">
        <v>444</v>
      </c>
      <c r="AE261">
        <v>110.45</v>
      </c>
      <c r="AF261" s="29">
        <f t="shared" si="26"/>
        <v>4.721721816630331E-2</v>
      </c>
    </row>
    <row r="262" spans="1:32">
      <c r="A262" s="3" t="s">
        <v>448</v>
      </c>
      <c r="B262" s="222">
        <v>64.319999999999993</v>
      </c>
      <c r="C262" s="227">
        <f t="shared" si="21"/>
        <v>8.7829360100375453E-3</v>
      </c>
      <c r="D262" s="5">
        <f>C262-C1275</f>
        <v>8.7048904404786569E-3</v>
      </c>
      <c r="E262" s="1"/>
      <c r="F262" s="8"/>
      <c r="H262" t="s">
        <v>447</v>
      </c>
      <c r="I262">
        <v>12.46</v>
      </c>
      <c r="J262" s="227">
        <f t="shared" si="22"/>
        <v>-8.7509944311853216E-3</v>
      </c>
      <c r="K262" s="5">
        <f>J262-J1276</f>
        <v>-1.0886950346795279E-2</v>
      </c>
      <c r="M262" s="240" t="s">
        <v>445</v>
      </c>
      <c r="N262">
        <v>4890.97</v>
      </c>
      <c r="O262" s="227">
        <f t="shared" si="23"/>
        <v>-7.5001065356041785E-3</v>
      </c>
      <c r="P262" s="5">
        <f>O262-O1278</f>
        <v>-7.1343493346910066E-3</v>
      </c>
      <c r="Q262" s="8">
        <f t="shared" si="27"/>
        <v>5.0898940429406006E-5</v>
      </c>
      <c r="S262" t="s">
        <v>445</v>
      </c>
      <c r="T262">
        <v>3.17</v>
      </c>
      <c r="U262" s="29">
        <f t="shared" si="24"/>
        <v>-2.1604938271605034E-2</v>
      </c>
      <c r="V262" s="5">
        <f>U262-V1274</f>
        <v>-2.3341129047312073E-2</v>
      </c>
      <c r="X262" s="1">
        <v>45537</v>
      </c>
      <c r="Y262">
        <v>3.56</v>
      </c>
      <c r="Z262" s="48">
        <f t="shared" si="25"/>
        <v>2.2988505747126409E-2</v>
      </c>
      <c r="AA262" s="5">
        <f>Z262-Y1274</f>
        <v>1.8771186277852275E-2</v>
      </c>
      <c r="AD262" t="s">
        <v>445</v>
      </c>
      <c r="AE262">
        <v>108.24</v>
      </c>
      <c r="AF262" s="29">
        <f t="shared" si="26"/>
        <v>-2.0009053870529758E-2</v>
      </c>
    </row>
    <row r="263" spans="1:32">
      <c r="A263" s="3" t="s">
        <v>449</v>
      </c>
      <c r="B263" s="222">
        <v>64.55</v>
      </c>
      <c r="C263" s="227">
        <f t="shared" si="21"/>
        <v>3.5758706467661217E-3</v>
      </c>
      <c r="D263" s="5">
        <f>C263-C1275</f>
        <v>3.4978250772072323E-3</v>
      </c>
      <c r="E263" s="1"/>
      <c r="F263" s="8"/>
      <c r="H263" t="s">
        <v>448</v>
      </c>
      <c r="I263">
        <v>12.71</v>
      </c>
      <c r="J263" s="227">
        <f t="shared" si="22"/>
        <v>2.0064205457463791E-2</v>
      </c>
      <c r="K263" s="5">
        <f>J263-J1276</f>
        <v>1.7928249541853833E-2</v>
      </c>
      <c r="M263" s="240" t="s">
        <v>446</v>
      </c>
      <c r="N263">
        <v>4894.16</v>
      </c>
      <c r="O263" s="227">
        <f t="shared" si="23"/>
        <v>6.5222236079942597E-4</v>
      </c>
      <c r="P263" s="5">
        <f>O263-O1278</f>
        <v>1.0179795617125975E-3</v>
      </c>
      <c r="Q263" s="8">
        <f t="shared" si="27"/>
        <v>1.0362823880645721E-6</v>
      </c>
      <c r="S263" t="s">
        <v>446</v>
      </c>
      <c r="T263">
        <v>3.16</v>
      </c>
      <c r="U263" s="29">
        <f t="shared" si="24"/>
        <v>-3.154574132492094E-3</v>
      </c>
      <c r="V263" s="5">
        <f>U263-V1274</f>
        <v>-4.8907649081991319E-3</v>
      </c>
      <c r="X263" s="1">
        <v>45506</v>
      </c>
      <c r="Y263">
        <v>3.5350000000000001</v>
      </c>
      <c r="Z263" s="48">
        <f t="shared" si="25"/>
        <v>-7.0224719101122934E-3</v>
      </c>
      <c r="AA263" s="5">
        <f>Z263-Y1274</f>
        <v>-1.1239791379386428E-2</v>
      </c>
      <c r="AD263" t="s">
        <v>446</v>
      </c>
      <c r="AE263">
        <v>107.52</v>
      </c>
      <c r="AF263" s="29">
        <f t="shared" si="26"/>
        <v>-6.6518847006651338E-3</v>
      </c>
    </row>
    <row r="264" spans="1:32">
      <c r="A264" s="3" t="s">
        <v>450</v>
      </c>
      <c r="B264" s="222">
        <v>65.11</v>
      </c>
      <c r="C264" s="227">
        <f t="shared" si="21"/>
        <v>8.6754453911697116E-3</v>
      </c>
      <c r="D264" s="5">
        <f>C264-C1275</f>
        <v>8.5973998216108231E-3</v>
      </c>
      <c r="E264" s="1"/>
      <c r="F264" s="8"/>
      <c r="H264" t="s">
        <v>449</v>
      </c>
      <c r="I264">
        <v>12.76</v>
      </c>
      <c r="J264" s="227">
        <f t="shared" si="22"/>
        <v>3.9339103068449788E-3</v>
      </c>
      <c r="K264" s="5">
        <f>J264-J1276</f>
        <v>1.797954391235021E-3</v>
      </c>
      <c r="M264" s="240" t="s">
        <v>447</v>
      </c>
      <c r="N264">
        <v>4868.55</v>
      </c>
      <c r="O264" s="227">
        <f t="shared" si="23"/>
        <v>-5.2327672164375061E-3</v>
      </c>
      <c r="P264" s="5">
        <f>O264-O1278</f>
        <v>-4.8670100155243342E-3</v>
      </c>
      <c r="Q264" s="8">
        <f t="shared" si="27"/>
        <v>2.3687786491214178E-5</v>
      </c>
      <c r="S264" t="s">
        <v>447</v>
      </c>
      <c r="T264">
        <v>3.17</v>
      </c>
      <c r="U264" s="29">
        <f t="shared" si="24"/>
        <v>3.1645569620253333E-3</v>
      </c>
      <c r="V264" s="5">
        <f>U264-V1274</f>
        <v>1.4283661863182954E-3</v>
      </c>
      <c r="X264" s="1">
        <v>45475</v>
      </c>
      <c r="Y264">
        <v>3.52</v>
      </c>
      <c r="Z264" s="48">
        <f t="shared" si="25"/>
        <v>-4.2432814710042788E-3</v>
      </c>
      <c r="AA264" s="5">
        <f>Z264-Y1274</f>
        <v>-8.4606009402784128E-3</v>
      </c>
      <c r="AD264" t="s">
        <v>447</v>
      </c>
      <c r="AE264">
        <v>107.12</v>
      </c>
      <c r="AF264" s="29">
        <f t="shared" si="26"/>
        <v>-3.7202380952380265E-3</v>
      </c>
    </row>
    <row r="265" spans="1:32">
      <c r="A265" s="3" t="s">
        <v>451</v>
      </c>
      <c r="B265" s="222">
        <v>64.88</v>
      </c>
      <c r="C265" s="227">
        <f t="shared" si="21"/>
        <v>-3.5324834894794321E-3</v>
      </c>
      <c r="D265" s="5">
        <f>C265-C1275</f>
        <v>-3.6105290590383214E-3</v>
      </c>
      <c r="E265" s="1"/>
      <c r="F265" s="8"/>
      <c r="H265" t="s">
        <v>450</v>
      </c>
      <c r="I265">
        <v>12.65</v>
      </c>
      <c r="J265" s="227">
        <f t="shared" si="22"/>
        <v>-8.6206896551723755E-3</v>
      </c>
      <c r="K265" s="5">
        <f>J265-J1276</f>
        <v>-1.0756645570782333E-2</v>
      </c>
      <c r="M265" s="240" t="s">
        <v>448</v>
      </c>
      <c r="N265">
        <v>4864.6000000000004</v>
      </c>
      <c r="O265" s="227">
        <f t="shared" si="23"/>
        <v>-8.1132986207388402E-4</v>
      </c>
      <c r="P265" s="5">
        <f>O265-O1278</f>
        <v>-4.4557266116071248E-4</v>
      </c>
      <c r="Q265" s="8">
        <f t="shared" si="27"/>
        <v>1.9853499637383909E-7</v>
      </c>
      <c r="S265" t="s">
        <v>448</v>
      </c>
      <c r="T265">
        <v>3.13</v>
      </c>
      <c r="U265" s="29">
        <f t="shared" si="24"/>
        <v>-1.2618296529968487E-2</v>
      </c>
      <c r="V265" s="5">
        <f>U265-V1274</f>
        <v>-1.4354487305675526E-2</v>
      </c>
      <c r="X265" s="1">
        <v>45445</v>
      </c>
      <c r="Y265">
        <v>3.45</v>
      </c>
      <c r="Z265" s="48">
        <f t="shared" si="25"/>
        <v>-1.9886363636363535E-2</v>
      </c>
      <c r="AA265" s="5">
        <f>Z265-Y1274</f>
        <v>-2.4103683105637669E-2</v>
      </c>
      <c r="AD265" t="s">
        <v>448</v>
      </c>
      <c r="AE265">
        <v>105.69</v>
      </c>
      <c r="AF265" s="29">
        <f t="shared" si="26"/>
        <v>-1.3349514563106846E-2</v>
      </c>
    </row>
    <row r="266" spans="1:32">
      <c r="A266" s="3" t="s">
        <v>452</v>
      </c>
      <c r="B266" s="222">
        <v>63.12</v>
      </c>
      <c r="C266" s="227">
        <f t="shared" si="21"/>
        <v>-2.7127003699136787E-2</v>
      </c>
      <c r="D266" s="5">
        <f>C266-C1275</f>
        <v>-2.7205049268695675E-2</v>
      </c>
      <c r="F266" s="8"/>
      <c r="H266" t="s">
        <v>451</v>
      </c>
      <c r="I266">
        <v>12.76</v>
      </c>
      <c r="J266" s="227">
        <f t="shared" si="22"/>
        <v>8.6956521739129933E-3</v>
      </c>
      <c r="K266" s="5">
        <f>J266-J1276</f>
        <v>6.5596962583030355E-3</v>
      </c>
      <c r="M266" s="240" t="s">
        <v>449</v>
      </c>
      <c r="N266">
        <v>4850.43</v>
      </c>
      <c r="O266" s="227">
        <f t="shared" si="23"/>
        <v>-2.9128808123998207E-3</v>
      </c>
      <c r="P266" s="5">
        <f>O266-O1278</f>
        <v>-2.5471236114866492E-3</v>
      </c>
      <c r="Q266" s="8">
        <f t="shared" si="27"/>
        <v>6.4878386921927908E-6</v>
      </c>
      <c r="S266" t="s">
        <v>449</v>
      </c>
      <c r="T266">
        <v>3.03</v>
      </c>
      <c r="U266" s="29">
        <f t="shared" si="24"/>
        <v>-3.1948881789137462E-2</v>
      </c>
      <c r="V266" s="5">
        <f>U266-V1274</f>
        <v>-3.3685072564844501E-2</v>
      </c>
      <c r="X266" s="1">
        <v>45414</v>
      </c>
      <c r="Y266">
        <v>3.17</v>
      </c>
      <c r="Z266" s="48">
        <f t="shared" si="25"/>
        <v>-8.1159420289855122E-2</v>
      </c>
      <c r="AA266" s="5">
        <f>Z266-Y1274</f>
        <v>-8.5376739759129253E-2</v>
      </c>
      <c r="AD266" t="s">
        <v>449</v>
      </c>
      <c r="AE266">
        <v>104.66</v>
      </c>
      <c r="AF266" s="29">
        <f t="shared" si="26"/>
        <v>-9.7454820702053135E-3</v>
      </c>
    </row>
    <row r="267" spans="1:32">
      <c r="A267" s="3" t="s">
        <v>453</v>
      </c>
      <c r="B267" s="222">
        <v>63.65</v>
      </c>
      <c r="C267" s="227">
        <f t="shared" si="21"/>
        <v>8.3967046894803943E-3</v>
      </c>
      <c r="D267" s="5">
        <f>C267-C1275</f>
        <v>8.3186591199215058E-3</v>
      </c>
      <c r="F267" s="8"/>
      <c r="H267" t="s">
        <v>452</v>
      </c>
      <c r="I267">
        <v>12.71</v>
      </c>
      <c r="J267" s="227">
        <f t="shared" si="22"/>
        <v>-3.9184952978055243E-3</v>
      </c>
      <c r="K267" s="5">
        <f>J267-J1276</f>
        <v>-6.0544512134154821E-3</v>
      </c>
      <c r="M267" s="240" t="s">
        <v>450</v>
      </c>
      <c r="N267">
        <v>4839.8100000000004</v>
      </c>
      <c r="O267" s="227">
        <f t="shared" si="23"/>
        <v>-2.1894966013322748E-3</v>
      </c>
      <c r="P267" s="5">
        <f>O267-O1278</f>
        <v>-1.8237394004191033E-3</v>
      </c>
      <c r="Q267" s="8">
        <f t="shared" si="27"/>
        <v>3.3260254006410301E-6</v>
      </c>
      <c r="S267" t="s">
        <v>450</v>
      </c>
      <c r="T267">
        <v>3</v>
      </c>
      <c r="U267" s="29">
        <f t="shared" si="24"/>
        <v>-9.9009900990097988E-3</v>
      </c>
      <c r="V267" s="5">
        <f>U267-V1274</f>
        <v>-1.1637180874716838E-2</v>
      </c>
      <c r="X267" s="1">
        <v>45324</v>
      </c>
      <c r="Y267">
        <v>3.3403999999999998</v>
      </c>
      <c r="Z267" s="48">
        <f t="shared" si="25"/>
        <v>5.375394321766569E-2</v>
      </c>
      <c r="AA267" s="5">
        <f>Z267-Y1274</f>
        <v>4.9536623748391559E-2</v>
      </c>
      <c r="AD267" t="s">
        <v>450</v>
      </c>
      <c r="AE267">
        <v>106.33</v>
      </c>
      <c r="AF267" s="29">
        <f t="shared" si="26"/>
        <v>1.59564303458819E-2</v>
      </c>
    </row>
    <row r="268" spans="1:32">
      <c r="A268" s="220">
        <v>45627</v>
      </c>
      <c r="B268" s="222">
        <v>63.2</v>
      </c>
      <c r="C268" s="227">
        <f t="shared" si="21"/>
        <v>-7.0699135899449095E-3</v>
      </c>
      <c r="D268" s="5">
        <f>C268-C1275</f>
        <v>-7.1479591595037988E-3</v>
      </c>
      <c r="F268" s="8"/>
      <c r="H268" t="s">
        <v>453</v>
      </c>
      <c r="I268">
        <v>12.5</v>
      </c>
      <c r="J268" s="227">
        <f t="shared" si="22"/>
        <v>-1.6522423288749088E-2</v>
      </c>
      <c r="K268" s="5">
        <f>J268-J1276</f>
        <v>-1.8658379204359046E-2</v>
      </c>
      <c r="M268" s="240" t="s">
        <v>451</v>
      </c>
      <c r="N268">
        <v>4780.9399999999996</v>
      </c>
      <c r="O268" s="227">
        <f t="shared" si="23"/>
        <v>-1.2163700641141029E-2</v>
      </c>
      <c r="P268" s="5">
        <f>O268-O1278</f>
        <v>-1.1797943440227858E-2</v>
      </c>
      <c r="Q268" s="8">
        <f t="shared" si="27"/>
        <v>1.3919146941881555E-4</v>
      </c>
      <c r="S268" t="s">
        <v>451</v>
      </c>
      <c r="T268">
        <v>3</v>
      </c>
      <c r="U268" s="29">
        <f t="shared" si="24"/>
        <v>0</v>
      </c>
      <c r="V268" s="5">
        <f>U268-V1274</f>
        <v>-1.736190775707038E-3</v>
      </c>
      <c r="X268" s="1">
        <v>45293</v>
      </c>
      <c r="Y268">
        <v>3.52</v>
      </c>
      <c r="Z268" s="48">
        <f t="shared" si="25"/>
        <v>5.3766016045982523E-2</v>
      </c>
      <c r="AA268" s="5">
        <f>Z268-Y1274</f>
        <v>4.9548696576708393E-2</v>
      </c>
      <c r="AD268" t="s">
        <v>451</v>
      </c>
      <c r="AE268">
        <v>104.96</v>
      </c>
      <c r="AF268" s="29">
        <f t="shared" si="26"/>
        <v>-1.288441643938687E-2</v>
      </c>
    </row>
    <row r="269" spans="1:32">
      <c r="A269" s="220">
        <v>45597</v>
      </c>
      <c r="B269" s="222">
        <v>63.47</v>
      </c>
      <c r="C269" s="227">
        <f t="shared" si="21"/>
        <v>4.272151898734089E-3</v>
      </c>
      <c r="D269" s="5">
        <f>C269-C1275</f>
        <v>4.1941063291751996E-3</v>
      </c>
      <c r="F269" s="8"/>
      <c r="H269" s="1">
        <v>45627</v>
      </c>
      <c r="I269">
        <v>12.88</v>
      </c>
      <c r="J269" s="227">
        <f t="shared" si="22"/>
        <v>3.0399999999999983E-2</v>
      </c>
      <c r="K269" s="5">
        <f>J269-J1276</f>
        <v>2.8264044084390025E-2</v>
      </c>
      <c r="M269" s="240" t="s">
        <v>452</v>
      </c>
      <c r="N269">
        <v>4739.21</v>
      </c>
      <c r="O269" s="227">
        <f t="shared" si="23"/>
        <v>-8.7284090576329465E-3</v>
      </c>
      <c r="P269" s="5">
        <f>O269-O1278</f>
        <v>-8.3626518567197754E-3</v>
      </c>
      <c r="Q269" s="8">
        <f t="shared" si="27"/>
        <v>6.9933946076698709E-5</v>
      </c>
      <c r="S269" t="s">
        <v>452</v>
      </c>
      <c r="T269">
        <v>2.92</v>
      </c>
      <c r="U269" s="29">
        <f t="shared" si="24"/>
        <v>-2.6666666666666727E-2</v>
      </c>
      <c r="V269" s="5">
        <f>U269-V1274</f>
        <v>-2.8402857442373766E-2</v>
      </c>
      <c r="X269" t="s">
        <v>442</v>
      </c>
      <c r="Y269">
        <v>3.5</v>
      </c>
      <c r="Z269" s="48">
        <f t="shared" si="25"/>
        <v>-5.6818181818182323E-3</v>
      </c>
      <c r="AA269" s="5">
        <f>Z269-Y1274</f>
        <v>-9.8991376510923663E-3</v>
      </c>
      <c r="AD269" t="s">
        <v>452</v>
      </c>
      <c r="AE269">
        <v>102.89</v>
      </c>
      <c r="AF269" s="29">
        <f t="shared" si="26"/>
        <v>-1.9721798780487743E-2</v>
      </c>
    </row>
    <row r="270" spans="1:32">
      <c r="A270" s="220">
        <v>45566</v>
      </c>
      <c r="B270" s="222">
        <v>62.41</v>
      </c>
      <c r="C270" s="227">
        <f t="shared" si="21"/>
        <v>-1.6700803529226427E-2</v>
      </c>
      <c r="D270" s="5">
        <f>C270-C1275</f>
        <v>-1.6778849098785315E-2</v>
      </c>
      <c r="F270" s="8"/>
      <c r="H270" s="1">
        <v>45597</v>
      </c>
      <c r="I270">
        <v>13.3</v>
      </c>
      <c r="J270" s="227">
        <f t="shared" si="22"/>
        <v>3.2608695652173836E-2</v>
      </c>
      <c r="K270" s="5">
        <f>J270-J1276</f>
        <v>3.0472739736563878E-2</v>
      </c>
      <c r="M270" s="240" t="s">
        <v>453</v>
      </c>
      <c r="N270">
        <v>4765.9799999999996</v>
      </c>
      <c r="O270" s="227">
        <f t="shared" si="23"/>
        <v>5.648620761687928E-3</v>
      </c>
      <c r="P270" s="5">
        <f>O270-O1278</f>
        <v>6.0143779626011E-3</v>
      </c>
      <c r="Q270" s="8">
        <f t="shared" si="27"/>
        <v>3.6172742277021761E-5</v>
      </c>
      <c r="S270" t="s">
        <v>453</v>
      </c>
      <c r="T270">
        <v>3.09</v>
      </c>
      <c r="U270" s="29">
        <f t="shared" si="24"/>
        <v>5.821917808219168E-2</v>
      </c>
      <c r="V270" s="5">
        <f>U270-V1274</f>
        <v>5.6482987306484642E-2</v>
      </c>
      <c r="X270" t="s">
        <v>443</v>
      </c>
      <c r="Y270">
        <v>3.52</v>
      </c>
      <c r="Z270" s="48">
        <f t="shared" si="25"/>
        <v>5.7142857142857828E-3</v>
      </c>
      <c r="AA270" s="5">
        <f>Z270-Y1274</f>
        <v>1.4969662450116487E-3</v>
      </c>
      <c r="AD270" t="s">
        <v>453</v>
      </c>
      <c r="AE270">
        <v>104.02</v>
      </c>
      <c r="AF270" s="29">
        <f t="shared" si="26"/>
        <v>1.0982602779667561E-2</v>
      </c>
    </row>
    <row r="271" spans="1:32">
      <c r="A271" s="220">
        <v>45536</v>
      </c>
      <c r="B271" s="222">
        <v>60.3</v>
      </c>
      <c r="C271" s="227">
        <f t="shared" si="21"/>
        <v>-3.3808684505688191E-2</v>
      </c>
      <c r="D271" s="5">
        <f>C271-C1275</f>
        <v>-3.3886730075247083E-2</v>
      </c>
      <c r="F271" s="8"/>
      <c r="H271" s="1">
        <v>45566</v>
      </c>
      <c r="I271">
        <v>13.34</v>
      </c>
      <c r="J271" s="227">
        <f t="shared" si="22"/>
        <v>3.0075187969924588E-3</v>
      </c>
      <c r="K271" s="5">
        <f>J271-J1276</f>
        <v>8.7156288138250104E-4</v>
      </c>
      <c r="M271" s="241">
        <v>45627</v>
      </c>
      <c r="N271">
        <v>4783.83</v>
      </c>
      <c r="O271" s="227">
        <f t="shared" si="23"/>
        <v>3.7452947767302458E-3</v>
      </c>
      <c r="P271" s="5">
        <f>O271-O1278</f>
        <v>4.1110519776434177E-3</v>
      </c>
      <c r="Q271" s="8">
        <f t="shared" si="27"/>
        <v>1.6900748362885856E-5</v>
      </c>
      <c r="S271" s="1">
        <v>45627</v>
      </c>
      <c r="T271">
        <v>3.21</v>
      </c>
      <c r="U271" s="29">
        <f t="shared" si="24"/>
        <v>3.8834951456310662E-2</v>
      </c>
      <c r="V271" s="5">
        <f>U271-V1274</f>
        <v>3.7098760680603624E-2</v>
      </c>
      <c r="X271" t="s">
        <v>444</v>
      </c>
      <c r="Y271">
        <v>3.61</v>
      </c>
      <c r="Z271" s="48">
        <f t="shared" si="25"/>
        <v>2.5568181818181879E-2</v>
      </c>
      <c r="AA271" s="5">
        <f>Z271-Y1274</f>
        <v>2.1350862348907745E-2</v>
      </c>
      <c r="AD271" s="1">
        <v>45627</v>
      </c>
      <c r="AE271">
        <v>104.13</v>
      </c>
      <c r="AF271" s="29">
        <f t="shared" si="26"/>
        <v>1.0574889444336932E-3</v>
      </c>
    </row>
    <row r="272" spans="1:32">
      <c r="A272" s="220">
        <v>45505</v>
      </c>
      <c r="B272" s="222">
        <v>59.01</v>
      </c>
      <c r="C272" s="227">
        <f t="shared" si="21"/>
        <v>-2.1393034825870627E-2</v>
      </c>
      <c r="D272" s="5">
        <f>C272-C1275</f>
        <v>-2.1471080395429516E-2</v>
      </c>
      <c r="F272" s="8"/>
      <c r="H272" s="1">
        <v>45536</v>
      </c>
      <c r="I272">
        <v>13.49</v>
      </c>
      <c r="J272" s="227">
        <f t="shared" si="22"/>
        <v>1.1244377811094441E-2</v>
      </c>
      <c r="K272" s="5">
        <f>J272-J1276</f>
        <v>9.1084218954844837E-3</v>
      </c>
      <c r="M272" s="241">
        <v>45597</v>
      </c>
      <c r="N272">
        <v>4780.24</v>
      </c>
      <c r="O272" s="227">
        <f t="shared" si="23"/>
        <v>-7.504447273419812E-4</v>
      </c>
      <c r="P272" s="5">
        <f>O272-O1278</f>
        <v>-3.8468752642880965E-4</v>
      </c>
      <c r="Q272" s="8">
        <f t="shared" si="27"/>
        <v>1.4798449298991612E-7</v>
      </c>
      <c r="S272" s="1">
        <v>45597</v>
      </c>
      <c r="T272">
        <v>3.25</v>
      </c>
      <c r="U272" s="29">
        <f t="shared" si="24"/>
        <v>1.2461059190031154E-2</v>
      </c>
      <c r="V272" s="5">
        <f>U272-V1274</f>
        <v>1.0724868414324115E-2</v>
      </c>
      <c r="X272" t="s">
        <v>445</v>
      </c>
      <c r="Y272">
        <v>3.7</v>
      </c>
      <c r="Z272" s="48">
        <f t="shared" si="25"/>
        <v>2.4930747922437657E-2</v>
      </c>
      <c r="AA272" s="5">
        <f>Z272-Y1274</f>
        <v>2.0713428453163523E-2</v>
      </c>
      <c r="AD272" s="1">
        <v>45597</v>
      </c>
      <c r="AE272">
        <v>103.98</v>
      </c>
      <c r="AF272" s="29">
        <f t="shared" si="26"/>
        <v>-1.4405070584845303E-3</v>
      </c>
    </row>
    <row r="273" spans="1:32">
      <c r="A273" s="220">
        <v>45413</v>
      </c>
      <c r="B273" s="222">
        <v>57.58</v>
      </c>
      <c r="C273" s="227">
        <f t="shared" si="21"/>
        <v>-2.4233180816810695E-2</v>
      </c>
      <c r="D273" s="5">
        <f>C273-C1275</f>
        <v>-2.4311226386369584E-2</v>
      </c>
      <c r="F273" s="8"/>
      <c r="H273" s="1">
        <v>45505</v>
      </c>
      <c r="I273">
        <v>13.55</v>
      </c>
      <c r="J273" s="227">
        <f t="shared" si="22"/>
        <v>4.4477390659747318E-3</v>
      </c>
      <c r="K273" s="5">
        <f>J273-J1276</f>
        <v>2.311783150364774E-3</v>
      </c>
      <c r="M273" s="241">
        <v>45566</v>
      </c>
      <c r="N273">
        <v>4783.45</v>
      </c>
      <c r="O273" s="227">
        <f t="shared" si="23"/>
        <v>6.7151440095059023E-4</v>
      </c>
      <c r="P273" s="5">
        <f>O273-O1278</f>
        <v>1.0372716018637617E-3</v>
      </c>
      <c r="Q273" s="8">
        <f t="shared" si="27"/>
        <v>1.0759323760330142E-6</v>
      </c>
      <c r="S273" s="1">
        <v>45566</v>
      </c>
      <c r="T273">
        <v>3.32</v>
      </c>
      <c r="U273" s="29">
        <f t="shared" si="24"/>
        <v>2.1538461538461506E-2</v>
      </c>
      <c r="V273" s="5">
        <f>U273-V1274</f>
        <v>1.9802270762754468E-2</v>
      </c>
      <c r="X273" t="s">
        <v>446</v>
      </c>
      <c r="Y273">
        <v>3.71</v>
      </c>
      <c r="Z273" s="48">
        <f t="shared" si="25"/>
        <v>2.7027027027026751E-3</v>
      </c>
      <c r="AA273" s="5">
        <f>Z273-Y1274</f>
        <v>-1.514616766571459E-3</v>
      </c>
      <c r="AD273" s="1">
        <v>45566</v>
      </c>
      <c r="AE273">
        <v>105.59</v>
      </c>
      <c r="AF273" s="29">
        <f t="shared" si="26"/>
        <v>1.5483746874398907E-2</v>
      </c>
    </row>
    <row r="274" spans="1:32">
      <c r="A274" s="220">
        <v>45383</v>
      </c>
      <c r="B274" s="222">
        <v>57.8</v>
      </c>
      <c r="C274" s="227">
        <f t="shared" ref="C274:C337" si="28">B274/B273-1</f>
        <v>3.8207711010767031E-3</v>
      </c>
      <c r="D274" s="5">
        <f>C274-C1275</f>
        <v>3.7427255315178138E-3</v>
      </c>
      <c r="F274" s="8"/>
      <c r="H274" s="1">
        <v>45413</v>
      </c>
      <c r="I274">
        <v>12.81</v>
      </c>
      <c r="J274" s="227">
        <f t="shared" si="22"/>
        <v>-5.4612546125461292E-2</v>
      </c>
      <c r="K274" s="5">
        <f>J274-J1276</f>
        <v>-5.674850204107125E-2</v>
      </c>
      <c r="M274" s="241">
        <v>45536</v>
      </c>
      <c r="N274">
        <v>4756.5</v>
      </c>
      <c r="O274" s="227">
        <f t="shared" si="23"/>
        <v>-5.6340089266114779E-3</v>
      </c>
      <c r="P274" s="5">
        <f>O274-O1278</f>
        <v>-5.268251725698306E-3</v>
      </c>
      <c r="Q274" s="8">
        <f t="shared" si="27"/>
        <v>2.7754476245323179E-5</v>
      </c>
      <c r="S274" s="1">
        <v>45536</v>
      </c>
      <c r="T274">
        <v>3.33</v>
      </c>
      <c r="U274" s="29">
        <f t="shared" si="24"/>
        <v>3.0120481927711218E-3</v>
      </c>
      <c r="V274" s="5">
        <f>U274-V1274</f>
        <v>1.2758574170640838E-3</v>
      </c>
      <c r="X274" t="s">
        <v>447</v>
      </c>
      <c r="Y274">
        <v>3.69</v>
      </c>
      <c r="Z274" s="48">
        <f t="shared" si="25"/>
        <v>-5.3908355795148077E-3</v>
      </c>
      <c r="AA274" s="5">
        <f>Z274-Y1274</f>
        <v>-9.6081550487889418E-3</v>
      </c>
      <c r="AD274" s="1">
        <v>45536</v>
      </c>
      <c r="AE274">
        <v>103.05</v>
      </c>
      <c r="AF274" s="29">
        <f t="shared" si="26"/>
        <v>-2.4055308267828424E-2</v>
      </c>
    </row>
    <row r="275" spans="1:32">
      <c r="A275" s="220">
        <v>45352</v>
      </c>
      <c r="B275" s="222">
        <v>58.25</v>
      </c>
      <c r="C275" s="227">
        <f t="shared" si="28"/>
        <v>7.7854671280277454E-3</v>
      </c>
      <c r="D275" s="5">
        <f>C275-C1275</f>
        <v>7.7074215584688561E-3</v>
      </c>
      <c r="F275" s="8"/>
      <c r="H275" s="1">
        <v>45383</v>
      </c>
      <c r="I275">
        <v>12.99</v>
      </c>
      <c r="J275" s="227">
        <f t="shared" si="22"/>
        <v>1.4051522248243575E-2</v>
      </c>
      <c r="K275" s="5">
        <f>J275-J1276</f>
        <v>1.1915566332633618E-2</v>
      </c>
      <c r="M275" s="241">
        <v>45505</v>
      </c>
      <c r="N275">
        <v>4763.54</v>
      </c>
      <c r="O275" s="227">
        <f t="shared" si="23"/>
        <v>1.4800798906760004E-3</v>
      </c>
      <c r="P275" s="5">
        <f>O275-O1278</f>
        <v>1.8458370915891719E-3</v>
      </c>
      <c r="Q275" s="8">
        <f t="shared" si="27"/>
        <v>3.4071145686863731E-6</v>
      </c>
      <c r="S275" s="1">
        <v>45505</v>
      </c>
      <c r="T275">
        <v>3.36</v>
      </c>
      <c r="U275" s="29">
        <f t="shared" si="24"/>
        <v>9.009009009008917E-3</v>
      </c>
      <c r="V275" s="5">
        <f>U275-V1274</f>
        <v>7.272818233301879E-3</v>
      </c>
      <c r="X275" t="s">
        <v>448</v>
      </c>
      <c r="Y275">
        <v>3.68</v>
      </c>
      <c r="Z275" s="48">
        <f t="shared" si="25"/>
        <v>-2.7100271002709064E-3</v>
      </c>
      <c r="AA275" s="5">
        <f>Z275-Y1274</f>
        <v>-6.9273465695450405E-3</v>
      </c>
      <c r="AD275" s="1">
        <v>45505</v>
      </c>
      <c r="AE275">
        <v>98.52</v>
      </c>
      <c r="AF275" s="29">
        <f t="shared" si="26"/>
        <v>-4.3959243085880617E-2</v>
      </c>
    </row>
    <row r="276" spans="1:32">
      <c r="A276" s="220">
        <v>45323</v>
      </c>
      <c r="B276" s="222">
        <v>58.38</v>
      </c>
      <c r="C276" s="227">
        <f t="shared" si="28"/>
        <v>2.2317596566523434E-3</v>
      </c>
      <c r="D276" s="5">
        <f>C276-C1275</f>
        <v>2.1537140870934541E-3</v>
      </c>
      <c r="F276" s="8"/>
      <c r="H276" s="1">
        <v>45352</v>
      </c>
      <c r="I276">
        <v>13.25</v>
      </c>
      <c r="J276" s="227">
        <f t="shared" ref="J276:J339" si="29">I276/I275-1</f>
        <v>2.0015396458814561E-2</v>
      </c>
      <c r="K276" s="5">
        <f>J276-J1276</f>
        <v>1.7879440543204603E-2</v>
      </c>
      <c r="M276" s="241">
        <v>45413</v>
      </c>
      <c r="N276">
        <v>4697.24</v>
      </c>
      <c r="O276" s="227">
        <f t="shared" si="23"/>
        <v>-1.3918220483086108E-2</v>
      </c>
      <c r="P276" s="5">
        <f>O276-O1278</f>
        <v>-1.3552463282172937E-2</v>
      </c>
      <c r="Q276" s="8">
        <f t="shared" si="27"/>
        <v>1.8366926101464565E-4</v>
      </c>
      <c r="S276" s="1">
        <v>45413</v>
      </c>
      <c r="T276">
        <v>3.27</v>
      </c>
      <c r="U276" s="29">
        <f t="shared" si="24"/>
        <v>-2.6785714285714191E-2</v>
      </c>
      <c r="V276" s="5">
        <f>U276-V1274</f>
        <v>-2.8521905061421229E-2</v>
      </c>
      <c r="X276" t="s">
        <v>449</v>
      </c>
      <c r="Y276">
        <v>3.5</v>
      </c>
      <c r="Z276" s="48">
        <f t="shared" si="25"/>
        <v>-4.8913043478260865E-2</v>
      </c>
      <c r="AA276" s="5">
        <f>Z276-Y1274</f>
        <v>-5.3130362947534995E-2</v>
      </c>
      <c r="AD276" s="1">
        <v>45413</v>
      </c>
      <c r="AE276">
        <v>94.81</v>
      </c>
      <c r="AF276" s="29">
        <f t="shared" si="26"/>
        <v>-3.7657328461226047E-2</v>
      </c>
    </row>
    <row r="277" spans="1:32">
      <c r="A277" s="3" t="s">
        <v>454</v>
      </c>
      <c r="B277" s="222">
        <v>61.57</v>
      </c>
      <c r="C277" s="227">
        <f t="shared" si="28"/>
        <v>5.4642000685166003E-2</v>
      </c>
      <c r="D277" s="5">
        <f>C277-C1275</f>
        <v>5.4563955115607111E-2</v>
      </c>
      <c r="F277" s="8"/>
      <c r="H277" s="1">
        <v>45323</v>
      </c>
      <c r="I277">
        <v>13.8</v>
      </c>
      <c r="J277" s="227">
        <f t="shared" si="29"/>
        <v>4.1509433962264142E-2</v>
      </c>
      <c r="K277" s="5">
        <f>J277-J1276</f>
        <v>3.9373478046654184E-2</v>
      </c>
      <c r="M277" s="241">
        <v>45383</v>
      </c>
      <c r="N277">
        <v>4688.68</v>
      </c>
      <c r="O277" s="227">
        <f t="shared" si="23"/>
        <v>-1.8223467397875392E-3</v>
      </c>
      <c r="P277" s="5">
        <f>O277-O1278</f>
        <v>-1.4565895388743678E-3</v>
      </c>
      <c r="Q277" s="8">
        <f t="shared" si="27"/>
        <v>2.1216530847582432E-6</v>
      </c>
      <c r="S277" s="1">
        <v>45383</v>
      </c>
      <c r="T277">
        <v>3.25</v>
      </c>
      <c r="U277" s="29">
        <f t="shared" si="24"/>
        <v>-6.1162079510703737E-3</v>
      </c>
      <c r="V277" s="5">
        <f>U277-V1274</f>
        <v>-7.8523987267774126E-3</v>
      </c>
      <c r="X277" t="s">
        <v>450</v>
      </c>
      <c r="Y277">
        <v>3.71</v>
      </c>
      <c r="Z277" s="48">
        <f t="shared" si="25"/>
        <v>6.0000000000000053E-2</v>
      </c>
      <c r="AA277" s="5">
        <f>Z277-Y1274</f>
        <v>5.5782680530725923E-2</v>
      </c>
      <c r="AD277" s="1">
        <v>45383</v>
      </c>
      <c r="AE277">
        <v>93.9</v>
      </c>
      <c r="AF277" s="29">
        <f t="shared" si="26"/>
        <v>-9.5981436557325273E-3</v>
      </c>
    </row>
    <row r="278" spans="1:32">
      <c r="A278" s="3" t="s">
        <v>455</v>
      </c>
      <c r="B278" s="222">
        <v>63.14</v>
      </c>
      <c r="C278" s="227">
        <f t="shared" si="28"/>
        <v>2.5499431541335049E-2</v>
      </c>
      <c r="D278" s="5">
        <f>C278-C1275</f>
        <v>2.5421385971776161E-2</v>
      </c>
      <c r="E278" s="1"/>
      <c r="F278" s="8"/>
      <c r="H278" t="s">
        <v>454</v>
      </c>
      <c r="I278">
        <v>14.99</v>
      </c>
      <c r="J278" s="227">
        <f t="shared" si="29"/>
        <v>8.6231884057970998E-2</v>
      </c>
      <c r="K278" s="5">
        <f>J278-J1276</f>
        <v>8.409592814236104E-2</v>
      </c>
      <c r="M278" s="241">
        <v>45352</v>
      </c>
      <c r="N278">
        <v>4704.8100000000004</v>
      </c>
      <c r="O278" s="227">
        <f t="shared" ref="O278:O341" si="30">N278/N277-1</f>
        <v>3.440200653488823E-3</v>
      </c>
      <c r="P278" s="5">
        <f>O278-O1278</f>
        <v>3.8059578544019945E-3</v>
      </c>
      <c r="Q278" s="8">
        <f t="shared" si="27"/>
        <v>1.4485315189484233E-5</v>
      </c>
      <c r="S278" s="1">
        <v>45352</v>
      </c>
      <c r="T278">
        <v>3.2850000000000001</v>
      </c>
      <c r="U278" s="29">
        <f t="shared" ref="U278:U341" si="31">T278/T277-1</f>
        <v>1.0769230769230864E-2</v>
      </c>
      <c r="V278" s="5">
        <f>U278-V1274</f>
        <v>9.0330399935238254E-3</v>
      </c>
      <c r="X278" t="s">
        <v>451</v>
      </c>
      <c r="Y278">
        <v>3.77</v>
      </c>
      <c r="Z278" s="48">
        <f t="shared" ref="Z278:Z341" si="32">Y278/Y277-1</f>
        <v>1.6172506738544534E-2</v>
      </c>
      <c r="AA278" s="5">
        <f>Z278-Y1274</f>
        <v>1.19551872692704E-2</v>
      </c>
      <c r="AD278" s="1">
        <v>45352</v>
      </c>
      <c r="AE278">
        <v>93.77</v>
      </c>
      <c r="AF278" s="29">
        <f t="shared" ref="AF278:AF341" si="33">AE278/AE277-1</f>
        <v>-1.3844515441960858E-3</v>
      </c>
    </row>
    <row r="279" spans="1:32">
      <c r="A279" s="3" t="s">
        <v>456</v>
      </c>
      <c r="B279" s="222">
        <v>63.28</v>
      </c>
      <c r="C279" s="227">
        <f t="shared" si="28"/>
        <v>2.2172949002217113E-3</v>
      </c>
      <c r="D279" s="5">
        <f>C279-C1275</f>
        <v>2.139249330662822E-3</v>
      </c>
      <c r="E279" s="1"/>
      <c r="F279" s="8"/>
      <c r="H279" t="s">
        <v>455</v>
      </c>
      <c r="I279">
        <v>15.54</v>
      </c>
      <c r="J279" s="227">
        <f t="shared" si="29"/>
        <v>3.6691127418278846E-2</v>
      </c>
      <c r="K279" s="5">
        <f>J279-J1276</f>
        <v>3.4555171502668888E-2</v>
      </c>
      <c r="M279" s="241">
        <v>45323</v>
      </c>
      <c r="N279">
        <v>4742.83</v>
      </c>
      <c r="O279" s="227">
        <f t="shared" si="30"/>
        <v>8.0810914787206034E-3</v>
      </c>
      <c r="P279" s="5">
        <f>O279-O1278</f>
        <v>8.4468486796337745E-3</v>
      </c>
      <c r="Q279" s="8">
        <f t="shared" ref="Q279:Q342" si="34">P279*P279</f>
        <v>7.1349252616630845E-5</v>
      </c>
      <c r="S279" s="1">
        <v>45323</v>
      </c>
      <c r="T279">
        <v>3.3</v>
      </c>
      <c r="U279" s="29">
        <f t="shared" si="31"/>
        <v>4.5662100456620447E-3</v>
      </c>
      <c r="V279" s="5">
        <f>U279-V1274</f>
        <v>2.8300192699550067E-3</v>
      </c>
      <c r="X279" t="s">
        <v>452</v>
      </c>
      <c r="Y279">
        <v>3.7</v>
      </c>
      <c r="Z279" s="48">
        <f t="shared" si="32"/>
        <v>-1.8567639257294433E-2</v>
      </c>
      <c r="AA279" s="5">
        <f>Z279-Y1274</f>
        <v>-2.2784958726568567E-2</v>
      </c>
      <c r="AD279" s="1">
        <v>45323</v>
      </c>
      <c r="AE279">
        <v>96.46</v>
      </c>
      <c r="AF279" s="29">
        <f t="shared" si="33"/>
        <v>2.8687213394475775E-2</v>
      </c>
    </row>
    <row r="280" spans="1:32">
      <c r="A280" s="3" t="s">
        <v>457</v>
      </c>
      <c r="B280" s="222">
        <v>61.98</v>
      </c>
      <c r="C280" s="227">
        <f t="shared" si="28"/>
        <v>-2.0543615676359095E-2</v>
      </c>
      <c r="D280" s="5">
        <f>C280-C1275</f>
        <v>-2.0621661245917983E-2</v>
      </c>
      <c r="E280" s="1"/>
      <c r="F280" s="8"/>
      <c r="H280" t="s">
        <v>456</v>
      </c>
      <c r="I280">
        <v>15.22</v>
      </c>
      <c r="J280" s="227">
        <f t="shared" si="29"/>
        <v>-2.0592020592020477E-2</v>
      </c>
      <c r="K280" s="5">
        <f>J280-J1276</f>
        <v>-2.2727976507630435E-2</v>
      </c>
      <c r="M280" s="240" t="s">
        <v>454</v>
      </c>
      <c r="N280">
        <v>4769.83</v>
      </c>
      <c r="O280" s="227">
        <f t="shared" si="30"/>
        <v>5.6928036636354484E-3</v>
      </c>
      <c r="P280" s="5">
        <f>O280-O1278</f>
        <v>6.0585608645486204E-3</v>
      </c>
      <c r="Q280" s="8">
        <f t="shared" si="34"/>
        <v>3.6706159749440127E-5</v>
      </c>
      <c r="S280" t="s">
        <v>454</v>
      </c>
      <c r="T280">
        <v>3.37</v>
      </c>
      <c r="U280" s="29">
        <f t="shared" si="31"/>
        <v>2.1212121212121238E-2</v>
      </c>
      <c r="V280" s="5">
        <f>U280-V1274</f>
        <v>1.9475930436414199E-2</v>
      </c>
      <c r="X280" t="s">
        <v>453</v>
      </c>
      <c r="Y280">
        <v>3.9</v>
      </c>
      <c r="Z280" s="48">
        <f t="shared" si="32"/>
        <v>5.4054054054053946E-2</v>
      </c>
      <c r="AA280" s="5">
        <f>Z280-Y1274</f>
        <v>4.9836734584779815E-2</v>
      </c>
      <c r="AD280" t="s">
        <v>454</v>
      </c>
      <c r="AE280">
        <v>98.89</v>
      </c>
      <c r="AF280" s="29">
        <f t="shared" si="33"/>
        <v>2.5191789342732918E-2</v>
      </c>
    </row>
    <row r="281" spans="1:32">
      <c r="A281" s="3" t="s">
        <v>458</v>
      </c>
      <c r="B281" s="222">
        <v>61.71</v>
      </c>
      <c r="C281" s="227">
        <f t="shared" si="28"/>
        <v>-4.3562439496611649E-3</v>
      </c>
      <c r="D281" s="5">
        <f>C281-C1275</f>
        <v>-4.4342895192200542E-3</v>
      </c>
      <c r="E281" s="1"/>
      <c r="F281" s="8"/>
      <c r="H281" t="s">
        <v>457</v>
      </c>
      <c r="I281">
        <v>15.32</v>
      </c>
      <c r="J281" s="227">
        <f t="shared" si="29"/>
        <v>6.5703022339027584E-3</v>
      </c>
      <c r="K281" s="5">
        <f>J281-J1276</f>
        <v>4.4343463182928006E-3</v>
      </c>
      <c r="M281" s="240" t="s">
        <v>455</v>
      </c>
      <c r="N281">
        <v>4783.3500000000004</v>
      </c>
      <c r="O281" s="227">
        <f t="shared" si="30"/>
        <v>2.8344825706576593E-3</v>
      </c>
      <c r="P281" s="5">
        <f>O281-O1278</f>
        <v>3.2002397715708308E-3</v>
      </c>
      <c r="Q281" s="8">
        <f t="shared" si="34"/>
        <v>1.0241534595543724E-5</v>
      </c>
      <c r="S281" t="s">
        <v>455</v>
      </c>
      <c r="T281">
        <v>3.25</v>
      </c>
      <c r="U281" s="29">
        <f t="shared" si="31"/>
        <v>-3.5608308605341255E-2</v>
      </c>
      <c r="V281" s="5">
        <f>U281-V1274</f>
        <v>-3.7344499381048293E-2</v>
      </c>
      <c r="X281" s="1">
        <v>45627</v>
      </c>
      <c r="Y281">
        <v>4.03</v>
      </c>
      <c r="Z281" s="48">
        <f t="shared" si="32"/>
        <v>3.3333333333333437E-2</v>
      </c>
      <c r="AA281" s="5">
        <f>Z281-Y1274</f>
        <v>2.9116013864059303E-2</v>
      </c>
      <c r="AD281" t="s">
        <v>455</v>
      </c>
      <c r="AE281">
        <v>100.21</v>
      </c>
      <c r="AF281" s="29">
        <f t="shared" si="33"/>
        <v>1.3348164627363657E-2</v>
      </c>
    </row>
    <row r="282" spans="1:32">
      <c r="A282" s="3" t="s">
        <v>459</v>
      </c>
      <c r="B282" s="222">
        <v>61.46</v>
      </c>
      <c r="C282" s="227">
        <f t="shared" si="28"/>
        <v>-4.0512072597633786E-3</v>
      </c>
      <c r="D282" s="5">
        <f>C282-C1275</f>
        <v>-4.1292528293222679E-3</v>
      </c>
      <c r="E282" s="1"/>
      <c r="F282" s="8"/>
      <c r="H282" t="s">
        <v>458</v>
      </c>
      <c r="I282">
        <v>15.35</v>
      </c>
      <c r="J282" s="227">
        <f t="shared" si="29"/>
        <v>1.958224543080922E-3</v>
      </c>
      <c r="K282" s="5">
        <f>J282-J1276</f>
        <v>-1.7773137252903581E-4</v>
      </c>
      <c r="M282" s="240" t="s">
        <v>456</v>
      </c>
      <c r="N282">
        <v>4781.58</v>
      </c>
      <c r="O282" s="227">
        <f t="shared" si="30"/>
        <v>-3.7003355389009229E-4</v>
      </c>
      <c r="P282" s="5">
        <f>O282-O1278</f>
        <v>-4.2763529769207476E-6</v>
      </c>
      <c r="Q282" s="8">
        <f t="shared" si="34"/>
        <v>1.828719478321894E-11</v>
      </c>
      <c r="S282" t="s">
        <v>456</v>
      </c>
      <c r="T282">
        <v>3.27</v>
      </c>
      <c r="U282" s="29">
        <f t="shared" si="31"/>
        <v>6.1538461538461764E-3</v>
      </c>
      <c r="V282" s="5">
        <f>U282-V1274</f>
        <v>4.4176553781391384E-3</v>
      </c>
      <c r="X282" s="1">
        <v>45597</v>
      </c>
      <c r="Y282">
        <v>3.92</v>
      </c>
      <c r="Z282" s="48">
        <f t="shared" si="32"/>
        <v>-2.7295285359801524E-2</v>
      </c>
      <c r="AA282" s="5">
        <f>Z282-Y1274</f>
        <v>-3.1512604829075655E-2</v>
      </c>
      <c r="AD282" t="s">
        <v>456</v>
      </c>
      <c r="AE282">
        <v>100.69</v>
      </c>
      <c r="AF282" s="29">
        <f t="shared" si="33"/>
        <v>4.7899411236402845E-3</v>
      </c>
    </row>
    <row r="283" spans="1:32">
      <c r="A283" s="3" t="s">
        <v>460</v>
      </c>
      <c r="B283" s="222">
        <v>60.68</v>
      </c>
      <c r="C283" s="227">
        <f t="shared" si="28"/>
        <v>-1.269118125610158E-2</v>
      </c>
      <c r="D283" s="5">
        <f>C283-C1275</f>
        <v>-1.2769226825660469E-2</v>
      </c>
      <c r="E283" s="1"/>
      <c r="F283" s="8"/>
      <c r="H283" t="s">
        <v>459</v>
      </c>
      <c r="I283">
        <v>15.59</v>
      </c>
      <c r="J283" s="227">
        <f t="shared" si="29"/>
        <v>1.5635179153094425E-2</v>
      </c>
      <c r="K283" s="5">
        <f>J283-J1276</f>
        <v>1.3499223237484467E-2</v>
      </c>
      <c r="M283" s="240" t="s">
        <v>457</v>
      </c>
      <c r="N283">
        <v>4774.75</v>
      </c>
      <c r="O283" s="227">
        <f t="shared" si="30"/>
        <v>-1.4283981445463168E-3</v>
      </c>
      <c r="P283" s="5">
        <f>O283-O1278</f>
        <v>-1.0626409436331453E-3</v>
      </c>
      <c r="Q283" s="8">
        <f t="shared" si="34"/>
        <v>1.1292057750855414E-6</v>
      </c>
      <c r="S283" t="s">
        <v>457</v>
      </c>
      <c r="T283">
        <v>3.26</v>
      </c>
      <c r="U283" s="29">
        <f t="shared" si="31"/>
        <v>-3.0581039755351869E-3</v>
      </c>
      <c r="V283" s="5">
        <f>U283-V1274</f>
        <v>-4.7942947512422248E-3</v>
      </c>
      <c r="X283" s="1">
        <v>45566</v>
      </c>
      <c r="Y283">
        <v>3.9</v>
      </c>
      <c r="Z283" s="48">
        <f t="shared" si="32"/>
        <v>-5.1020408163264808E-3</v>
      </c>
      <c r="AA283" s="5">
        <f>Z283-Y1274</f>
        <v>-9.3193602856006148E-3</v>
      </c>
      <c r="AD283" t="s">
        <v>457</v>
      </c>
      <c r="AE283">
        <v>99.86</v>
      </c>
      <c r="AF283" s="29">
        <f t="shared" si="33"/>
        <v>-8.2431224550600923E-3</v>
      </c>
    </row>
    <row r="284" spans="1:32">
      <c r="A284" s="3" t="s">
        <v>461</v>
      </c>
      <c r="B284" s="222">
        <v>62.12</v>
      </c>
      <c r="C284" s="227">
        <f t="shared" si="28"/>
        <v>2.3731048121292009E-2</v>
      </c>
      <c r="D284" s="5">
        <f>C284-C1275</f>
        <v>2.365300255173312E-2</v>
      </c>
      <c r="E284" s="1"/>
      <c r="F284" s="8"/>
      <c r="H284" t="s">
        <v>460</v>
      </c>
      <c r="I284">
        <v>15.06</v>
      </c>
      <c r="J284" s="227">
        <f t="shared" si="29"/>
        <v>-3.3996151379089068E-2</v>
      </c>
      <c r="K284" s="5">
        <f>J284-J1276</f>
        <v>-3.6132107294699026E-2</v>
      </c>
      <c r="M284" s="240" t="s">
        <v>458</v>
      </c>
      <c r="N284">
        <v>4754.63</v>
      </c>
      <c r="O284" s="227">
        <f t="shared" si="30"/>
        <v>-4.2138331849834731E-3</v>
      </c>
      <c r="P284" s="5">
        <f>O284-O1278</f>
        <v>-3.8480759840703017E-3</v>
      </c>
      <c r="Q284" s="8">
        <f t="shared" si="34"/>
        <v>1.4807688779178621E-5</v>
      </c>
      <c r="S284" t="s">
        <v>458</v>
      </c>
      <c r="T284">
        <v>3.22</v>
      </c>
      <c r="U284" s="29">
        <f t="shared" si="31"/>
        <v>-1.2269938650306678E-2</v>
      </c>
      <c r="V284" s="5">
        <f>U284-V1274</f>
        <v>-1.4006129426013716E-2</v>
      </c>
      <c r="X284" s="1">
        <v>45536</v>
      </c>
      <c r="Y284">
        <v>3.89</v>
      </c>
      <c r="Z284" s="48">
        <f t="shared" si="32"/>
        <v>-2.564102564102555E-3</v>
      </c>
      <c r="AA284" s="5">
        <f>Z284-Y1274</f>
        <v>-6.7814220333766891E-3</v>
      </c>
      <c r="AD284" t="s">
        <v>458</v>
      </c>
      <c r="AE284">
        <v>100.53</v>
      </c>
      <c r="AF284" s="29">
        <f t="shared" si="33"/>
        <v>6.7093931504105253E-3</v>
      </c>
    </row>
    <row r="285" spans="1:32">
      <c r="A285" s="3" t="s">
        <v>462</v>
      </c>
      <c r="B285" s="222">
        <v>61.73</v>
      </c>
      <c r="C285" s="227">
        <f t="shared" si="28"/>
        <v>-6.2781712813908541E-3</v>
      </c>
      <c r="D285" s="5">
        <f>C285-C1275</f>
        <v>-6.3562168509497434E-3</v>
      </c>
      <c r="E285" s="1"/>
      <c r="F285" s="8"/>
      <c r="H285" t="s">
        <v>461</v>
      </c>
      <c r="I285">
        <v>15.07</v>
      </c>
      <c r="J285" s="227">
        <f t="shared" si="29"/>
        <v>6.6401062416998613E-4</v>
      </c>
      <c r="K285" s="5">
        <f>J285-J1276</f>
        <v>-1.4719452914399717E-3</v>
      </c>
      <c r="M285" s="240" t="s">
        <v>459</v>
      </c>
      <c r="N285">
        <v>4746.75</v>
      </c>
      <c r="O285" s="227">
        <f t="shared" si="30"/>
        <v>-1.6573319059527414E-3</v>
      </c>
      <c r="P285" s="5">
        <f>O285-O1278</f>
        <v>-1.2915747050395699E-3</v>
      </c>
      <c r="Q285" s="8">
        <f t="shared" si="34"/>
        <v>1.6681652186980519E-6</v>
      </c>
      <c r="S285" t="s">
        <v>459</v>
      </c>
      <c r="T285">
        <v>3.26</v>
      </c>
      <c r="U285" s="29">
        <f t="shared" si="31"/>
        <v>1.2422360248447006E-2</v>
      </c>
      <c r="V285" s="5">
        <f>U285-V1274</f>
        <v>1.0686169472739968E-2</v>
      </c>
      <c r="X285" s="1">
        <v>45505</v>
      </c>
      <c r="Y285">
        <v>3.96</v>
      </c>
      <c r="Z285" s="48">
        <f t="shared" si="32"/>
        <v>1.799485861182526E-2</v>
      </c>
      <c r="AA285" s="5">
        <f>Z285-Y1274</f>
        <v>1.3777539142551126E-2</v>
      </c>
      <c r="AD285" t="s">
        <v>459</v>
      </c>
      <c r="AE285">
        <v>100.56</v>
      </c>
      <c r="AF285" s="29">
        <f t="shared" si="33"/>
        <v>2.9841838257227415E-4</v>
      </c>
    </row>
    <row r="286" spans="1:32">
      <c r="A286" s="3" t="s">
        <v>463</v>
      </c>
      <c r="B286" s="222">
        <v>61.86</v>
      </c>
      <c r="C286" s="227">
        <f t="shared" si="28"/>
        <v>2.1059452454237348E-3</v>
      </c>
      <c r="D286" s="5">
        <f>C286-C1275</f>
        <v>2.0278996758648455E-3</v>
      </c>
      <c r="F286" s="8"/>
      <c r="H286" t="s">
        <v>462</v>
      </c>
      <c r="I286">
        <v>15.64</v>
      </c>
      <c r="J286" s="227">
        <f t="shared" si="29"/>
        <v>3.7823490378234847E-2</v>
      </c>
      <c r="K286" s="5">
        <f>J286-J1276</f>
        <v>3.568753446262489E-2</v>
      </c>
      <c r="M286" s="240" t="s">
        <v>460</v>
      </c>
      <c r="N286">
        <v>4698.3500000000004</v>
      </c>
      <c r="O286" s="227">
        <f t="shared" si="30"/>
        <v>-1.0196450202770269E-2</v>
      </c>
      <c r="P286" s="5">
        <f>O286-O1278</f>
        <v>-9.8306930018570975E-3</v>
      </c>
      <c r="Q286" s="8">
        <f t="shared" si="34"/>
        <v>9.664252489676211E-5</v>
      </c>
      <c r="S286" t="s">
        <v>460</v>
      </c>
      <c r="T286">
        <v>3.17</v>
      </c>
      <c r="U286" s="29">
        <f t="shared" si="31"/>
        <v>-2.7607361963190136E-2</v>
      </c>
      <c r="V286" s="5">
        <f>U286-V1274</f>
        <v>-2.9343552738897175E-2</v>
      </c>
      <c r="X286" s="1">
        <v>45413</v>
      </c>
      <c r="Y286">
        <v>3.95</v>
      </c>
      <c r="Z286" s="48">
        <f t="shared" si="32"/>
        <v>-2.525252525252486E-3</v>
      </c>
      <c r="AA286" s="5">
        <f>Z286-Y1274</f>
        <v>-6.7425719945266201E-3</v>
      </c>
      <c r="AD286" t="s">
        <v>460</v>
      </c>
      <c r="AE286">
        <v>98.72</v>
      </c>
      <c r="AF286" s="29">
        <f t="shared" si="33"/>
        <v>-1.8297533810660349E-2</v>
      </c>
    </row>
    <row r="287" spans="1:32">
      <c r="A287" s="3" t="s">
        <v>464</v>
      </c>
      <c r="B287" s="222">
        <v>62.5</v>
      </c>
      <c r="C287" s="227">
        <f t="shared" si="28"/>
        <v>1.0345942450695089E-2</v>
      </c>
      <c r="D287" s="5">
        <f>C287-C1275</f>
        <v>1.0267896881136201E-2</v>
      </c>
      <c r="F287" s="8"/>
      <c r="H287" t="s">
        <v>463</v>
      </c>
      <c r="I287">
        <v>15.55</v>
      </c>
      <c r="J287" s="227">
        <f t="shared" si="29"/>
        <v>-5.7544757033247684E-3</v>
      </c>
      <c r="K287" s="5">
        <f>J287-J1276</f>
        <v>-7.8904316189347262E-3</v>
      </c>
      <c r="M287" s="240" t="s">
        <v>461</v>
      </c>
      <c r="N287">
        <v>4768.37</v>
      </c>
      <c r="O287" s="227">
        <f t="shared" si="30"/>
        <v>1.4903104281290158E-2</v>
      </c>
      <c r="P287" s="5">
        <f>O287-O1278</f>
        <v>1.5268861482203329E-2</v>
      </c>
      <c r="Q287" s="8">
        <f t="shared" si="34"/>
        <v>2.3313813096271244E-4</v>
      </c>
      <c r="S287" t="s">
        <v>461</v>
      </c>
      <c r="T287">
        <v>3.25</v>
      </c>
      <c r="U287" s="29">
        <f t="shared" si="31"/>
        <v>2.5236593059936974E-2</v>
      </c>
      <c r="V287" s="5">
        <f>U287-V1274</f>
        <v>2.3500402284229935E-2</v>
      </c>
      <c r="X287" s="1">
        <v>45383</v>
      </c>
      <c r="Y287">
        <v>4</v>
      </c>
      <c r="Z287" s="48">
        <f t="shared" si="32"/>
        <v>1.2658227848101111E-2</v>
      </c>
      <c r="AA287" s="5">
        <f>Z287-Y1274</f>
        <v>8.4409083788269772E-3</v>
      </c>
      <c r="AD287" t="s">
        <v>461</v>
      </c>
      <c r="AE287">
        <v>101.46</v>
      </c>
      <c r="AF287" s="29">
        <f t="shared" si="33"/>
        <v>2.7755267423014596E-2</v>
      </c>
    </row>
    <row r="288" spans="1:32">
      <c r="A288" s="3" t="s">
        <v>465</v>
      </c>
      <c r="B288" s="222">
        <v>61.97</v>
      </c>
      <c r="C288" s="227">
        <f t="shared" si="28"/>
        <v>-8.4800000000000431E-3</v>
      </c>
      <c r="D288" s="5">
        <f>C288-C1275</f>
        <v>-8.5580455695589315E-3</v>
      </c>
      <c r="F288" s="8"/>
      <c r="H288" t="s">
        <v>464</v>
      </c>
      <c r="I288">
        <v>15.23</v>
      </c>
      <c r="J288" s="227">
        <f t="shared" si="29"/>
        <v>-2.057877813504827E-2</v>
      </c>
      <c r="K288" s="5">
        <f>J288-J1276</f>
        <v>-2.2714734050658228E-2</v>
      </c>
      <c r="M288" s="240" t="s">
        <v>462</v>
      </c>
      <c r="N288">
        <v>4740.5600000000004</v>
      </c>
      <c r="O288" s="227">
        <f t="shared" si="30"/>
        <v>-5.832181646977741E-3</v>
      </c>
      <c r="P288" s="5">
        <f>O288-O1278</f>
        <v>-5.4664244460645691E-3</v>
      </c>
      <c r="Q288" s="8">
        <f t="shared" si="34"/>
        <v>2.9881796224532332E-5</v>
      </c>
      <c r="S288" t="s">
        <v>462</v>
      </c>
      <c r="T288">
        <v>3.16</v>
      </c>
      <c r="U288" s="29">
        <f t="shared" si="31"/>
        <v>-2.7692307692307683E-2</v>
      </c>
      <c r="V288" s="5">
        <f>U288-V1274</f>
        <v>-2.9428498468014722E-2</v>
      </c>
      <c r="X288" s="1">
        <v>45352</v>
      </c>
      <c r="Y288">
        <v>3.8</v>
      </c>
      <c r="Z288" s="48">
        <f t="shared" si="32"/>
        <v>-5.0000000000000044E-2</v>
      </c>
      <c r="AA288" s="5">
        <f>Z288-Y1274</f>
        <v>-5.4217319469274175E-2</v>
      </c>
      <c r="AD288" t="s">
        <v>462</v>
      </c>
      <c r="AE288">
        <v>102.71</v>
      </c>
      <c r="AF288" s="29">
        <f t="shared" si="33"/>
        <v>1.232012615809186E-2</v>
      </c>
    </row>
    <row r="289" spans="1:32">
      <c r="A289" s="220">
        <v>45272</v>
      </c>
      <c r="B289" s="222">
        <v>62.72</v>
      </c>
      <c r="C289" s="227">
        <f t="shared" si="28"/>
        <v>1.2102630304986262E-2</v>
      </c>
      <c r="D289" s="5">
        <f>C289-C1275</f>
        <v>1.2024584735427373E-2</v>
      </c>
      <c r="F289" s="8"/>
      <c r="H289" t="s">
        <v>465</v>
      </c>
      <c r="I289">
        <v>14.67</v>
      </c>
      <c r="J289" s="227">
        <f t="shared" si="29"/>
        <v>-3.6769533814839162E-2</v>
      </c>
      <c r="K289" s="5">
        <f>J289-J1276</f>
        <v>-3.8905489730449119E-2</v>
      </c>
      <c r="M289" s="240" t="s">
        <v>463</v>
      </c>
      <c r="N289">
        <v>4719.1899999999996</v>
      </c>
      <c r="O289" s="227">
        <f t="shared" si="30"/>
        <v>-4.5079062389254965E-3</v>
      </c>
      <c r="P289" s="5">
        <f>O289-O1278</f>
        <v>-4.1421490380123245E-3</v>
      </c>
      <c r="Q289" s="8">
        <f t="shared" si="34"/>
        <v>1.7157398653106425E-5</v>
      </c>
      <c r="S289" t="s">
        <v>463</v>
      </c>
      <c r="T289">
        <v>3.15</v>
      </c>
      <c r="U289" s="29">
        <f t="shared" si="31"/>
        <v>-3.1645569620254443E-3</v>
      </c>
      <c r="V289" s="5">
        <f>U289-V1274</f>
        <v>-4.9007477377324823E-3</v>
      </c>
      <c r="X289" s="1">
        <v>45323</v>
      </c>
      <c r="Y289">
        <v>3.86</v>
      </c>
      <c r="Z289" s="48">
        <f t="shared" si="32"/>
        <v>1.5789473684210575E-2</v>
      </c>
      <c r="AA289" s="5">
        <f>Z289-Y1274</f>
        <v>1.1572154214936441E-2</v>
      </c>
      <c r="AD289" t="s">
        <v>463</v>
      </c>
      <c r="AE289">
        <v>101.57</v>
      </c>
      <c r="AF289" s="29">
        <f t="shared" si="33"/>
        <v>-1.109921137182357E-2</v>
      </c>
    </row>
    <row r="290" spans="1:32">
      <c r="A290" s="220">
        <v>45242</v>
      </c>
      <c r="B290" s="222">
        <v>62.46</v>
      </c>
      <c r="C290" s="227">
        <f t="shared" si="28"/>
        <v>-4.1454081632652517E-3</v>
      </c>
      <c r="D290" s="5">
        <f>C290-C1275</f>
        <v>-4.2234537328241411E-3</v>
      </c>
      <c r="F290" s="8"/>
      <c r="H290" s="1">
        <v>45272</v>
      </c>
      <c r="I290">
        <v>13.97</v>
      </c>
      <c r="J290" s="227">
        <f t="shared" si="29"/>
        <v>-4.7716428084526141E-2</v>
      </c>
      <c r="K290" s="5">
        <f>J290-J1276</f>
        <v>-4.9852384000136099E-2</v>
      </c>
      <c r="M290" s="240" t="s">
        <v>464</v>
      </c>
      <c r="N290">
        <v>4719.55</v>
      </c>
      <c r="O290" s="227">
        <f t="shared" si="30"/>
        <v>7.6284277598537287E-5</v>
      </c>
      <c r="P290" s="5">
        <f>O290-O1278</f>
        <v>4.4204147851170883E-4</v>
      </c>
      <c r="Q290" s="8">
        <f t="shared" si="34"/>
        <v>1.9540066872481753E-7</v>
      </c>
      <c r="S290" t="s">
        <v>464</v>
      </c>
      <c r="T290">
        <v>3.14</v>
      </c>
      <c r="U290" s="29">
        <f t="shared" si="31"/>
        <v>-3.1746031746030523E-3</v>
      </c>
      <c r="V290" s="5">
        <f>U290-V1274</f>
        <v>-4.9107939503100903E-3</v>
      </c>
      <c r="X290" t="s">
        <v>454</v>
      </c>
      <c r="Y290">
        <v>3.95</v>
      </c>
      <c r="Z290" s="48">
        <f t="shared" si="32"/>
        <v>2.3316062176165886E-2</v>
      </c>
      <c r="AA290" s="5">
        <f>Z290-Y1274</f>
        <v>1.9098742706891752E-2</v>
      </c>
      <c r="AD290" t="s">
        <v>464</v>
      </c>
      <c r="AE290">
        <v>101.76</v>
      </c>
      <c r="AF290" s="29">
        <f t="shared" si="33"/>
        <v>1.8706310918579216E-3</v>
      </c>
    </row>
    <row r="291" spans="1:32">
      <c r="A291" s="220">
        <v>45150</v>
      </c>
      <c r="B291" s="222">
        <v>61.7</v>
      </c>
      <c r="C291" s="227">
        <f t="shared" si="28"/>
        <v>-1.2167787383925655E-2</v>
      </c>
      <c r="D291" s="5">
        <f>C291-C1275</f>
        <v>-1.2245832953484543E-2</v>
      </c>
      <c r="F291" s="8"/>
      <c r="H291" s="1">
        <v>45242</v>
      </c>
      <c r="I291">
        <v>14.36</v>
      </c>
      <c r="J291" s="227">
        <f t="shared" si="29"/>
        <v>2.791696492483875E-2</v>
      </c>
      <c r="K291" s="5">
        <f>J291-J1276</f>
        <v>2.5781009009228792E-2</v>
      </c>
      <c r="M291" s="240" t="s">
        <v>465</v>
      </c>
      <c r="N291">
        <v>4707.09</v>
      </c>
      <c r="O291" s="227">
        <f t="shared" si="30"/>
        <v>-2.6400822112278011E-3</v>
      </c>
      <c r="P291" s="5">
        <f>O291-O1278</f>
        <v>-2.2743250103146296E-3</v>
      </c>
      <c r="Q291" s="8">
        <f t="shared" si="34"/>
        <v>5.1725542525426397E-6</v>
      </c>
      <c r="S291" t="s">
        <v>465</v>
      </c>
      <c r="T291">
        <v>3.14</v>
      </c>
      <c r="U291" s="29">
        <f t="shared" si="31"/>
        <v>0</v>
      </c>
      <c r="V291" s="5">
        <f>U291-V1274</f>
        <v>-1.736190775707038E-3</v>
      </c>
      <c r="X291" t="s">
        <v>455</v>
      </c>
      <c r="Y291">
        <v>3.95</v>
      </c>
      <c r="Z291" s="48">
        <f t="shared" si="32"/>
        <v>0</v>
      </c>
      <c r="AA291" s="5">
        <f>Z291-Y1274</f>
        <v>-4.2173194692741341E-3</v>
      </c>
      <c r="AD291" t="s">
        <v>465</v>
      </c>
      <c r="AE291">
        <v>100.43</v>
      </c>
      <c r="AF291" s="29">
        <f t="shared" si="33"/>
        <v>-1.3069968553459099E-2</v>
      </c>
    </row>
    <row r="292" spans="1:32">
      <c r="A292" s="220">
        <v>45119</v>
      </c>
      <c r="B292" s="222">
        <v>60.98</v>
      </c>
      <c r="C292" s="227">
        <f t="shared" si="28"/>
        <v>-1.1669367909238337E-2</v>
      </c>
      <c r="D292" s="5">
        <f>C292-C1275</f>
        <v>-1.1747413478797226E-2</v>
      </c>
      <c r="F292" s="8"/>
      <c r="H292" s="1">
        <v>45150</v>
      </c>
      <c r="I292">
        <v>13.21</v>
      </c>
      <c r="J292" s="227">
        <f t="shared" si="29"/>
        <v>-8.0083565459609929E-2</v>
      </c>
      <c r="K292" s="5">
        <f>J292-J1276</f>
        <v>-8.2219521375219887E-2</v>
      </c>
      <c r="M292" s="241">
        <v>45272</v>
      </c>
      <c r="N292">
        <v>4643.7</v>
      </c>
      <c r="O292" s="227">
        <f t="shared" si="30"/>
        <v>-1.3466919051898341E-2</v>
      </c>
      <c r="P292" s="5">
        <f>O292-O1278</f>
        <v>-1.310116185098517E-2</v>
      </c>
      <c r="Q292" s="8">
        <f t="shared" si="34"/>
        <v>1.7164044184570917E-4</v>
      </c>
      <c r="S292" s="1">
        <v>45272</v>
      </c>
      <c r="T292">
        <v>3.07</v>
      </c>
      <c r="U292" s="29">
        <f t="shared" si="31"/>
        <v>-2.2292993630573354E-2</v>
      </c>
      <c r="V292" s="5">
        <f>U292-V1274</f>
        <v>-2.4029184406280393E-2</v>
      </c>
      <c r="X292" t="s">
        <v>456</v>
      </c>
      <c r="Y292">
        <v>3.88</v>
      </c>
      <c r="Z292" s="48">
        <f t="shared" si="32"/>
        <v>-1.7721518987341867E-2</v>
      </c>
      <c r="AA292" s="5">
        <f>Z292-Y1274</f>
        <v>-2.1938838456616001E-2</v>
      </c>
      <c r="AD292" s="1">
        <v>45272</v>
      </c>
      <c r="AE292">
        <v>101</v>
      </c>
      <c r="AF292" s="29">
        <f t="shared" si="33"/>
        <v>5.6755949417504059E-3</v>
      </c>
    </row>
    <row r="293" spans="1:32">
      <c r="A293" s="220">
        <v>45089</v>
      </c>
      <c r="B293" s="222">
        <v>59.75</v>
      </c>
      <c r="C293" s="227">
        <f t="shared" si="28"/>
        <v>-2.0170547720564036E-2</v>
      </c>
      <c r="D293" s="5">
        <f>C293-C1275</f>
        <v>-2.0248593290122924E-2</v>
      </c>
      <c r="F293" s="8"/>
      <c r="H293" s="1">
        <v>45119</v>
      </c>
      <c r="I293">
        <v>12.43</v>
      </c>
      <c r="J293" s="227">
        <f t="shared" si="29"/>
        <v>-5.9046177138531553E-2</v>
      </c>
      <c r="K293" s="5">
        <f>J293-J1276</f>
        <v>-6.118213305414151E-2</v>
      </c>
      <c r="M293" s="241">
        <v>45242</v>
      </c>
      <c r="N293">
        <v>4622.4399999999996</v>
      </c>
      <c r="O293" s="227">
        <f t="shared" si="30"/>
        <v>-4.5782457953786881E-3</v>
      </c>
      <c r="P293" s="5">
        <f>O293-O1278</f>
        <v>-4.2124885944655162E-3</v>
      </c>
      <c r="Q293" s="8">
        <f t="shared" si="34"/>
        <v>1.7745060158502061E-5</v>
      </c>
      <c r="S293" s="1">
        <v>45242</v>
      </c>
      <c r="T293">
        <v>3.08</v>
      </c>
      <c r="U293" s="29">
        <f t="shared" si="31"/>
        <v>3.2573289902280145E-3</v>
      </c>
      <c r="V293" s="5">
        <f>U293-V1274</f>
        <v>1.5211382145209765E-3</v>
      </c>
      <c r="X293" t="s">
        <v>457</v>
      </c>
      <c r="Y293">
        <v>3.71</v>
      </c>
      <c r="Z293" s="48">
        <f t="shared" si="32"/>
        <v>-4.3814432989690677E-2</v>
      </c>
      <c r="AA293" s="5">
        <f>Z293-Y1274</f>
        <v>-4.8031752458964808E-2</v>
      </c>
      <c r="AD293" s="1">
        <v>45242</v>
      </c>
      <c r="AE293">
        <v>101.5</v>
      </c>
      <c r="AF293" s="29">
        <f t="shared" si="33"/>
        <v>4.9504950495049549E-3</v>
      </c>
    </row>
    <row r="294" spans="1:32">
      <c r="A294" s="220">
        <v>45058</v>
      </c>
      <c r="B294" s="222">
        <v>57.97</v>
      </c>
      <c r="C294" s="227">
        <f t="shared" si="28"/>
        <v>-2.9790794979079549E-2</v>
      </c>
      <c r="D294" s="5">
        <f>C294-C1275</f>
        <v>-2.9868840548638437E-2</v>
      </c>
      <c r="F294" s="8"/>
      <c r="H294" s="1">
        <v>45089</v>
      </c>
      <c r="I294">
        <v>12.21</v>
      </c>
      <c r="J294" s="227">
        <f t="shared" si="29"/>
        <v>-1.7699115044247704E-2</v>
      </c>
      <c r="K294" s="5">
        <f>J294-J1276</f>
        <v>-1.9835070959857662E-2</v>
      </c>
      <c r="M294" s="241">
        <v>45150</v>
      </c>
      <c r="N294">
        <v>4604.37</v>
      </c>
      <c r="O294" s="227">
        <f t="shared" si="30"/>
        <v>-3.9091908169710532E-3</v>
      </c>
      <c r="P294" s="5">
        <f>O294-O1278</f>
        <v>-3.5434336160578817E-3</v>
      </c>
      <c r="Q294" s="8">
        <f t="shared" si="34"/>
        <v>1.2555921791409036E-5</v>
      </c>
      <c r="S294" s="1">
        <v>45150</v>
      </c>
      <c r="T294">
        <v>3.15</v>
      </c>
      <c r="U294" s="29">
        <f t="shared" si="31"/>
        <v>2.2727272727272707E-2</v>
      </c>
      <c r="V294" s="5">
        <f>U294-V1274</f>
        <v>2.0991081951565668E-2</v>
      </c>
      <c r="X294" t="s">
        <v>458</v>
      </c>
      <c r="Y294">
        <v>3.73</v>
      </c>
      <c r="Z294" s="48">
        <f t="shared" si="32"/>
        <v>5.3908355795149188E-3</v>
      </c>
      <c r="AA294" s="5">
        <f>Z294-Y1274</f>
        <v>1.1735161102407847E-3</v>
      </c>
      <c r="AD294" s="1">
        <v>45150</v>
      </c>
      <c r="AE294">
        <v>100</v>
      </c>
      <c r="AF294" s="29">
        <f t="shared" si="33"/>
        <v>-1.4778325123152691E-2</v>
      </c>
    </row>
    <row r="295" spans="1:32">
      <c r="A295" s="220">
        <v>45028</v>
      </c>
      <c r="B295" s="222">
        <v>58.63</v>
      </c>
      <c r="C295" s="227">
        <f t="shared" si="28"/>
        <v>1.1385199240986799E-2</v>
      </c>
      <c r="D295" s="5">
        <f>C295-C1275</f>
        <v>1.130715367142791E-2</v>
      </c>
      <c r="F295" s="8"/>
      <c r="H295" s="1">
        <v>45058</v>
      </c>
      <c r="I295">
        <v>12.24</v>
      </c>
      <c r="J295" s="227">
        <f t="shared" si="29"/>
        <v>2.4570024570023108E-3</v>
      </c>
      <c r="K295" s="5">
        <f>J295-J1276</f>
        <v>3.21046541392353E-4</v>
      </c>
      <c r="M295" s="241">
        <v>45119</v>
      </c>
      <c r="N295">
        <v>4585.59</v>
      </c>
      <c r="O295" s="227">
        <f t="shared" si="30"/>
        <v>-4.0787338984485944E-3</v>
      </c>
      <c r="P295" s="5">
        <f>O295-O1278</f>
        <v>-3.7129766975354229E-3</v>
      </c>
      <c r="Q295" s="8">
        <f t="shared" si="34"/>
        <v>1.3786195956441056E-5</v>
      </c>
      <c r="S295" s="1">
        <v>45119</v>
      </c>
      <c r="T295">
        <v>3.11</v>
      </c>
      <c r="U295" s="29">
        <f t="shared" si="31"/>
        <v>-1.2698412698412764E-2</v>
      </c>
      <c r="V295" s="5">
        <f>U295-V1274</f>
        <v>-1.4434603474119803E-2</v>
      </c>
      <c r="X295" t="s">
        <v>459</v>
      </c>
      <c r="Y295">
        <v>3.59</v>
      </c>
      <c r="Z295" s="48">
        <f t="shared" si="32"/>
        <v>-3.7533512064343189E-2</v>
      </c>
      <c r="AA295" s="5">
        <f>Z295-Y1274</f>
        <v>-4.1750831533617319E-2</v>
      </c>
      <c r="AD295" s="1">
        <v>45119</v>
      </c>
      <c r="AE295">
        <v>98.97</v>
      </c>
      <c r="AF295" s="29">
        <f t="shared" si="33"/>
        <v>-1.0299999999999976E-2</v>
      </c>
    </row>
    <row r="296" spans="1:32">
      <c r="A296" s="220">
        <v>44938</v>
      </c>
      <c r="B296" s="222">
        <v>57.35</v>
      </c>
      <c r="C296" s="227">
        <f t="shared" si="28"/>
        <v>-2.183182670987549E-2</v>
      </c>
      <c r="D296" s="5">
        <f>C296-C1275</f>
        <v>-2.1909872279434379E-2</v>
      </c>
      <c r="F296" s="8"/>
      <c r="H296" s="1">
        <v>45028</v>
      </c>
      <c r="I296">
        <v>12.66</v>
      </c>
      <c r="J296" s="227">
        <f t="shared" si="29"/>
        <v>3.4313725490196179E-2</v>
      </c>
      <c r="K296" s="5">
        <f>J296-J1276</f>
        <v>3.2177769574586221E-2</v>
      </c>
      <c r="M296" s="241">
        <v>45089</v>
      </c>
      <c r="N296">
        <v>4549.34</v>
      </c>
      <c r="O296" s="227">
        <f t="shared" si="30"/>
        <v>-7.9051986767242344E-3</v>
      </c>
      <c r="P296" s="5">
        <f>O296-O1278</f>
        <v>-7.5394414758110624E-3</v>
      </c>
      <c r="Q296" s="8">
        <f t="shared" si="34"/>
        <v>5.684317776718009E-5</v>
      </c>
      <c r="S296" s="1">
        <v>45089</v>
      </c>
      <c r="T296">
        <v>3.09</v>
      </c>
      <c r="U296" s="29">
        <f t="shared" si="31"/>
        <v>-6.4308681672026191E-3</v>
      </c>
      <c r="V296" s="5">
        <f>U296-V1274</f>
        <v>-8.1670589429096579E-3</v>
      </c>
      <c r="X296" t="s">
        <v>460</v>
      </c>
      <c r="Y296">
        <v>3.69</v>
      </c>
      <c r="Z296" s="48">
        <f t="shared" si="32"/>
        <v>2.7855153203342642E-2</v>
      </c>
      <c r="AA296" s="5">
        <f>Z296-Y1274</f>
        <v>2.3637833734068508E-2</v>
      </c>
      <c r="AD296" s="1">
        <v>45089</v>
      </c>
      <c r="AE296">
        <v>96.85</v>
      </c>
      <c r="AF296" s="29">
        <f t="shared" si="33"/>
        <v>-2.1420632514903559E-2</v>
      </c>
    </row>
    <row r="297" spans="1:32">
      <c r="A297" s="3" t="s">
        <v>466</v>
      </c>
      <c r="B297" s="222">
        <v>56.38</v>
      </c>
      <c r="C297" s="227">
        <f t="shared" si="28"/>
        <v>-1.6913687881429773E-2</v>
      </c>
      <c r="D297" s="5">
        <f>C297-C1275</f>
        <v>-1.6991733450988662E-2</v>
      </c>
      <c r="F297" s="8"/>
      <c r="H297" s="1">
        <v>44938</v>
      </c>
      <c r="I297">
        <v>13.14</v>
      </c>
      <c r="J297" s="227">
        <f t="shared" si="29"/>
        <v>3.7914691943127909E-2</v>
      </c>
      <c r="K297" s="5">
        <f>J297-J1276</f>
        <v>3.5778736027517952E-2</v>
      </c>
      <c r="M297" s="241">
        <v>45058</v>
      </c>
      <c r="N297">
        <v>4567.18</v>
      </c>
      <c r="O297" s="227">
        <f t="shared" si="30"/>
        <v>3.9214479462954532E-3</v>
      </c>
      <c r="P297" s="5">
        <f>O297-O1278</f>
        <v>4.2872051472086252E-3</v>
      </c>
      <c r="Q297" s="8">
        <f t="shared" si="34"/>
        <v>1.838012797425213E-5</v>
      </c>
      <c r="S297" s="1">
        <v>45058</v>
      </c>
      <c r="T297">
        <v>3.14</v>
      </c>
      <c r="U297" s="29">
        <f t="shared" si="31"/>
        <v>1.6181229773462924E-2</v>
      </c>
      <c r="V297" s="5">
        <f>U297-V1274</f>
        <v>1.4445038997755885E-2</v>
      </c>
      <c r="X297" t="s">
        <v>461</v>
      </c>
      <c r="Y297">
        <v>3.76</v>
      </c>
      <c r="Z297" s="48">
        <f t="shared" si="32"/>
        <v>1.8970189701897011E-2</v>
      </c>
      <c r="AA297" s="5">
        <f>Z297-Y1274</f>
        <v>1.4752870232622877E-2</v>
      </c>
      <c r="AD297" s="1">
        <v>45058</v>
      </c>
      <c r="AE297">
        <v>96.234999999999999</v>
      </c>
      <c r="AF297" s="29">
        <f t="shared" si="33"/>
        <v>-6.3500258131130582E-3</v>
      </c>
    </row>
    <row r="298" spans="1:32">
      <c r="A298" s="3" t="s">
        <v>467</v>
      </c>
      <c r="B298" s="222">
        <v>56.4</v>
      </c>
      <c r="C298" s="227">
        <f t="shared" si="28"/>
        <v>3.5473572188715607E-4</v>
      </c>
      <c r="D298" s="5">
        <f>C298-C1275</f>
        <v>2.7669015232826687E-4</v>
      </c>
      <c r="F298" s="8"/>
      <c r="H298" t="s">
        <v>466</v>
      </c>
      <c r="I298">
        <v>11.73</v>
      </c>
      <c r="J298" s="227">
        <f t="shared" si="29"/>
        <v>-0.10730593607305938</v>
      </c>
      <c r="K298" s="5">
        <f>J298-J1276</f>
        <v>-0.10944189198866934</v>
      </c>
      <c r="M298" s="241">
        <v>45028</v>
      </c>
      <c r="N298">
        <v>4569.78</v>
      </c>
      <c r="O298" s="227">
        <f t="shared" si="30"/>
        <v>5.6927907373904851E-4</v>
      </c>
      <c r="P298" s="5">
        <f>O298-O1278</f>
        <v>9.3503627465222E-4</v>
      </c>
      <c r="Q298" s="8">
        <f t="shared" si="34"/>
        <v>8.7429283491550178E-7</v>
      </c>
      <c r="S298" s="1">
        <v>45028</v>
      </c>
      <c r="T298">
        <v>3.15</v>
      </c>
      <c r="U298" s="29">
        <f t="shared" si="31"/>
        <v>3.1847133757960666E-3</v>
      </c>
      <c r="V298" s="5">
        <f>U298-V1274</f>
        <v>1.4485226000890286E-3</v>
      </c>
      <c r="X298" t="s">
        <v>462</v>
      </c>
      <c r="Y298">
        <v>3.78</v>
      </c>
      <c r="Z298" s="48">
        <f t="shared" si="32"/>
        <v>5.3191489361701372E-3</v>
      </c>
      <c r="AA298" s="5">
        <f>Z298-Y1274</f>
        <v>1.1018294668960031E-3</v>
      </c>
      <c r="AD298" s="1">
        <v>45028</v>
      </c>
      <c r="AE298">
        <v>98.36</v>
      </c>
      <c r="AF298" s="29">
        <f t="shared" si="33"/>
        <v>2.2081363329349957E-2</v>
      </c>
    </row>
    <row r="299" spans="1:32">
      <c r="A299" s="3" t="s">
        <v>468</v>
      </c>
      <c r="B299" s="222">
        <v>56.21</v>
      </c>
      <c r="C299" s="227">
        <f t="shared" si="28"/>
        <v>-3.3687943262410425E-3</v>
      </c>
      <c r="D299" s="5">
        <f>C299-C1275</f>
        <v>-3.4468398957999318E-3</v>
      </c>
      <c r="E299" s="1"/>
      <c r="F299" s="8"/>
      <c r="H299" t="s">
        <v>467</v>
      </c>
      <c r="I299">
        <v>11.63</v>
      </c>
      <c r="J299" s="227">
        <f t="shared" si="29"/>
        <v>-8.5251491901108256E-3</v>
      </c>
      <c r="K299" s="5">
        <f>J299-J1276</f>
        <v>-1.0661105105720783E-2</v>
      </c>
      <c r="M299" s="241">
        <v>44938</v>
      </c>
      <c r="N299">
        <v>4594.63</v>
      </c>
      <c r="O299" s="227">
        <f t="shared" si="30"/>
        <v>5.437898542161923E-3</v>
      </c>
      <c r="P299" s="5">
        <f>O299-O1278</f>
        <v>5.803655743075095E-3</v>
      </c>
      <c r="Q299" s="8">
        <f t="shared" si="34"/>
        <v>3.368241998412853E-5</v>
      </c>
      <c r="S299" s="1">
        <v>44938</v>
      </c>
      <c r="T299">
        <v>3.07</v>
      </c>
      <c r="U299" s="29">
        <f t="shared" si="31"/>
        <v>-2.5396825396825418E-2</v>
      </c>
      <c r="V299" s="5">
        <f>U299-V1274</f>
        <v>-2.7133016172532456E-2</v>
      </c>
      <c r="X299" t="s">
        <v>463</v>
      </c>
      <c r="Y299">
        <v>3.8</v>
      </c>
      <c r="Z299" s="48">
        <f t="shared" si="32"/>
        <v>5.2910052910053462E-3</v>
      </c>
      <c r="AA299" s="5">
        <f>Z299-Y1274</f>
        <v>1.0736858217312122E-3</v>
      </c>
      <c r="AD299" s="1">
        <v>44938</v>
      </c>
      <c r="AE299">
        <v>96.58</v>
      </c>
      <c r="AF299" s="29">
        <f t="shared" si="33"/>
        <v>-1.8096787311915441E-2</v>
      </c>
    </row>
    <row r="300" spans="1:32">
      <c r="A300" s="3" t="s">
        <v>469</v>
      </c>
      <c r="B300" s="222">
        <v>56.06</v>
      </c>
      <c r="C300" s="227">
        <f t="shared" si="28"/>
        <v>-2.6685643123999236E-3</v>
      </c>
      <c r="D300" s="5">
        <f>C300-C1275</f>
        <v>-2.746609881958813E-3</v>
      </c>
      <c r="E300" s="1"/>
      <c r="F300" s="8"/>
      <c r="H300" t="s">
        <v>468</v>
      </c>
      <c r="I300">
        <v>11.26</v>
      </c>
      <c r="J300" s="227">
        <f t="shared" si="29"/>
        <v>-3.181427343078258E-2</v>
      </c>
      <c r="K300" s="5">
        <f>J300-J1276</f>
        <v>-3.3950229346392538E-2</v>
      </c>
      <c r="M300" s="240" t="s">
        <v>466</v>
      </c>
      <c r="N300">
        <v>4567.8</v>
      </c>
      <c r="O300" s="227">
        <f t="shared" si="30"/>
        <v>-5.8394255903087E-3</v>
      </c>
      <c r="P300" s="5">
        <f>O300-O1278</f>
        <v>-5.4736683893955281E-3</v>
      </c>
      <c r="Q300" s="8">
        <f t="shared" si="34"/>
        <v>2.9961045637067835E-5</v>
      </c>
      <c r="S300" t="s">
        <v>466</v>
      </c>
      <c r="T300">
        <v>3.04</v>
      </c>
      <c r="U300" s="29">
        <f t="shared" si="31"/>
        <v>-9.7719869706839324E-3</v>
      </c>
      <c r="V300" s="5">
        <f>U300-V1274</f>
        <v>-1.1508177746390971E-2</v>
      </c>
      <c r="X300" t="s">
        <v>464</v>
      </c>
      <c r="Y300">
        <v>3.72</v>
      </c>
      <c r="Z300" s="48">
        <f t="shared" si="32"/>
        <v>-2.1052631578947323E-2</v>
      </c>
      <c r="AA300" s="5">
        <f>Z300-Y1274</f>
        <v>-2.5269951048221457E-2</v>
      </c>
      <c r="AD300" t="s">
        <v>466</v>
      </c>
      <c r="AE300">
        <v>93.98</v>
      </c>
      <c r="AF300" s="29">
        <f t="shared" si="33"/>
        <v>-2.6920687512942632E-2</v>
      </c>
    </row>
    <row r="301" spans="1:32">
      <c r="A301" s="3" t="s">
        <v>470</v>
      </c>
      <c r="B301" s="222">
        <v>55.32</v>
      </c>
      <c r="C301" s="227">
        <f t="shared" si="28"/>
        <v>-1.3200142704245521E-2</v>
      </c>
      <c r="D301" s="5">
        <f>C301-C1275</f>
        <v>-1.3278188273804409E-2</v>
      </c>
      <c r="E301" s="1"/>
      <c r="F301" s="8"/>
      <c r="H301" t="s">
        <v>469</v>
      </c>
      <c r="I301">
        <v>10.25</v>
      </c>
      <c r="J301" s="227">
        <f t="shared" si="29"/>
        <v>-8.9698046181172275E-2</v>
      </c>
      <c r="K301" s="5">
        <f>J301-J1276</f>
        <v>-9.1834002096782233E-2</v>
      </c>
      <c r="M301" s="240" t="s">
        <v>467</v>
      </c>
      <c r="N301">
        <v>4550.58</v>
      </c>
      <c r="O301" s="227">
        <f t="shared" si="30"/>
        <v>-3.7698673321949761E-3</v>
      </c>
      <c r="P301" s="5">
        <f>O301-O1278</f>
        <v>-3.4041101312818046E-3</v>
      </c>
      <c r="Q301" s="8">
        <f t="shared" si="34"/>
        <v>1.1587965785895425E-5</v>
      </c>
      <c r="S301" t="s">
        <v>467</v>
      </c>
      <c r="T301">
        <v>3.08</v>
      </c>
      <c r="U301" s="29">
        <f t="shared" si="31"/>
        <v>1.3157894736842035E-2</v>
      </c>
      <c r="V301" s="5">
        <f>U301-V1274</f>
        <v>1.1421703961134996E-2</v>
      </c>
      <c r="X301" t="s">
        <v>465</v>
      </c>
      <c r="Y301">
        <v>3.73</v>
      </c>
      <c r="Z301" s="48">
        <f t="shared" si="32"/>
        <v>2.6881720430107503E-3</v>
      </c>
      <c r="AA301" s="5">
        <f>Z301-Y1274</f>
        <v>-1.5291474262633838E-3</v>
      </c>
      <c r="AD301" t="s">
        <v>467</v>
      </c>
      <c r="AE301">
        <v>94.96</v>
      </c>
      <c r="AF301" s="29">
        <f t="shared" si="33"/>
        <v>1.0427750585230822E-2</v>
      </c>
    </row>
    <row r="302" spans="1:32">
      <c r="A302" s="3" t="s">
        <v>471</v>
      </c>
      <c r="B302" s="222">
        <v>55.37</v>
      </c>
      <c r="C302" s="227">
        <f t="shared" si="28"/>
        <v>9.0383224873469281E-4</v>
      </c>
      <c r="D302" s="5">
        <f>C302-C1275</f>
        <v>8.2578667917580361E-4</v>
      </c>
      <c r="E302" s="1"/>
      <c r="F302" s="8"/>
      <c r="H302" t="s">
        <v>470</v>
      </c>
      <c r="I302">
        <v>10.27</v>
      </c>
      <c r="J302" s="227">
        <f t="shared" si="29"/>
        <v>1.9512195121951237E-3</v>
      </c>
      <c r="K302" s="5">
        <f>J302-J1276</f>
        <v>-1.847364034148341E-4</v>
      </c>
      <c r="M302" s="240" t="s">
        <v>468</v>
      </c>
      <c r="N302">
        <v>4554.8900000000003</v>
      </c>
      <c r="O302" s="227">
        <f t="shared" si="30"/>
        <v>9.4713201394114321E-4</v>
      </c>
      <c r="P302" s="5">
        <f>O302-O1278</f>
        <v>1.3128892148543147E-3</v>
      </c>
      <c r="Q302" s="8">
        <f t="shared" si="34"/>
        <v>1.7236780904807789E-6</v>
      </c>
      <c r="S302" t="s">
        <v>468</v>
      </c>
      <c r="T302">
        <v>3.05</v>
      </c>
      <c r="U302" s="29">
        <f t="shared" si="31"/>
        <v>-9.7402597402598268E-3</v>
      </c>
      <c r="V302" s="5">
        <f>U302-V1274</f>
        <v>-1.1476450515966866E-2</v>
      </c>
      <c r="X302" s="1">
        <v>45272</v>
      </c>
      <c r="Y302">
        <v>3.63</v>
      </c>
      <c r="Z302" s="48">
        <f t="shared" si="32"/>
        <v>-2.6809651474530849E-2</v>
      </c>
      <c r="AA302" s="5">
        <f>Z302-Y1274</f>
        <v>-3.1026970943804983E-2</v>
      </c>
      <c r="AD302" t="s">
        <v>468</v>
      </c>
      <c r="AE302">
        <v>94.44</v>
      </c>
      <c r="AF302" s="29">
        <f t="shared" si="33"/>
        <v>-5.4759898904801485E-3</v>
      </c>
    </row>
    <row r="303" spans="1:32">
      <c r="A303" s="3" t="s">
        <v>472</v>
      </c>
      <c r="B303" s="222">
        <v>54.85</v>
      </c>
      <c r="C303" s="227">
        <f t="shared" si="28"/>
        <v>-9.3913671663354847E-3</v>
      </c>
      <c r="D303" s="5">
        <f>C303-C1275</f>
        <v>-9.4694127358943732E-3</v>
      </c>
      <c r="E303" s="1"/>
      <c r="F303" s="8"/>
      <c r="H303" t="s">
        <v>471</v>
      </c>
      <c r="I303">
        <v>10.29</v>
      </c>
      <c r="J303" s="227">
        <f t="shared" si="29"/>
        <v>1.9474196689386325E-3</v>
      </c>
      <c r="K303" s="5">
        <f>J303-J1276</f>
        <v>-1.8853624667132529E-4</v>
      </c>
      <c r="M303" s="240" t="s">
        <v>469</v>
      </c>
      <c r="N303">
        <v>4550.43</v>
      </c>
      <c r="O303" s="227">
        <f t="shared" si="30"/>
        <v>-9.79167444219331E-4</v>
      </c>
      <c r="P303" s="5">
        <f>O303-O1278</f>
        <v>-6.134102433061595E-4</v>
      </c>
      <c r="Q303" s="8">
        <f t="shared" si="34"/>
        <v>3.762721265929218E-7</v>
      </c>
      <c r="S303" t="s">
        <v>469</v>
      </c>
      <c r="T303">
        <v>3.06</v>
      </c>
      <c r="U303" s="29">
        <f t="shared" si="31"/>
        <v>3.2786885245903452E-3</v>
      </c>
      <c r="V303" s="5">
        <f>U303-V1274</f>
        <v>1.5424977488833072E-3</v>
      </c>
      <c r="X303" s="1">
        <v>45242</v>
      </c>
      <c r="Y303">
        <v>3.68</v>
      </c>
      <c r="Z303" s="48">
        <f t="shared" si="32"/>
        <v>1.377410468319562E-2</v>
      </c>
      <c r="AA303" s="5">
        <f>Z303-Y1274</f>
        <v>9.5567852139214864E-3</v>
      </c>
      <c r="AD303" t="s">
        <v>469</v>
      </c>
      <c r="AE303">
        <v>93.95</v>
      </c>
      <c r="AF303" s="29">
        <f t="shared" si="33"/>
        <v>-5.1884794578568316E-3</v>
      </c>
    </row>
    <row r="304" spans="1:32">
      <c r="A304" s="3" t="s">
        <v>473</v>
      </c>
      <c r="B304" s="222">
        <v>54.75</v>
      </c>
      <c r="C304" s="227">
        <f t="shared" si="28"/>
        <v>-1.8231540565177839E-3</v>
      </c>
      <c r="D304" s="5">
        <f>C304-C1275</f>
        <v>-1.9011996260766733E-3</v>
      </c>
      <c r="E304" s="1"/>
      <c r="F304" s="8"/>
      <c r="H304" t="s">
        <v>472</v>
      </c>
      <c r="I304">
        <v>10.38</v>
      </c>
      <c r="J304" s="227">
        <f t="shared" si="29"/>
        <v>8.7463556851312685E-3</v>
      </c>
      <c r="K304" s="5">
        <f>J304-J1276</f>
        <v>6.6103997695213107E-3</v>
      </c>
      <c r="M304" s="240" t="s">
        <v>470</v>
      </c>
      <c r="N304">
        <v>4559.34</v>
      </c>
      <c r="O304" s="227">
        <f t="shared" si="30"/>
        <v>1.9580567111239233E-3</v>
      </c>
      <c r="P304" s="5">
        <f>O304-O1278</f>
        <v>2.3238139120370948E-3</v>
      </c>
      <c r="Q304" s="8">
        <f t="shared" si="34"/>
        <v>5.4001110977771469E-6</v>
      </c>
      <c r="S304" t="s">
        <v>470</v>
      </c>
      <c r="T304">
        <v>3.12</v>
      </c>
      <c r="U304" s="29">
        <f t="shared" si="31"/>
        <v>1.9607843137254832E-2</v>
      </c>
      <c r="V304" s="5">
        <f>U304-V1274</f>
        <v>1.7871652361547793E-2</v>
      </c>
      <c r="X304" s="1">
        <v>45150</v>
      </c>
      <c r="Y304">
        <v>3.77</v>
      </c>
      <c r="Z304" s="48">
        <f t="shared" si="32"/>
        <v>2.4456521739130377E-2</v>
      </c>
      <c r="AA304" s="5">
        <f>Z304-Y1274</f>
        <v>2.0239202269856243E-2</v>
      </c>
      <c r="AD304" t="s">
        <v>470</v>
      </c>
      <c r="AE304">
        <v>93.81</v>
      </c>
      <c r="AF304" s="29">
        <f t="shared" si="33"/>
        <v>-1.4901543374135073E-3</v>
      </c>
    </row>
    <row r="305" spans="1:32">
      <c r="A305" s="3" t="s">
        <v>474</v>
      </c>
      <c r="B305" s="222">
        <v>54.44</v>
      </c>
      <c r="C305" s="227">
        <f t="shared" si="28"/>
        <v>-5.6621004566210775E-3</v>
      </c>
      <c r="D305" s="5">
        <f>C305-C1275</f>
        <v>-5.7401460261799668E-3</v>
      </c>
      <c r="E305" s="1"/>
      <c r="F305" s="8"/>
      <c r="H305" t="s">
        <v>473</v>
      </c>
      <c r="I305">
        <v>10.39</v>
      </c>
      <c r="J305" s="227">
        <f t="shared" si="29"/>
        <v>9.6339113680143917E-4</v>
      </c>
      <c r="K305" s="5">
        <f>J305-J1276</f>
        <v>-1.1725647788085186E-3</v>
      </c>
      <c r="M305" s="240" t="s">
        <v>471</v>
      </c>
      <c r="N305">
        <v>4556.62</v>
      </c>
      <c r="O305" s="227">
        <f t="shared" si="30"/>
        <v>-5.9657757482445284E-4</v>
      </c>
      <c r="P305" s="5">
        <f>O305-O1278</f>
        <v>-2.3082037391128129E-4</v>
      </c>
      <c r="Q305" s="8">
        <f t="shared" si="34"/>
        <v>5.3278045012543704E-8</v>
      </c>
      <c r="S305" t="s">
        <v>471</v>
      </c>
      <c r="T305">
        <v>3.13</v>
      </c>
      <c r="U305" s="29">
        <f t="shared" si="31"/>
        <v>3.2051282051281937E-3</v>
      </c>
      <c r="V305" s="5">
        <f>U305-V1274</f>
        <v>1.4689374294211558E-3</v>
      </c>
      <c r="X305" s="1">
        <v>45119</v>
      </c>
      <c r="Y305">
        <v>3.83</v>
      </c>
      <c r="Z305" s="48">
        <f t="shared" si="32"/>
        <v>1.5915119363395291E-2</v>
      </c>
      <c r="AA305" s="5">
        <f>Z305-Y1274</f>
        <v>1.1697799894121157E-2</v>
      </c>
      <c r="AD305" t="s">
        <v>471</v>
      </c>
      <c r="AE305">
        <v>95.35</v>
      </c>
      <c r="AF305" s="29">
        <f t="shared" si="33"/>
        <v>1.6416160324059126E-2</v>
      </c>
    </row>
    <row r="306" spans="1:32">
      <c r="A306" s="3" t="s">
        <v>475</v>
      </c>
      <c r="B306" s="222">
        <v>54.42</v>
      </c>
      <c r="C306" s="227">
        <f t="shared" si="28"/>
        <v>-3.6737692872879091E-4</v>
      </c>
      <c r="D306" s="5">
        <f>C306-C1275</f>
        <v>-4.4542249828768011E-4</v>
      </c>
      <c r="E306" s="1"/>
      <c r="F306" s="8"/>
      <c r="H306" t="s">
        <v>474</v>
      </c>
      <c r="I306">
        <v>10.58</v>
      </c>
      <c r="J306" s="227">
        <f t="shared" si="29"/>
        <v>1.8286814244465877E-2</v>
      </c>
      <c r="K306" s="5">
        <f>J306-J1276</f>
        <v>1.6150858328855919E-2</v>
      </c>
      <c r="M306" s="240" t="s">
        <v>472</v>
      </c>
      <c r="N306">
        <v>4538.1899999999996</v>
      </c>
      <c r="O306" s="227">
        <f t="shared" si="30"/>
        <v>-4.0446646856662216E-3</v>
      </c>
      <c r="P306" s="5">
        <f>O306-O1278</f>
        <v>-3.6789074847530501E-3</v>
      </c>
      <c r="Q306" s="8">
        <f t="shared" si="34"/>
        <v>1.3534360281372013E-5</v>
      </c>
      <c r="S306" t="s">
        <v>472</v>
      </c>
      <c r="T306">
        <v>3.13</v>
      </c>
      <c r="U306" s="29">
        <f t="shared" si="31"/>
        <v>0</v>
      </c>
      <c r="V306" s="5">
        <f>U306-V1274</f>
        <v>-1.736190775707038E-3</v>
      </c>
      <c r="X306" s="1">
        <v>45089</v>
      </c>
      <c r="Y306">
        <v>3.84</v>
      </c>
      <c r="Z306" s="48">
        <f t="shared" si="32"/>
        <v>2.6109660574411553E-3</v>
      </c>
      <c r="AA306" s="5">
        <f>Z306-Y1274</f>
        <v>-1.6063534118329788E-3</v>
      </c>
      <c r="AD306" t="s">
        <v>472</v>
      </c>
      <c r="AE306">
        <v>94.6</v>
      </c>
      <c r="AF306" s="29">
        <f t="shared" si="33"/>
        <v>-7.8657577346618046E-3</v>
      </c>
    </row>
    <row r="307" spans="1:32">
      <c r="A307" s="3" t="s">
        <v>476</v>
      </c>
      <c r="B307" s="222">
        <v>53.76</v>
      </c>
      <c r="C307" s="227">
        <f t="shared" si="28"/>
        <v>-1.2127894156560126E-2</v>
      </c>
      <c r="D307" s="5">
        <f>C307-C1275</f>
        <v>-1.2205939726119015E-2</v>
      </c>
      <c r="F307" s="8"/>
      <c r="H307" t="s">
        <v>475</v>
      </c>
      <c r="I307">
        <v>10.4</v>
      </c>
      <c r="J307" s="227">
        <f t="shared" si="29"/>
        <v>-1.7013232514177634E-2</v>
      </c>
      <c r="K307" s="5">
        <f>J307-J1276</f>
        <v>-1.9149188429787592E-2</v>
      </c>
      <c r="M307" s="240" t="s">
        <v>473</v>
      </c>
      <c r="N307">
        <v>4547.38</v>
      </c>
      <c r="O307" s="227">
        <f t="shared" si="30"/>
        <v>2.0250364131957355E-3</v>
      </c>
      <c r="P307" s="5">
        <f>O307-O1278</f>
        <v>2.390793614108907E-3</v>
      </c>
      <c r="Q307" s="8">
        <f t="shared" si="34"/>
        <v>5.7158941052639294E-6</v>
      </c>
      <c r="S307" t="s">
        <v>473</v>
      </c>
      <c r="T307">
        <v>3.23</v>
      </c>
      <c r="U307" s="29">
        <f t="shared" si="31"/>
        <v>3.1948881789137351E-2</v>
      </c>
      <c r="V307" s="5">
        <f>U307-V1274</f>
        <v>3.0212691013430312E-2</v>
      </c>
      <c r="X307" s="1">
        <v>45058</v>
      </c>
      <c r="Y307">
        <v>3.75</v>
      </c>
      <c r="Z307" s="48">
        <f t="shared" si="32"/>
        <v>-2.34375E-2</v>
      </c>
      <c r="AA307" s="5">
        <f>Z307-Y1274</f>
        <v>-2.7654819469274134E-2</v>
      </c>
      <c r="AD307" t="s">
        <v>473</v>
      </c>
      <c r="AE307">
        <v>95.75</v>
      </c>
      <c r="AF307" s="29">
        <f t="shared" si="33"/>
        <v>1.2156448202959913E-2</v>
      </c>
    </row>
    <row r="308" spans="1:32">
      <c r="A308" s="3" t="s">
        <v>477</v>
      </c>
      <c r="B308" s="222">
        <v>53.88</v>
      </c>
      <c r="C308" s="227">
        <f t="shared" si="28"/>
        <v>2.2321428571430157E-3</v>
      </c>
      <c r="D308" s="5">
        <f>C308-C1275</f>
        <v>2.1540972875841264E-3</v>
      </c>
      <c r="F308" s="8"/>
      <c r="H308" t="s">
        <v>476</v>
      </c>
      <c r="I308">
        <v>10.86</v>
      </c>
      <c r="J308" s="227">
        <f t="shared" si="29"/>
        <v>4.4230769230769074E-2</v>
      </c>
      <c r="K308" s="5">
        <f>J308-J1276</f>
        <v>4.2094813315159116E-2</v>
      </c>
      <c r="M308" s="240" t="s">
        <v>474</v>
      </c>
      <c r="N308">
        <v>4514.0200000000004</v>
      </c>
      <c r="O308" s="227">
        <f t="shared" si="30"/>
        <v>-7.3360924312459996E-3</v>
      </c>
      <c r="P308" s="5">
        <f>O308-O1278</f>
        <v>-6.9703352303328277E-3</v>
      </c>
      <c r="Q308" s="8">
        <f t="shared" si="34"/>
        <v>4.8585573223218996E-5</v>
      </c>
      <c r="S308" t="s">
        <v>474</v>
      </c>
      <c r="T308">
        <v>3.31</v>
      </c>
      <c r="U308" s="29">
        <f t="shared" si="31"/>
        <v>2.4767801857585203E-2</v>
      </c>
      <c r="V308" s="5">
        <f>U308-V1274</f>
        <v>2.3031611081878164E-2</v>
      </c>
      <c r="X308" s="1">
        <v>45028</v>
      </c>
      <c r="Y308">
        <v>3.77</v>
      </c>
      <c r="Z308" s="48">
        <f t="shared" si="32"/>
        <v>5.3333333333334121E-3</v>
      </c>
      <c r="AA308" s="5">
        <f>Z308-Y1274</f>
        <v>1.116013864059278E-3</v>
      </c>
      <c r="AD308" t="s">
        <v>474</v>
      </c>
      <c r="AE308">
        <v>95.23</v>
      </c>
      <c r="AF308" s="29">
        <f t="shared" si="33"/>
        <v>-5.4308093994778206E-3</v>
      </c>
    </row>
    <row r="309" spans="1:32">
      <c r="A309" s="3" t="s">
        <v>478</v>
      </c>
      <c r="B309" s="222">
        <v>52.24</v>
      </c>
      <c r="C309" s="227">
        <f t="shared" si="28"/>
        <v>-3.0438010393466941E-2</v>
      </c>
      <c r="D309" s="5">
        <f>C309-C1275</f>
        <v>-3.0516055963025829E-2</v>
      </c>
      <c r="F309" s="8"/>
      <c r="H309" t="s">
        <v>477</v>
      </c>
      <c r="I309">
        <v>10.51</v>
      </c>
      <c r="J309" s="227">
        <f t="shared" si="29"/>
        <v>-3.2228360957642699E-2</v>
      </c>
      <c r="K309" s="5">
        <f>J309-J1276</f>
        <v>-3.4364316873252657E-2</v>
      </c>
      <c r="M309" s="240" t="s">
        <v>475</v>
      </c>
      <c r="N309">
        <v>4508.24</v>
      </c>
      <c r="O309" s="227">
        <f t="shared" si="30"/>
        <v>-1.2804551153962063E-3</v>
      </c>
      <c r="P309" s="5">
        <f>O309-O1278</f>
        <v>-9.1469791448303478E-4</v>
      </c>
      <c r="Q309" s="8">
        <f t="shared" si="34"/>
        <v>8.366722747596132E-7</v>
      </c>
      <c r="S309" t="s">
        <v>475</v>
      </c>
      <c r="T309">
        <v>3.29</v>
      </c>
      <c r="U309" s="29">
        <f t="shared" si="31"/>
        <v>-6.0422960725076136E-3</v>
      </c>
      <c r="V309" s="5">
        <f>U309-V1274</f>
        <v>-7.7784868482146515E-3</v>
      </c>
      <c r="X309" s="1">
        <v>44938</v>
      </c>
      <c r="Y309">
        <v>3.89</v>
      </c>
      <c r="Z309" s="48">
        <f t="shared" si="32"/>
        <v>3.1830238726790583E-2</v>
      </c>
      <c r="AA309" s="5">
        <f>Z309-Y1274</f>
        <v>2.7612919257516449E-2</v>
      </c>
      <c r="AD309" t="s">
        <v>475</v>
      </c>
      <c r="AE309">
        <v>95.09</v>
      </c>
      <c r="AF309" s="29">
        <f t="shared" si="33"/>
        <v>-1.4701249606217104E-3</v>
      </c>
    </row>
    <row r="310" spans="1:32">
      <c r="A310" s="220">
        <v>45210</v>
      </c>
      <c r="B310" s="222">
        <v>51.58</v>
      </c>
      <c r="C310" s="227">
        <f t="shared" si="28"/>
        <v>-1.2633996937212899E-2</v>
      </c>
      <c r="D310" s="5">
        <f>C310-C1275</f>
        <v>-1.2712042506771788E-2</v>
      </c>
      <c r="F310" s="8"/>
      <c r="H310" t="s">
        <v>478</v>
      </c>
      <c r="I310">
        <v>9.77</v>
      </c>
      <c r="J310" s="227">
        <f t="shared" si="29"/>
        <v>-7.0409134157944808E-2</v>
      </c>
      <c r="K310" s="5">
        <f>J310-J1276</f>
        <v>-7.2545090073554766E-2</v>
      </c>
      <c r="M310" s="240" t="s">
        <v>476</v>
      </c>
      <c r="N310">
        <v>4502.88</v>
      </c>
      <c r="O310" s="227">
        <f t="shared" si="30"/>
        <v>-1.1889340407785776E-3</v>
      </c>
      <c r="P310" s="5">
        <f>O310-O1278</f>
        <v>-8.2317683986540607E-4</v>
      </c>
      <c r="Q310" s="8">
        <f t="shared" si="34"/>
        <v>6.7762010969079642E-7</v>
      </c>
      <c r="S310" t="s">
        <v>476</v>
      </c>
      <c r="T310">
        <v>3.42</v>
      </c>
      <c r="U310" s="29">
        <f t="shared" si="31"/>
        <v>3.951367781155013E-2</v>
      </c>
      <c r="V310" s="5">
        <f>U310-V1274</f>
        <v>3.7777487035843091E-2</v>
      </c>
      <c r="X310" t="s">
        <v>466</v>
      </c>
      <c r="Y310">
        <v>3.97</v>
      </c>
      <c r="Z310" s="48">
        <f t="shared" si="32"/>
        <v>2.0565552699228773E-2</v>
      </c>
      <c r="AA310" s="5">
        <f>Z310-Y1274</f>
        <v>1.6348233229954639E-2</v>
      </c>
      <c r="AD310" t="s">
        <v>476</v>
      </c>
      <c r="AE310">
        <v>95.16</v>
      </c>
      <c r="AF310" s="29">
        <f t="shared" si="33"/>
        <v>7.3614470501626172E-4</v>
      </c>
    </row>
    <row r="311" spans="1:32">
      <c r="A311" s="220">
        <v>45180</v>
      </c>
      <c r="B311" s="222">
        <v>50.05</v>
      </c>
      <c r="C311" s="227">
        <f t="shared" si="28"/>
        <v>-2.9662659945715375E-2</v>
      </c>
      <c r="D311" s="5">
        <f>C311-C1275</f>
        <v>-2.9740705515274263E-2</v>
      </c>
      <c r="F311" s="8"/>
      <c r="H311" s="1">
        <v>45210</v>
      </c>
      <c r="I311">
        <v>10.26</v>
      </c>
      <c r="J311" s="227">
        <f t="shared" si="29"/>
        <v>5.0153531218014358E-2</v>
      </c>
      <c r="K311" s="5">
        <f>J311-J1276</f>
        <v>4.80175753024044E-2</v>
      </c>
      <c r="M311" s="240" t="s">
        <v>477</v>
      </c>
      <c r="N311">
        <v>4495.7</v>
      </c>
      <c r="O311" s="227">
        <f t="shared" si="30"/>
        <v>-1.5945350531215707E-3</v>
      </c>
      <c r="P311" s="5">
        <f>O311-O1278</f>
        <v>-1.2287778522083992E-3</v>
      </c>
      <c r="Q311" s="8">
        <f t="shared" si="34"/>
        <v>1.5098950100778866E-6</v>
      </c>
      <c r="S311" t="s">
        <v>477</v>
      </c>
      <c r="T311">
        <v>3.32</v>
      </c>
      <c r="U311" s="29">
        <f t="shared" si="31"/>
        <v>-2.9239766081871399E-2</v>
      </c>
      <c r="V311" s="5">
        <f>U311-V1274</f>
        <v>-3.0975956857578438E-2</v>
      </c>
      <c r="X311" t="s">
        <v>467</v>
      </c>
      <c r="Y311">
        <v>4</v>
      </c>
      <c r="Z311" s="48">
        <f t="shared" si="32"/>
        <v>7.5566750629723067E-3</v>
      </c>
      <c r="AA311" s="5">
        <f>Z311-Y1274</f>
        <v>3.3393555936981727E-3</v>
      </c>
      <c r="AD311" t="s">
        <v>477</v>
      </c>
      <c r="AE311">
        <v>93.69</v>
      </c>
      <c r="AF311" s="29">
        <f t="shared" si="33"/>
        <v>-1.5447667087011285E-2</v>
      </c>
    </row>
    <row r="312" spans="1:32">
      <c r="A312" s="220">
        <v>45149</v>
      </c>
      <c r="B312" s="222">
        <v>49.5</v>
      </c>
      <c r="C312" s="227">
        <f t="shared" si="28"/>
        <v>-1.098901098901095E-2</v>
      </c>
      <c r="D312" s="5">
        <f>C312-C1275</f>
        <v>-1.1067056558569838E-2</v>
      </c>
      <c r="F312" s="8"/>
      <c r="H312" s="1">
        <v>45180</v>
      </c>
      <c r="I312">
        <v>10.08</v>
      </c>
      <c r="J312" s="227">
        <f t="shared" si="29"/>
        <v>-1.7543859649122751E-2</v>
      </c>
      <c r="K312" s="5">
        <f>J312-J1276</f>
        <v>-1.9679815564732708E-2</v>
      </c>
      <c r="M312" s="240" t="s">
        <v>478</v>
      </c>
      <c r="N312">
        <v>4411.55</v>
      </c>
      <c r="O312" s="227">
        <f t="shared" si="30"/>
        <v>-1.8717885979936288E-2</v>
      </c>
      <c r="P312" s="5">
        <f>O312-O1278</f>
        <v>-1.8352128779023116E-2</v>
      </c>
      <c r="Q312" s="8">
        <f t="shared" si="34"/>
        <v>3.3680063072184845E-4</v>
      </c>
      <c r="S312" t="s">
        <v>478</v>
      </c>
      <c r="T312">
        <v>3.33</v>
      </c>
      <c r="U312" s="29">
        <f t="shared" si="31"/>
        <v>3.0120481927711218E-3</v>
      </c>
      <c r="V312" s="5">
        <f>U312-V1274</f>
        <v>1.2758574170640838E-3</v>
      </c>
      <c r="X312" t="s">
        <v>468</v>
      </c>
      <c r="Y312">
        <v>4.01</v>
      </c>
      <c r="Z312" s="48">
        <f t="shared" si="32"/>
        <v>2.4999999999999467E-3</v>
      </c>
      <c r="AA312" s="5">
        <f>Z312-Y1274</f>
        <v>-1.7173194692741874E-3</v>
      </c>
      <c r="AD312" t="s">
        <v>478</v>
      </c>
      <c r="AE312">
        <v>89.77</v>
      </c>
      <c r="AF312" s="29">
        <f t="shared" si="33"/>
        <v>-4.1840111004376124E-2</v>
      </c>
    </row>
    <row r="313" spans="1:32">
      <c r="A313" s="220">
        <v>45118</v>
      </c>
      <c r="B313" s="222">
        <v>49.92</v>
      </c>
      <c r="C313" s="227">
        <f t="shared" si="28"/>
        <v>8.4848484848485395E-3</v>
      </c>
      <c r="D313" s="5">
        <f>C313-C1275</f>
        <v>8.406802915289651E-3</v>
      </c>
      <c r="F313" s="8"/>
      <c r="H313" s="1">
        <v>45149</v>
      </c>
      <c r="I313">
        <v>10.72</v>
      </c>
      <c r="J313" s="227">
        <f t="shared" si="29"/>
        <v>6.3492063492063489E-2</v>
      </c>
      <c r="K313" s="5">
        <f>J313-J1276</f>
        <v>6.1356107576453531E-2</v>
      </c>
      <c r="M313" s="241">
        <v>45210</v>
      </c>
      <c r="N313">
        <v>4415.24</v>
      </c>
      <c r="O313" s="227">
        <f t="shared" si="30"/>
        <v>8.3644070678090543E-4</v>
      </c>
      <c r="P313" s="5">
        <f>O313-O1278</f>
        <v>1.2021979076940769E-3</v>
      </c>
      <c r="Q313" s="8">
        <f t="shared" si="34"/>
        <v>1.4452798092640162E-6</v>
      </c>
      <c r="S313" s="1">
        <v>45210</v>
      </c>
      <c r="T313">
        <v>3.27</v>
      </c>
      <c r="U313" s="29">
        <f t="shared" si="31"/>
        <v>-1.8018018018018056E-2</v>
      </c>
      <c r="V313" s="5">
        <f>U313-V1274</f>
        <v>-1.9754208793725095E-2</v>
      </c>
      <c r="X313" t="s">
        <v>469</v>
      </c>
      <c r="Y313">
        <v>3.9</v>
      </c>
      <c r="Z313" s="48">
        <f t="shared" si="32"/>
        <v>-2.7431421446383997E-2</v>
      </c>
      <c r="AA313" s="5">
        <f>Z313-Y1274</f>
        <v>-3.1648740915658127E-2</v>
      </c>
      <c r="AD313" s="1">
        <v>45210</v>
      </c>
      <c r="AE313">
        <v>87.47</v>
      </c>
      <c r="AF313" s="29">
        <f t="shared" si="33"/>
        <v>-2.5621031525008275E-2</v>
      </c>
    </row>
    <row r="314" spans="1:32">
      <c r="A314" s="220">
        <v>45088</v>
      </c>
      <c r="B314" s="222">
        <v>48.14</v>
      </c>
      <c r="C314" s="227">
        <f t="shared" si="28"/>
        <v>-3.5657051282051322E-2</v>
      </c>
      <c r="D314" s="5">
        <f>C314-C1275</f>
        <v>-3.5735096851610214E-2</v>
      </c>
      <c r="F314" s="8"/>
      <c r="H314" s="1">
        <v>45118</v>
      </c>
      <c r="I314">
        <v>10.83</v>
      </c>
      <c r="J314" s="227">
        <f t="shared" si="29"/>
        <v>1.0261194029850706E-2</v>
      </c>
      <c r="K314" s="5">
        <f>J314-J1276</f>
        <v>8.1252381142407487E-3</v>
      </c>
      <c r="M314" s="241">
        <v>45180</v>
      </c>
      <c r="N314">
        <v>4347.3500000000004</v>
      </c>
      <c r="O314" s="227">
        <f t="shared" si="30"/>
        <v>-1.5376287585725623E-2</v>
      </c>
      <c r="P314" s="5">
        <f>O314-O1278</f>
        <v>-1.5010530384812452E-2</v>
      </c>
      <c r="Q314" s="8">
        <f t="shared" si="34"/>
        <v>2.2531602243337786E-4</v>
      </c>
      <c r="S314" s="1">
        <v>45180</v>
      </c>
      <c r="T314">
        <v>3.29</v>
      </c>
      <c r="U314" s="29">
        <f t="shared" si="31"/>
        <v>6.1162079510703737E-3</v>
      </c>
      <c r="V314" s="5">
        <f>U314-V1274</f>
        <v>4.3800171753633358E-3</v>
      </c>
      <c r="X314" t="s">
        <v>470</v>
      </c>
      <c r="Y314">
        <v>3.98</v>
      </c>
      <c r="Z314" s="48">
        <f t="shared" si="32"/>
        <v>2.051282051282044E-2</v>
      </c>
      <c r="AA314" s="5">
        <f>Z314-Y1274</f>
        <v>1.6295501043546306E-2</v>
      </c>
      <c r="AD314" s="1">
        <v>45180</v>
      </c>
      <c r="AE314">
        <v>84.53</v>
      </c>
      <c r="AF314" s="29">
        <f t="shared" si="33"/>
        <v>-3.3611523951068922E-2</v>
      </c>
    </row>
    <row r="315" spans="1:32">
      <c r="A315" s="220">
        <v>44996</v>
      </c>
      <c r="B315" s="222">
        <v>47.75</v>
      </c>
      <c r="C315" s="227">
        <f t="shared" si="28"/>
        <v>-8.1013710012464157E-3</v>
      </c>
      <c r="D315" s="5">
        <f>C315-C1275</f>
        <v>-8.1794165708053042E-3</v>
      </c>
      <c r="F315" s="8"/>
      <c r="H315" s="1">
        <v>45088</v>
      </c>
      <c r="I315">
        <v>10.53</v>
      </c>
      <c r="J315" s="227">
        <f t="shared" si="29"/>
        <v>-2.7700831024930817E-2</v>
      </c>
      <c r="K315" s="5">
        <f>J315-J1276</f>
        <v>-2.9836786940540774E-2</v>
      </c>
      <c r="M315" s="241">
        <v>45149</v>
      </c>
      <c r="N315">
        <v>4382.78</v>
      </c>
      <c r="O315" s="227">
        <f t="shared" si="30"/>
        <v>8.1497924022679857E-3</v>
      </c>
      <c r="P315" s="5">
        <f>O315-O1278</f>
        <v>8.5155496031811568E-3</v>
      </c>
      <c r="Q315" s="8">
        <f t="shared" si="34"/>
        <v>7.2514585044238753E-5</v>
      </c>
      <c r="S315" s="1">
        <v>45149</v>
      </c>
      <c r="T315">
        <v>3.19</v>
      </c>
      <c r="U315" s="29">
        <f t="shared" si="31"/>
        <v>-3.0395136778115561E-2</v>
      </c>
      <c r="V315" s="5">
        <f>U315-V1274</f>
        <v>-3.21313275538226E-2</v>
      </c>
      <c r="X315" t="s">
        <v>471</v>
      </c>
      <c r="Y315">
        <v>4.01</v>
      </c>
      <c r="Z315" s="48">
        <f t="shared" si="32"/>
        <v>7.5376884422109214E-3</v>
      </c>
      <c r="AA315" s="5">
        <f>Z315-Y1274</f>
        <v>3.3203689729367873E-3</v>
      </c>
      <c r="AD315" s="1">
        <v>45149</v>
      </c>
      <c r="AE315">
        <v>87.31</v>
      </c>
      <c r="AF315" s="29">
        <f t="shared" si="33"/>
        <v>3.2887732166094974E-2</v>
      </c>
    </row>
    <row r="316" spans="1:32">
      <c r="A316" s="220">
        <v>44968</v>
      </c>
      <c r="B316" s="222">
        <v>46.48</v>
      </c>
      <c r="C316" s="227">
        <f t="shared" si="28"/>
        <v>-2.6596858638743504E-2</v>
      </c>
      <c r="D316" s="5">
        <f>C316-C1275</f>
        <v>-2.6674904208302392E-2</v>
      </c>
      <c r="F316" s="8"/>
      <c r="H316" s="1">
        <v>44996</v>
      </c>
      <c r="I316">
        <v>10.66</v>
      </c>
      <c r="J316" s="227">
        <f t="shared" si="29"/>
        <v>1.2345679012345734E-2</v>
      </c>
      <c r="K316" s="5">
        <f>J316-J1276</f>
        <v>1.0209723096735776E-2</v>
      </c>
      <c r="M316" s="241">
        <v>45118</v>
      </c>
      <c r="N316">
        <v>4378.38</v>
      </c>
      <c r="O316" s="227">
        <f t="shared" si="30"/>
        <v>-1.0039290130920975E-3</v>
      </c>
      <c r="P316" s="5">
        <f>O316-O1278</f>
        <v>-6.3817181217892599E-4</v>
      </c>
      <c r="Q316" s="8">
        <f t="shared" si="34"/>
        <v>4.072632618597344E-7</v>
      </c>
      <c r="S316" s="1">
        <v>45118</v>
      </c>
      <c r="T316">
        <v>3.17</v>
      </c>
      <c r="U316" s="29">
        <f t="shared" si="31"/>
        <v>-6.2695924764890609E-3</v>
      </c>
      <c r="V316" s="5">
        <f>U316-V1274</f>
        <v>-8.0057832521960998E-3</v>
      </c>
      <c r="X316" t="s">
        <v>472</v>
      </c>
      <c r="Y316">
        <v>4.05</v>
      </c>
      <c r="Z316" s="48">
        <f t="shared" si="32"/>
        <v>9.9750623441396957E-3</v>
      </c>
      <c r="AA316" s="5">
        <f>Z316-Y1274</f>
        <v>5.7577428748655617E-3</v>
      </c>
      <c r="AD316" s="1">
        <v>45118</v>
      </c>
      <c r="AE316">
        <v>88.91</v>
      </c>
      <c r="AF316" s="29">
        <f t="shared" si="33"/>
        <v>1.8325506814797832E-2</v>
      </c>
    </row>
    <row r="317" spans="1:32">
      <c r="A317" s="220">
        <v>44937</v>
      </c>
      <c r="B317" s="222">
        <v>43.83</v>
      </c>
      <c r="C317" s="227">
        <f t="shared" si="28"/>
        <v>-5.7013769363166933E-2</v>
      </c>
      <c r="D317" s="5">
        <f>C317-C1275</f>
        <v>-5.7091814932725825E-2</v>
      </c>
      <c r="F317" s="8"/>
      <c r="H317" s="1">
        <v>44968</v>
      </c>
      <c r="I317">
        <v>9.94</v>
      </c>
      <c r="J317" s="227">
        <f t="shared" si="29"/>
        <v>-6.7542213883677316E-2</v>
      </c>
      <c r="K317" s="5">
        <f>J317-J1276</f>
        <v>-6.9678169799287273E-2</v>
      </c>
      <c r="M317" s="241">
        <v>45088</v>
      </c>
      <c r="N317">
        <v>4365.9799999999996</v>
      </c>
      <c r="O317" s="227">
        <f t="shared" si="30"/>
        <v>-2.8320977165071648E-3</v>
      </c>
      <c r="P317" s="5">
        <f>O317-O1278</f>
        <v>-2.4663405155939933E-3</v>
      </c>
      <c r="Q317" s="8">
        <f t="shared" si="34"/>
        <v>6.0828355388604444E-6</v>
      </c>
      <c r="S317" s="1">
        <v>45088</v>
      </c>
      <c r="T317">
        <v>3.14</v>
      </c>
      <c r="U317" s="29">
        <f t="shared" si="31"/>
        <v>-9.4637223974762819E-3</v>
      </c>
      <c r="V317" s="5">
        <f>U317-V1274</f>
        <v>-1.1199913173183321E-2</v>
      </c>
      <c r="X317" t="s">
        <v>473</v>
      </c>
      <c r="Y317">
        <v>4</v>
      </c>
      <c r="Z317" s="48">
        <f t="shared" si="32"/>
        <v>-1.2345679012345623E-2</v>
      </c>
      <c r="AA317" s="5">
        <f>Z317-Y1274</f>
        <v>-1.6562998481619757E-2</v>
      </c>
      <c r="AD317" s="1">
        <v>45088</v>
      </c>
      <c r="AE317">
        <v>89.04</v>
      </c>
      <c r="AF317" s="29">
        <f t="shared" si="33"/>
        <v>1.4621527387246314E-3</v>
      </c>
    </row>
    <row r="318" spans="1:32">
      <c r="A318" s="3" t="s">
        <v>479</v>
      </c>
      <c r="B318" s="222">
        <v>43.28</v>
      </c>
      <c r="C318" s="227">
        <f t="shared" si="28"/>
        <v>-1.2548482774355385E-2</v>
      </c>
      <c r="D318" s="5">
        <f>C318-C1275</f>
        <v>-1.2626528343914274E-2</v>
      </c>
      <c r="F318" s="8"/>
      <c r="H318" s="1">
        <v>44937</v>
      </c>
      <c r="I318">
        <v>9.17</v>
      </c>
      <c r="J318" s="227">
        <f t="shared" si="29"/>
        <v>-7.7464788732394374E-2</v>
      </c>
      <c r="K318" s="5">
        <f>J318-J1276</f>
        <v>-7.9600744648004332E-2</v>
      </c>
      <c r="M318" s="241">
        <v>44996</v>
      </c>
      <c r="N318">
        <v>4358.34</v>
      </c>
      <c r="O318" s="227">
        <f t="shared" si="30"/>
        <v>-1.749893494702115E-3</v>
      </c>
      <c r="P318" s="5">
        <f>O318-O1278</f>
        <v>-1.3841362937889435E-3</v>
      </c>
      <c r="Q318" s="8">
        <f t="shared" si="34"/>
        <v>1.9158332797837923E-6</v>
      </c>
      <c r="S318" s="1">
        <v>44996</v>
      </c>
      <c r="T318">
        <v>3.16</v>
      </c>
      <c r="U318" s="29">
        <f t="shared" si="31"/>
        <v>6.3694267515923553E-3</v>
      </c>
      <c r="V318" s="5">
        <f>U318-V1274</f>
        <v>4.6332359758853173E-3</v>
      </c>
      <c r="X318" t="s">
        <v>474</v>
      </c>
      <c r="Y318">
        <v>3.84</v>
      </c>
      <c r="Z318" s="48">
        <f t="shared" si="32"/>
        <v>-4.0000000000000036E-2</v>
      </c>
      <c r="AA318" s="5">
        <f>Z318-Y1274</f>
        <v>-4.4217319469274166E-2</v>
      </c>
      <c r="AD318" s="1">
        <v>44996</v>
      </c>
      <c r="AE318">
        <v>92.49</v>
      </c>
      <c r="AF318" s="29">
        <f t="shared" si="33"/>
        <v>3.8746630727762632E-2</v>
      </c>
    </row>
    <row r="319" spans="1:32">
      <c r="A319" s="3" t="s">
        <v>480</v>
      </c>
      <c r="B319" s="222">
        <v>42.73</v>
      </c>
      <c r="C319" s="227">
        <f t="shared" si="28"/>
        <v>-1.2707948243992684E-2</v>
      </c>
      <c r="D319" s="5">
        <f>C319-C1275</f>
        <v>-1.2785993813551572E-2</v>
      </c>
      <c r="F319" s="8"/>
      <c r="H319" t="s">
        <v>479</v>
      </c>
      <c r="I319">
        <v>9.17</v>
      </c>
      <c r="J319" s="227">
        <f t="shared" si="29"/>
        <v>0</v>
      </c>
      <c r="K319" s="5">
        <f>J319-J1276</f>
        <v>-2.1359559156099578E-3</v>
      </c>
      <c r="M319" s="241">
        <v>44968</v>
      </c>
      <c r="N319">
        <v>4317.78</v>
      </c>
      <c r="O319" s="227">
        <f t="shared" si="30"/>
        <v>-9.3062955161828942E-3</v>
      </c>
      <c r="P319" s="5">
        <f>O319-O1278</f>
        <v>-8.9405383152697231E-3</v>
      </c>
      <c r="Q319" s="8">
        <f t="shared" si="34"/>
        <v>7.9933225366805982E-5</v>
      </c>
      <c r="S319" s="1">
        <v>44968</v>
      </c>
      <c r="T319">
        <v>3.13</v>
      </c>
      <c r="U319" s="29">
        <f t="shared" si="31"/>
        <v>-9.493670886076E-3</v>
      </c>
      <c r="V319" s="5">
        <f>U319-V1274</f>
        <v>-1.1229861661783039E-2</v>
      </c>
      <c r="X319" t="s">
        <v>475</v>
      </c>
      <c r="Y319">
        <v>3.8</v>
      </c>
      <c r="Z319" s="48">
        <f t="shared" si="32"/>
        <v>-1.041666666666663E-2</v>
      </c>
      <c r="AA319" s="5">
        <f>Z319-Y1274</f>
        <v>-1.4633986135940764E-2</v>
      </c>
      <c r="AD319" s="1">
        <v>44968</v>
      </c>
      <c r="AE319">
        <v>87.79</v>
      </c>
      <c r="AF319" s="29">
        <f t="shared" si="33"/>
        <v>-5.0816304465347462E-2</v>
      </c>
    </row>
    <row r="320" spans="1:32">
      <c r="A320" s="3" t="s">
        <v>481</v>
      </c>
      <c r="B320" s="222">
        <v>41.23</v>
      </c>
      <c r="C320" s="227">
        <f t="shared" si="28"/>
        <v>-3.5104142288790108E-2</v>
      </c>
      <c r="D320" s="5">
        <f>C320-C1275</f>
        <v>-3.5182187858349E-2</v>
      </c>
      <c r="E320" s="1"/>
      <c r="F320" s="8"/>
      <c r="H320" t="s">
        <v>480</v>
      </c>
      <c r="I320">
        <v>9.43</v>
      </c>
      <c r="J320" s="227">
        <f t="shared" si="29"/>
        <v>2.8353326063249806E-2</v>
      </c>
      <c r="K320" s="5">
        <f>J320-J1276</f>
        <v>2.6217370147639849E-2</v>
      </c>
      <c r="M320" s="241">
        <v>44937</v>
      </c>
      <c r="N320">
        <v>4237.8599999999997</v>
      </c>
      <c r="O320" s="227">
        <f t="shared" si="30"/>
        <v>-1.8509511832469516E-2</v>
      </c>
      <c r="P320" s="5">
        <f>O320-O1278</f>
        <v>-1.8143754631556343E-2</v>
      </c>
      <c r="Q320" s="8">
        <f t="shared" si="34"/>
        <v>3.2919583213012225E-4</v>
      </c>
      <c r="S320" s="1">
        <v>44937</v>
      </c>
      <c r="T320">
        <v>3.05</v>
      </c>
      <c r="U320" s="29">
        <f t="shared" si="31"/>
        <v>-2.5559105431309903E-2</v>
      </c>
      <c r="V320" s="5">
        <f>U320-V1274</f>
        <v>-2.7295296207016942E-2</v>
      </c>
      <c r="X320" t="s">
        <v>476</v>
      </c>
      <c r="Y320">
        <v>3.9</v>
      </c>
      <c r="Z320" s="48">
        <f t="shared" si="32"/>
        <v>2.6315789473684292E-2</v>
      </c>
      <c r="AA320" s="5">
        <f>Z320-Y1274</f>
        <v>2.2098470004410158E-2</v>
      </c>
      <c r="AD320" s="1">
        <v>44937</v>
      </c>
      <c r="AE320">
        <v>75.900000000000006</v>
      </c>
      <c r="AF320" s="29">
        <f t="shared" si="33"/>
        <v>-0.13543683790864558</v>
      </c>
    </row>
    <row r="321" spans="1:32">
      <c r="A321" s="3" t="s">
        <v>482</v>
      </c>
      <c r="B321" s="222">
        <v>40.619999999999997</v>
      </c>
      <c r="C321" s="227">
        <f t="shared" si="28"/>
        <v>-1.4795052146495236E-2</v>
      </c>
      <c r="D321" s="5">
        <f>C321-C1275</f>
        <v>-1.4873097716054124E-2</v>
      </c>
      <c r="E321" s="1"/>
      <c r="F321" s="8"/>
      <c r="H321" t="s">
        <v>481</v>
      </c>
      <c r="I321">
        <v>9.26</v>
      </c>
      <c r="J321" s="227">
        <f t="shared" si="29"/>
        <v>-1.8027571580063628E-2</v>
      </c>
      <c r="K321" s="5">
        <f>J321-J1276</f>
        <v>-2.0163527495673586E-2</v>
      </c>
      <c r="M321" s="240" t="s">
        <v>479</v>
      </c>
      <c r="N321">
        <v>4193.8</v>
      </c>
      <c r="O321" s="227">
        <f t="shared" si="30"/>
        <v>-1.03967568536949E-2</v>
      </c>
      <c r="P321" s="5">
        <f>O321-O1278</f>
        <v>-1.0030999652781728E-2</v>
      </c>
      <c r="Q321" s="8">
        <f t="shared" si="34"/>
        <v>1.0062095403410716E-4</v>
      </c>
      <c r="S321" t="s">
        <v>479</v>
      </c>
      <c r="T321">
        <v>3.07</v>
      </c>
      <c r="U321" s="29">
        <f t="shared" si="31"/>
        <v>6.5573770491802463E-3</v>
      </c>
      <c r="V321" s="5">
        <f>U321-V1274</f>
        <v>4.8211862734732084E-3</v>
      </c>
      <c r="X321" t="s">
        <v>477</v>
      </c>
      <c r="Y321">
        <v>3.83</v>
      </c>
      <c r="Z321" s="48">
        <f t="shared" si="32"/>
        <v>-1.7948717948717885E-2</v>
      </c>
      <c r="AA321" s="5">
        <f>Z321-Y1274</f>
        <v>-2.2166037417992019E-2</v>
      </c>
      <c r="AD321" t="s">
        <v>479</v>
      </c>
      <c r="AE321">
        <v>74.95</v>
      </c>
      <c r="AF321" s="29">
        <f t="shared" si="33"/>
        <v>-1.2516469038208244E-2</v>
      </c>
    </row>
    <row r="322" spans="1:32">
      <c r="A322" s="3" t="s">
        <v>483</v>
      </c>
      <c r="B322" s="222">
        <v>42.35</v>
      </c>
      <c r="C322" s="227">
        <f t="shared" si="28"/>
        <v>4.2589857213195526E-2</v>
      </c>
      <c r="D322" s="5">
        <f>C322-C1275</f>
        <v>4.2511811643636634E-2</v>
      </c>
      <c r="E322" s="1"/>
      <c r="F322" s="8"/>
      <c r="H322" t="s">
        <v>482</v>
      </c>
      <c r="I322">
        <v>9.43</v>
      </c>
      <c r="J322" s="227">
        <f t="shared" si="29"/>
        <v>1.8358531317494542E-2</v>
      </c>
      <c r="K322" s="5">
        <f>J322-J1276</f>
        <v>1.6222575401884584E-2</v>
      </c>
      <c r="M322" s="240" t="s">
        <v>480</v>
      </c>
      <c r="N322">
        <v>4166.82</v>
      </c>
      <c r="O322" s="227">
        <f t="shared" si="30"/>
        <v>-6.4333063093138243E-3</v>
      </c>
      <c r="P322" s="5">
        <f>O322-O1278</f>
        <v>-6.0675491084006524E-3</v>
      </c>
      <c r="Q322" s="8">
        <f t="shared" si="34"/>
        <v>3.6815152182853551E-5</v>
      </c>
      <c r="S322" t="s">
        <v>480</v>
      </c>
      <c r="T322">
        <v>3.1</v>
      </c>
      <c r="U322" s="29">
        <f t="shared" si="31"/>
        <v>9.7719869706840434E-3</v>
      </c>
      <c r="V322" s="5">
        <f>U322-V1274</f>
        <v>8.0357961949770046E-3</v>
      </c>
      <c r="X322" t="s">
        <v>478</v>
      </c>
      <c r="Y322">
        <v>3.82</v>
      </c>
      <c r="Z322" s="48">
        <f t="shared" si="32"/>
        <v>-2.6109660574412663E-3</v>
      </c>
      <c r="AA322" s="5">
        <f>Z322-Y1274</f>
        <v>-6.8282855267154004E-3</v>
      </c>
      <c r="AD322" t="s">
        <v>480</v>
      </c>
      <c r="AE322">
        <v>73.209999999999994</v>
      </c>
      <c r="AF322" s="29">
        <f t="shared" si="33"/>
        <v>-2.3215476984656536E-2</v>
      </c>
    </row>
    <row r="323" spans="1:32">
      <c r="A323" s="3" t="s">
        <v>484</v>
      </c>
      <c r="B323" s="222">
        <v>44.19</v>
      </c>
      <c r="C323" s="227">
        <f t="shared" si="28"/>
        <v>4.3447461629279704E-2</v>
      </c>
      <c r="D323" s="5">
        <f>C323-C1275</f>
        <v>4.3369416059720813E-2</v>
      </c>
      <c r="E323" s="1"/>
      <c r="F323" s="8"/>
      <c r="H323" t="s">
        <v>483</v>
      </c>
      <c r="I323">
        <v>9.7899999999999991</v>
      </c>
      <c r="J323" s="227">
        <f t="shared" si="29"/>
        <v>3.8176033934252285E-2</v>
      </c>
      <c r="K323" s="5">
        <f>J323-J1276</f>
        <v>3.6040078018642327E-2</v>
      </c>
      <c r="M323" s="240" t="s">
        <v>481</v>
      </c>
      <c r="N323">
        <v>4117.37</v>
      </c>
      <c r="O323" s="227">
        <f t="shared" si="30"/>
        <v>-1.1867563273671444E-2</v>
      </c>
      <c r="P323" s="5">
        <f>O323-O1278</f>
        <v>-1.1501806072758273E-2</v>
      </c>
      <c r="Q323" s="8">
        <f t="shared" si="34"/>
        <v>1.3229154293533909E-4</v>
      </c>
      <c r="S323" t="s">
        <v>481</v>
      </c>
      <c r="T323">
        <v>3.03</v>
      </c>
      <c r="U323" s="29">
        <f t="shared" si="31"/>
        <v>-2.2580645161290436E-2</v>
      </c>
      <c r="V323" s="5">
        <f>U323-V1274</f>
        <v>-2.4316835936997475E-2</v>
      </c>
      <c r="X323" s="1">
        <v>45210</v>
      </c>
      <c r="Y323">
        <v>3.49</v>
      </c>
      <c r="Z323" s="48">
        <f t="shared" si="32"/>
        <v>-8.6387434554973774E-2</v>
      </c>
      <c r="AA323" s="5">
        <f>Z323-Y1274</f>
        <v>-9.0604754024247905E-2</v>
      </c>
      <c r="AD323" t="s">
        <v>481</v>
      </c>
      <c r="AE323">
        <v>70.650000000000006</v>
      </c>
      <c r="AF323" s="29">
        <f t="shared" si="33"/>
        <v>-3.4967900560032628E-2</v>
      </c>
    </row>
    <row r="324" spans="1:32">
      <c r="A324" s="3" t="s">
        <v>485</v>
      </c>
      <c r="B324" s="222">
        <v>43.04</v>
      </c>
      <c r="C324" s="227">
        <f t="shared" si="28"/>
        <v>-2.6023987327449594E-2</v>
      </c>
      <c r="D324" s="5">
        <f>C324-C1275</f>
        <v>-2.6102032897008482E-2</v>
      </c>
      <c r="E324" s="1"/>
      <c r="F324" s="8"/>
      <c r="H324" t="s">
        <v>484</v>
      </c>
      <c r="I324">
        <v>10.33</v>
      </c>
      <c r="J324" s="227">
        <f t="shared" si="29"/>
        <v>5.5158324821246163E-2</v>
      </c>
      <c r="K324" s="5">
        <f>J324-J1276</f>
        <v>5.3022368905636205E-2</v>
      </c>
      <c r="M324" s="240" t="s">
        <v>482</v>
      </c>
      <c r="N324">
        <v>4137.2299999999996</v>
      </c>
      <c r="O324" s="227">
        <f t="shared" si="30"/>
        <v>4.823467407592652E-3</v>
      </c>
      <c r="P324" s="5">
        <f>O324-O1278</f>
        <v>5.1892246085058239E-3</v>
      </c>
      <c r="Q324" s="8">
        <f t="shared" si="34"/>
        <v>2.692805203752242E-5</v>
      </c>
      <c r="S324" t="s">
        <v>482</v>
      </c>
      <c r="T324">
        <v>3.08</v>
      </c>
      <c r="U324" s="29">
        <f t="shared" si="31"/>
        <v>1.650165016501659E-2</v>
      </c>
      <c r="V324" s="5">
        <f>U324-V1274</f>
        <v>1.4765459389309551E-2</v>
      </c>
      <c r="X324" s="1">
        <v>45180</v>
      </c>
      <c r="Y324">
        <v>3.45</v>
      </c>
      <c r="Z324" s="48">
        <f t="shared" si="32"/>
        <v>-1.1461318051575908E-2</v>
      </c>
      <c r="AA324" s="5">
        <f>Z324-Y1274</f>
        <v>-1.5678637520850042E-2</v>
      </c>
      <c r="AD324" t="s">
        <v>482</v>
      </c>
      <c r="AE324">
        <v>71.03</v>
      </c>
      <c r="AF324" s="29">
        <f t="shared" si="33"/>
        <v>5.3786270346778409E-3</v>
      </c>
    </row>
    <row r="325" spans="1:32">
      <c r="A325" s="3" t="s">
        <v>486</v>
      </c>
      <c r="B325" s="222">
        <v>42.96</v>
      </c>
      <c r="C325" s="227">
        <f t="shared" si="28"/>
        <v>-1.8587360594795044E-3</v>
      </c>
      <c r="D325" s="5">
        <f>C325-C1275</f>
        <v>-1.9367816290383937E-3</v>
      </c>
      <c r="E325" s="1"/>
      <c r="F325" s="8"/>
      <c r="H325" t="s">
        <v>485</v>
      </c>
      <c r="I325">
        <v>9.99</v>
      </c>
      <c r="J325" s="227">
        <f t="shared" si="29"/>
        <v>-3.2913843175217838E-2</v>
      </c>
      <c r="K325" s="5">
        <f>J325-J1276</f>
        <v>-3.5049799090827796E-2</v>
      </c>
      <c r="M325" s="240" t="s">
        <v>483</v>
      </c>
      <c r="N325">
        <v>4186.7700000000004</v>
      </c>
      <c r="O325" s="227">
        <f t="shared" si="30"/>
        <v>1.1974195294919721E-2</v>
      </c>
      <c r="P325" s="5">
        <f>O325-O1278</f>
        <v>1.2339952495832892E-2</v>
      </c>
      <c r="Q325" s="8">
        <f t="shared" si="34"/>
        <v>1.5227442759941241E-4</v>
      </c>
      <c r="S325" t="s">
        <v>483</v>
      </c>
      <c r="T325">
        <v>3.2</v>
      </c>
      <c r="U325" s="29">
        <f t="shared" si="31"/>
        <v>3.8961038961039085E-2</v>
      </c>
      <c r="V325" s="5">
        <f>U325-V1274</f>
        <v>3.7224848185332046E-2</v>
      </c>
      <c r="X325" s="1">
        <v>45149</v>
      </c>
      <c r="Y325">
        <v>3.42</v>
      </c>
      <c r="Z325" s="48">
        <f t="shared" si="32"/>
        <v>-8.6956521739131043E-3</v>
      </c>
      <c r="AA325" s="5">
        <f>Z325-Y1274</f>
        <v>-1.2912971643187238E-2</v>
      </c>
      <c r="AD325" t="s">
        <v>483</v>
      </c>
      <c r="AE325">
        <v>72.28</v>
      </c>
      <c r="AF325" s="29">
        <f t="shared" si="33"/>
        <v>1.7598197944530547E-2</v>
      </c>
    </row>
    <row r="326" spans="1:32">
      <c r="A326" s="3" t="s">
        <v>487</v>
      </c>
      <c r="B326" s="222">
        <v>42.72</v>
      </c>
      <c r="C326" s="227">
        <f t="shared" si="28"/>
        <v>-5.5865921787709993E-3</v>
      </c>
      <c r="D326" s="5">
        <f>C326-C1275</f>
        <v>-5.6646377483298887E-3</v>
      </c>
      <c r="E326" s="1"/>
      <c r="F326" s="8"/>
      <c r="H326" t="s">
        <v>486</v>
      </c>
      <c r="I326">
        <v>10.1</v>
      </c>
      <c r="J326" s="227">
        <f t="shared" si="29"/>
        <v>1.1011011011010874E-2</v>
      </c>
      <c r="K326" s="5">
        <f>J326-J1276</f>
        <v>8.8750550954009161E-3</v>
      </c>
      <c r="M326" s="240" t="s">
        <v>484</v>
      </c>
      <c r="N326">
        <v>4247.68</v>
      </c>
      <c r="O326" s="227">
        <f t="shared" si="30"/>
        <v>1.4548207806972968E-2</v>
      </c>
      <c r="P326" s="5">
        <f>O326-O1278</f>
        <v>1.4913965007886139E-2</v>
      </c>
      <c r="Q326" s="8">
        <f t="shared" si="34"/>
        <v>2.2242635225645221E-4</v>
      </c>
      <c r="S326" t="s">
        <v>484</v>
      </c>
      <c r="T326">
        <v>3.28</v>
      </c>
      <c r="U326" s="29">
        <f t="shared" si="31"/>
        <v>2.4999999999999911E-2</v>
      </c>
      <c r="V326" s="5">
        <f>U326-V1274</f>
        <v>2.3263809224292872E-2</v>
      </c>
      <c r="X326" s="1">
        <v>45118</v>
      </c>
      <c r="Y326">
        <v>3.44</v>
      </c>
      <c r="Z326" s="48">
        <f t="shared" si="32"/>
        <v>5.8479532163742132E-3</v>
      </c>
      <c r="AA326" s="5">
        <f>Z326-Y1274</f>
        <v>1.6306337471000791E-3</v>
      </c>
      <c r="AD326" t="s">
        <v>484</v>
      </c>
      <c r="AE326">
        <v>76.36</v>
      </c>
      <c r="AF326" s="29">
        <f t="shared" si="33"/>
        <v>5.6447149972329802E-2</v>
      </c>
    </row>
    <row r="327" spans="1:32">
      <c r="A327" s="3" t="s">
        <v>488</v>
      </c>
      <c r="B327" s="222">
        <v>43</v>
      </c>
      <c r="C327" s="227">
        <f t="shared" si="28"/>
        <v>6.5543071161049404E-3</v>
      </c>
      <c r="D327" s="5">
        <f>C327-C1275</f>
        <v>6.4762615465460511E-3</v>
      </c>
      <c r="E327" s="1"/>
      <c r="F327" s="8"/>
      <c r="H327" t="s">
        <v>487</v>
      </c>
      <c r="I327">
        <v>10.09</v>
      </c>
      <c r="J327" s="227">
        <f t="shared" si="29"/>
        <v>-9.9009900990099098E-4</v>
      </c>
      <c r="K327" s="5">
        <f>J327-J1276</f>
        <v>-3.1260549255109488E-3</v>
      </c>
      <c r="M327" s="240" t="s">
        <v>485</v>
      </c>
      <c r="N327">
        <v>4217.04</v>
      </c>
      <c r="O327" s="227">
        <f t="shared" si="30"/>
        <v>-7.2133494048516322E-3</v>
      </c>
      <c r="P327" s="5">
        <f>O327-O1278</f>
        <v>-6.8475922039384603E-3</v>
      </c>
      <c r="Q327" s="8">
        <f t="shared" si="34"/>
        <v>4.6889518991438778E-5</v>
      </c>
      <c r="S327" t="s">
        <v>485</v>
      </c>
      <c r="T327">
        <v>3.25</v>
      </c>
      <c r="U327" s="29">
        <f t="shared" si="31"/>
        <v>-9.1463414634145312E-3</v>
      </c>
      <c r="V327" s="5">
        <f>U327-V1274</f>
        <v>-1.088253223912157E-2</v>
      </c>
      <c r="X327" s="1">
        <v>45088</v>
      </c>
      <c r="Y327">
        <v>3.45</v>
      </c>
      <c r="Z327" s="48">
        <f t="shared" si="32"/>
        <v>2.9069767441860517E-3</v>
      </c>
      <c r="AA327" s="5">
        <f>Z327-Y1274</f>
        <v>-1.3103427250880824E-3</v>
      </c>
      <c r="AD327" t="s">
        <v>485</v>
      </c>
      <c r="AE327">
        <v>74.81</v>
      </c>
      <c r="AF327" s="29">
        <f t="shared" si="33"/>
        <v>-2.0298585646935541E-2</v>
      </c>
    </row>
    <row r="328" spans="1:32">
      <c r="A328" s="3" t="s">
        <v>489</v>
      </c>
      <c r="B328" s="222">
        <v>44.38</v>
      </c>
      <c r="C328" s="227">
        <f t="shared" si="28"/>
        <v>3.209302325581409E-2</v>
      </c>
      <c r="D328" s="5">
        <f>C328-C1275</f>
        <v>3.2014977686255199E-2</v>
      </c>
      <c r="E328" s="1"/>
      <c r="F328" s="8"/>
      <c r="H328" t="s">
        <v>488</v>
      </c>
      <c r="I328">
        <v>10.31</v>
      </c>
      <c r="J328" s="227">
        <f t="shared" si="29"/>
        <v>2.1803766105054523E-2</v>
      </c>
      <c r="K328" s="5">
        <f>J328-J1276</f>
        <v>1.9667810189444565E-2</v>
      </c>
      <c r="M328" s="240" t="s">
        <v>486</v>
      </c>
      <c r="N328">
        <v>4224.16</v>
      </c>
      <c r="O328" s="227">
        <f t="shared" si="30"/>
        <v>1.6883880636655579E-3</v>
      </c>
      <c r="P328" s="5">
        <f>O328-O1278</f>
        <v>2.0541452645787294E-3</v>
      </c>
      <c r="Q328" s="8">
        <f t="shared" si="34"/>
        <v>4.2195127679912185E-6</v>
      </c>
      <c r="S328" t="s">
        <v>486</v>
      </c>
      <c r="T328">
        <v>3.27</v>
      </c>
      <c r="U328" s="29">
        <f t="shared" si="31"/>
        <v>6.1538461538461764E-3</v>
      </c>
      <c r="V328" s="5">
        <f>U328-V1274</f>
        <v>4.4176553781391384E-3</v>
      </c>
      <c r="X328" s="1">
        <v>44996</v>
      </c>
      <c r="Y328">
        <v>3.5</v>
      </c>
      <c r="Z328" s="48">
        <f t="shared" si="32"/>
        <v>1.4492753623188248E-2</v>
      </c>
      <c r="AA328" s="5">
        <f>Z328-Y1274</f>
        <v>1.0275434153914114E-2</v>
      </c>
      <c r="AD328" t="s">
        <v>486</v>
      </c>
      <c r="AE328">
        <v>73.069999999999993</v>
      </c>
      <c r="AF328" s="29">
        <f t="shared" si="33"/>
        <v>-2.3258922603930032E-2</v>
      </c>
    </row>
    <row r="329" spans="1:32">
      <c r="A329" s="3" t="s">
        <v>490</v>
      </c>
      <c r="B329" s="222">
        <v>44.71</v>
      </c>
      <c r="C329" s="227">
        <f t="shared" si="28"/>
        <v>7.435781883731396E-3</v>
      </c>
      <c r="D329" s="5">
        <f>C329-C1275</f>
        <v>7.3577363141725067E-3</v>
      </c>
      <c r="F329" s="8"/>
      <c r="H329" t="s">
        <v>489</v>
      </c>
      <c r="I329">
        <v>10.82</v>
      </c>
      <c r="J329" s="227">
        <f t="shared" si="29"/>
        <v>4.946653734238593E-2</v>
      </c>
      <c r="K329" s="5">
        <f>J329-J1276</f>
        <v>4.7330581426775972E-2</v>
      </c>
      <c r="M329" s="240" t="s">
        <v>487</v>
      </c>
      <c r="N329">
        <v>4278</v>
      </c>
      <c r="O329" s="227">
        <f t="shared" si="30"/>
        <v>1.2745729328434541E-2</v>
      </c>
      <c r="P329" s="5">
        <f>O329-O1278</f>
        <v>1.3111486529347712E-2</v>
      </c>
      <c r="Q329" s="8">
        <f t="shared" si="34"/>
        <v>1.7191107900926651E-4</v>
      </c>
      <c r="S329" t="s">
        <v>487</v>
      </c>
      <c r="T329">
        <v>3.3</v>
      </c>
      <c r="U329" s="29">
        <f t="shared" si="31"/>
        <v>9.1743119266054496E-3</v>
      </c>
      <c r="V329" s="5">
        <f>U329-V1274</f>
        <v>7.4381211508984116E-3</v>
      </c>
      <c r="X329" s="1">
        <v>44968</v>
      </c>
      <c r="Y329">
        <v>3.4</v>
      </c>
      <c r="Z329" s="48">
        <f t="shared" si="32"/>
        <v>-2.8571428571428581E-2</v>
      </c>
      <c r="AA329" s="5">
        <f>Z329-Y1274</f>
        <v>-3.2788748040702712E-2</v>
      </c>
      <c r="AD329" t="s">
        <v>487</v>
      </c>
      <c r="AE329">
        <v>73.37</v>
      </c>
      <c r="AF329" s="29">
        <f t="shared" si="33"/>
        <v>4.1056521144109404E-3</v>
      </c>
    </row>
    <row r="330" spans="1:32">
      <c r="A330" s="3" t="s">
        <v>491</v>
      </c>
      <c r="B330" s="222">
        <v>43.48</v>
      </c>
      <c r="C330" s="227">
        <f t="shared" si="28"/>
        <v>-2.7510624021471752E-2</v>
      </c>
      <c r="D330" s="5">
        <f>C330-C1275</f>
        <v>-2.7588669591030641E-2</v>
      </c>
      <c r="F330" s="8"/>
      <c r="H330" t="s">
        <v>490</v>
      </c>
      <c r="I330">
        <v>10.54</v>
      </c>
      <c r="J330" s="227">
        <f t="shared" si="29"/>
        <v>-2.5878003696857776E-2</v>
      </c>
      <c r="K330" s="5">
        <f>J330-J1276</f>
        <v>-2.8013959612467734E-2</v>
      </c>
      <c r="M330" s="240" t="s">
        <v>488</v>
      </c>
      <c r="N330">
        <v>4314.6000000000004</v>
      </c>
      <c r="O330" s="227">
        <f t="shared" si="30"/>
        <v>8.5553997194951492E-3</v>
      </c>
      <c r="P330" s="5">
        <f>O330-O1278</f>
        <v>8.9211569204083203E-3</v>
      </c>
      <c r="Q330" s="8">
        <f t="shared" si="34"/>
        <v>7.9587040798549267E-5</v>
      </c>
      <c r="S330" t="s">
        <v>488</v>
      </c>
      <c r="T330">
        <v>3.33</v>
      </c>
      <c r="U330" s="29">
        <f t="shared" si="31"/>
        <v>9.0909090909092605E-3</v>
      </c>
      <c r="V330" s="5">
        <f>U330-V1274</f>
        <v>7.3547183152022225E-3</v>
      </c>
      <c r="X330" s="1">
        <v>44937</v>
      </c>
      <c r="Y330">
        <v>3.4</v>
      </c>
      <c r="Z330" s="48">
        <f t="shared" si="32"/>
        <v>0</v>
      </c>
      <c r="AA330" s="5">
        <f>Z330-Y1274</f>
        <v>-4.2173194692741341E-3</v>
      </c>
      <c r="AD330" t="s">
        <v>488</v>
      </c>
      <c r="AE330">
        <v>74.5</v>
      </c>
      <c r="AF330" s="29">
        <f t="shared" si="33"/>
        <v>1.540139021398379E-2</v>
      </c>
    </row>
    <row r="331" spans="1:32">
      <c r="A331" s="220">
        <v>45270</v>
      </c>
      <c r="B331" s="222">
        <v>45.95</v>
      </c>
      <c r="C331" s="227">
        <f t="shared" si="28"/>
        <v>5.6807727690892484E-2</v>
      </c>
      <c r="D331" s="5">
        <f>C331-C1275</f>
        <v>5.6729682121333593E-2</v>
      </c>
      <c r="F331" s="8"/>
      <c r="H331" t="s">
        <v>491</v>
      </c>
      <c r="I331">
        <v>10.07</v>
      </c>
      <c r="J331" s="227">
        <f t="shared" si="29"/>
        <v>-4.4592030360531165E-2</v>
      </c>
      <c r="K331" s="5">
        <f>J331-J1276</f>
        <v>-4.6727986276141123E-2</v>
      </c>
      <c r="M331" s="240" t="s">
        <v>489</v>
      </c>
      <c r="N331">
        <v>4373.2</v>
      </c>
      <c r="O331" s="227">
        <f t="shared" si="30"/>
        <v>1.3581792054883302E-2</v>
      </c>
      <c r="P331" s="5">
        <f>O331-O1278</f>
        <v>1.3947549255796473E-2</v>
      </c>
      <c r="Q331" s="8">
        <f t="shared" si="34"/>
        <v>1.9453413024286874E-4</v>
      </c>
      <c r="S331" t="s">
        <v>489</v>
      </c>
      <c r="T331">
        <v>3.43</v>
      </c>
      <c r="U331" s="29">
        <f t="shared" si="31"/>
        <v>3.0030030030030019E-2</v>
      </c>
      <c r="V331" s="5">
        <f>U331-V1274</f>
        <v>2.8293839254322981E-2</v>
      </c>
      <c r="X331" t="s">
        <v>479</v>
      </c>
      <c r="Y331">
        <v>3.39</v>
      </c>
      <c r="Z331" s="48">
        <f t="shared" si="32"/>
        <v>-2.9411764705882248E-3</v>
      </c>
      <c r="AA331" s="5">
        <f>Z331-Y1274</f>
        <v>-7.1584959398623589E-3</v>
      </c>
      <c r="AD331" t="s">
        <v>489</v>
      </c>
      <c r="AE331">
        <v>75.88</v>
      </c>
      <c r="AF331" s="29">
        <f t="shared" si="33"/>
        <v>1.8523489932885884E-2</v>
      </c>
    </row>
    <row r="332" spans="1:32">
      <c r="A332" s="220">
        <v>45240</v>
      </c>
      <c r="B332" s="222">
        <v>46.64</v>
      </c>
      <c r="C332" s="227">
        <f t="shared" si="28"/>
        <v>1.501632208922743E-2</v>
      </c>
      <c r="D332" s="5">
        <f>C332-C1275</f>
        <v>1.4938276519668541E-2</v>
      </c>
      <c r="F332" s="8"/>
      <c r="H332" s="1">
        <v>45270</v>
      </c>
      <c r="I332">
        <v>10.66</v>
      </c>
      <c r="J332" s="227">
        <f t="shared" si="29"/>
        <v>5.858987090367429E-2</v>
      </c>
      <c r="K332" s="5">
        <f>J332-J1276</f>
        <v>5.6453914988064333E-2</v>
      </c>
      <c r="M332" s="240" t="s">
        <v>490</v>
      </c>
      <c r="N332">
        <v>4373.63</v>
      </c>
      <c r="O332" s="227">
        <f t="shared" si="30"/>
        <v>9.8326168480822318E-5</v>
      </c>
      <c r="P332" s="5">
        <f>O332-O1278</f>
        <v>4.6408336939399386E-4</v>
      </c>
      <c r="Q332" s="8">
        <f t="shared" si="34"/>
        <v>2.1537337374808217E-7</v>
      </c>
      <c r="S332" t="s">
        <v>490</v>
      </c>
      <c r="T332">
        <v>3.42</v>
      </c>
      <c r="U332" s="29">
        <f t="shared" si="31"/>
        <v>-2.9154518950438302E-3</v>
      </c>
      <c r="V332" s="5">
        <f>U332-V1274</f>
        <v>-4.6516426707508681E-3</v>
      </c>
      <c r="X332" t="s">
        <v>480</v>
      </c>
      <c r="Y332">
        <v>3.48</v>
      </c>
      <c r="Z332" s="48">
        <f t="shared" si="32"/>
        <v>2.6548672566371723E-2</v>
      </c>
      <c r="AA332" s="5">
        <f>Z332-Y1274</f>
        <v>2.2331353097097589E-2</v>
      </c>
      <c r="AD332" t="s">
        <v>490</v>
      </c>
      <c r="AE332">
        <v>76.42</v>
      </c>
      <c r="AF332" s="29">
        <f t="shared" si="33"/>
        <v>7.1164997364259186E-3</v>
      </c>
    </row>
    <row r="333" spans="1:32">
      <c r="A333" s="220">
        <v>45209</v>
      </c>
      <c r="B333" s="222">
        <v>46.63</v>
      </c>
      <c r="C333" s="227">
        <f t="shared" si="28"/>
        <v>-2.1440823327611991E-4</v>
      </c>
      <c r="D333" s="5">
        <f>C333-C1275</f>
        <v>-2.9245380283500911E-4</v>
      </c>
      <c r="F333" s="8"/>
      <c r="H333" s="1">
        <v>45240</v>
      </c>
      <c r="I333">
        <v>11.37</v>
      </c>
      <c r="J333" s="227">
        <f t="shared" si="29"/>
        <v>6.6604127579737327E-2</v>
      </c>
      <c r="K333" s="5">
        <f>J333-J1276</f>
        <v>6.4468171664127369E-2</v>
      </c>
      <c r="M333" s="240" t="s">
        <v>491</v>
      </c>
      <c r="N333">
        <v>4327.78</v>
      </c>
      <c r="O333" s="227">
        <f t="shared" si="30"/>
        <v>-1.0483282765117341E-2</v>
      </c>
      <c r="P333" s="5">
        <f>O333-O1278</f>
        <v>-1.011752556420417E-2</v>
      </c>
      <c r="Q333" s="8">
        <f t="shared" si="34"/>
        <v>1.0236432354232491E-4</v>
      </c>
      <c r="S333" t="s">
        <v>491</v>
      </c>
      <c r="T333">
        <v>3.42</v>
      </c>
      <c r="U333" s="29">
        <f t="shared" si="31"/>
        <v>0</v>
      </c>
      <c r="V333" s="5">
        <f>U333-V1274</f>
        <v>-1.736190775707038E-3</v>
      </c>
      <c r="X333" t="s">
        <v>481</v>
      </c>
      <c r="Y333">
        <v>3.45</v>
      </c>
      <c r="Z333" s="48">
        <f t="shared" si="32"/>
        <v>-8.6206896551723755E-3</v>
      </c>
      <c r="AA333" s="5">
        <f>Z333-Y1274</f>
        <v>-1.283800912444651E-2</v>
      </c>
      <c r="AD333" t="s">
        <v>491</v>
      </c>
      <c r="AE333">
        <v>75.37</v>
      </c>
      <c r="AF333" s="29">
        <f t="shared" si="33"/>
        <v>-1.3739858675739347E-2</v>
      </c>
    </row>
    <row r="334" spans="1:32">
      <c r="A334" s="220">
        <v>45179</v>
      </c>
      <c r="B334" s="222">
        <v>45.45</v>
      </c>
      <c r="C334" s="227">
        <f t="shared" si="28"/>
        <v>-2.5305597254986045E-2</v>
      </c>
      <c r="D334" s="5">
        <f>C334-C1275</f>
        <v>-2.5383642824544934E-2</v>
      </c>
      <c r="F334" s="8"/>
      <c r="H334" s="1">
        <v>45209</v>
      </c>
      <c r="I334">
        <v>11.18</v>
      </c>
      <c r="J334" s="227">
        <f t="shared" si="29"/>
        <v>-1.6710642040457246E-2</v>
      </c>
      <c r="K334" s="5">
        <f>J334-J1276</f>
        <v>-1.8846597956067204E-2</v>
      </c>
      <c r="M334" s="241">
        <v>45270</v>
      </c>
      <c r="N334">
        <v>4349.6099999999997</v>
      </c>
      <c r="O334" s="227">
        <f t="shared" si="30"/>
        <v>5.044156588366322E-3</v>
      </c>
      <c r="P334" s="5">
        <f>O334-O1278</f>
        <v>5.4099137892794939E-3</v>
      </c>
      <c r="Q334" s="8">
        <f t="shared" si="34"/>
        <v>2.9267167207436413E-5</v>
      </c>
      <c r="S334" s="1">
        <v>45270</v>
      </c>
      <c r="T334">
        <v>3.47</v>
      </c>
      <c r="U334" s="29">
        <f t="shared" si="31"/>
        <v>1.4619883040935644E-2</v>
      </c>
      <c r="V334" s="5">
        <f>U334-V1274</f>
        <v>1.2883692265228605E-2</v>
      </c>
      <c r="X334" t="s">
        <v>482</v>
      </c>
      <c r="Y334">
        <v>3.33</v>
      </c>
      <c r="Z334" s="48">
        <f t="shared" si="32"/>
        <v>-3.4782608695652195E-2</v>
      </c>
      <c r="AA334" s="5">
        <f>Z334-Y1274</f>
        <v>-3.8999928164926326E-2</v>
      </c>
      <c r="AD334" s="1">
        <v>45270</v>
      </c>
      <c r="AE334">
        <v>80.099999999999994</v>
      </c>
      <c r="AF334" s="29">
        <f t="shared" si="33"/>
        <v>6.275706514528312E-2</v>
      </c>
    </row>
    <row r="335" spans="1:32">
      <c r="A335" s="220">
        <v>45087</v>
      </c>
      <c r="B335" s="222">
        <v>45.78</v>
      </c>
      <c r="C335" s="227">
        <f t="shared" si="28"/>
        <v>7.2607260726071932E-3</v>
      </c>
      <c r="D335" s="5">
        <f>C335-C1275</f>
        <v>7.1826805030483038E-3</v>
      </c>
      <c r="F335" s="8"/>
      <c r="H335" s="1">
        <v>45179</v>
      </c>
      <c r="I335">
        <v>10.99</v>
      </c>
      <c r="J335" s="227">
        <f t="shared" si="29"/>
        <v>-1.6994633273702986E-2</v>
      </c>
      <c r="K335" s="5">
        <f>J335-J1276</f>
        <v>-1.9130589189312944E-2</v>
      </c>
      <c r="M335" s="241">
        <v>45240</v>
      </c>
      <c r="N335">
        <v>4376.95</v>
      </c>
      <c r="O335" s="227">
        <f t="shared" si="30"/>
        <v>6.28562100969976E-3</v>
      </c>
      <c r="P335" s="5">
        <f>O335-O1278</f>
        <v>6.6513782106129319E-3</v>
      </c>
      <c r="Q335" s="8">
        <f t="shared" si="34"/>
        <v>4.4240832100616488E-5</v>
      </c>
      <c r="S335" s="1">
        <v>45240</v>
      </c>
      <c r="T335">
        <v>3.49</v>
      </c>
      <c r="U335" s="29">
        <f t="shared" si="31"/>
        <v>5.7636887608070175E-3</v>
      </c>
      <c r="V335" s="5">
        <f>U335-V1274</f>
        <v>4.0274979850999796E-3</v>
      </c>
      <c r="X335" t="s">
        <v>483</v>
      </c>
      <c r="Y335">
        <v>3.31</v>
      </c>
      <c r="Z335" s="48">
        <f t="shared" si="32"/>
        <v>-6.0060060060059817E-3</v>
      </c>
      <c r="AA335" s="5">
        <f>Z335-Y1274</f>
        <v>-1.0223325475280116E-2</v>
      </c>
      <c r="AD335" s="1">
        <v>45240</v>
      </c>
      <c r="AE335">
        <v>80.8</v>
      </c>
      <c r="AF335" s="29">
        <f t="shared" si="33"/>
        <v>8.7390761548065132E-3</v>
      </c>
    </row>
    <row r="336" spans="1:32">
      <c r="A336" s="220">
        <v>45056</v>
      </c>
      <c r="B336" s="222">
        <v>44.61</v>
      </c>
      <c r="C336" s="227">
        <f t="shared" si="28"/>
        <v>-2.5557011795543927E-2</v>
      </c>
      <c r="D336" s="5">
        <f>C336-C1275</f>
        <v>-2.5635057365102815E-2</v>
      </c>
      <c r="F336" s="8"/>
      <c r="H336" s="1">
        <v>45087</v>
      </c>
      <c r="I336">
        <v>11.09</v>
      </c>
      <c r="J336" s="227">
        <f t="shared" si="29"/>
        <v>9.099181073703333E-3</v>
      </c>
      <c r="K336" s="5">
        <f>J336-J1276</f>
        <v>6.9632251580933752E-3</v>
      </c>
      <c r="M336" s="241">
        <v>45209</v>
      </c>
      <c r="N336">
        <v>4358.24</v>
      </c>
      <c r="O336" s="227">
        <f t="shared" si="30"/>
        <v>-4.2746661488022308E-3</v>
      </c>
      <c r="P336" s="5">
        <f>O336-O1278</f>
        <v>-3.9089089478890589E-3</v>
      </c>
      <c r="Q336" s="8">
        <f t="shared" si="34"/>
        <v>1.527956916288715E-5</v>
      </c>
      <c r="S336" s="1">
        <v>45209</v>
      </c>
      <c r="T336">
        <v>3.53</v>
      </c>
      <c r="U336" s="29">
        <f t="shared" si="31"/>
        <v>1.1461318051575908E-2</v>
      </c>
      <c r="V336" s="5">
        <f>U336-V1274</f>
        <v>9.7251272758688695E-3</v>
      </c>
      <c r="X336" t="s">
        <v>484</v>
      </c>
      <c r="Y336">
        <v>3.39</v>
      </c>
      <c r="Z336" s="48">
        <f t="shared" si="32"/>
        <v>2.4169184290030232E-2</v>
      </c>
      <c r="AA336" s="5">
        <f>Z336-Y1274</f>
        <v>1.9951864820756098E-2</v>
      </c>
      <c r="AD336" s="1">
        <v>45209</v>
      </c>
      <c r="AE336">
        <v>81.430000000000007</v>
      </c>
      <c r="AF336" s="29">
        <f t="shared" si="33"/>
        <v>7.7970297029703595E-3</v>
      </c>
    </row>
    <row r="337" spans="1:32">
      <c r="A337" s="220">
        <v>45026</v>
      </c>
      <c r="B337" s="222">
        <v>44.94</v>
      </c>
      <c r="C337" s="227">
        <f t="shared" si="28"/>
        <v>7.3974445191660188E-3</v>
      </c>
      <c r="D337" s="5">
        <f>C337-C1275</f>
        <v>7.3193989496071294E-3</v>
      </c>
      <c r="F337" s="8"/>
      <c r="H337" s="1">
        <v>45056</v>
      </c>
      <c r="I337">
        <v>10.25</v>
      </c>
      <c r="J337" s="227">
        <f t="shared" si="29"/>
        <v>-7.5743913435527443E-2</v>
      </c>
      <c r="K337" s="5">
        <f>J337-J1276</f>
        <v>-7.7879869351137401E-2</v>
      </c>
      <c r="M337" s="241">
        <v>45179</v>
      </c>
      <c r="N337">
        <v>4335.66</v>
      </c>
      <c r="O337" s="227">
        <f t="shared" si="30"/>
        <v>-5.1809904915746108E-3</v>
      </c>
      <c r="P337" s="5">
        <f>O337-O1278</f>
        <v>-4.8152332906614389E-3</v>
      </c>
      <c r="Q337" s="8">
        <f t="shared" si="34"/>
        <v>2.3186471643494189E-5</v>
      </c>
      <c r="S337" s="1">
        <v>45179</v>
      </c>
      <c r="T337">
        <v>3.44</v>
      </c>
      <c r="U337" s="29">
        <f t="shared" si="31"/>
        <v>-2.5495750708215303E-2</v>
      </c>
      <c r="V337" s="5">
        <f>U337-V1274</f>
        <v>-2.7231941483922342E-2</v>
      </c>
      <c r="X337" t="s">
        <v>485</v>
      </c>
      <c r="Y337">
        <v>3.27</v>
      </c>
      <c r="Z337" s="48">
        <f t="shared" si="32"/>
        <v>-3.539823008849563E-2</v>
      </c>
      <c r="AA337" s="5">
        <f>Z337-Y1274</f>
        <v>-3.9615549557769761E-2</v>
      </c>
      <c r="AD337" s="1">
        <v>45179</v>
      </c>
      <c r="AE337">
        <v>76.08</v>
      </c>
      <c r="AF337" s="29">
        <f t="shared" si="33"/>
        <v>-6.570060174382919E-2</v>
      </c>
    </row>
    <row r="338" spans="1:32">
      <c r="A338" s="220">
        <v>44995</v>
      </c>
      <c r="B338" s="222">
        <v>44.51</v>
      </c>
      <c r="C338" s="227">
        <f t="shared" ref="C338:C401" si="35">B338/B337-1</f>
        <v>-9.5683133066311044E-3</v>
      </c>
      <c r="D338" s="5">
        <f>C338-C1275</f>
        <v>-9.6463588761899928E-3</v>
      </c>
      <c r="F338" s="8"/>
      <c r="H338" s="1">
        <v>45026</v>
      </c>
      <c r="I338">
        <v>10.220000000000001</v>
      </c>
      <c r="J338" s="227">
        <f t="shared" si="29"/>
        <v>-2.9268292682925745E-3</v>
      </c>
      <c r="K338" s="5">
        <f>J338-J1276</f>
        <v>-5.0627851839025323E-3</v>
      </c>
      <c r="M338" s="241">
        <v>45087</v>
      </c>
      <c r="N338">
        <v>4308.5</v>
      </c>
      <c r="O338" s="227">
        <f t="shared" si="30"/>
        <v>-6.2643288449739654E-3</v>
      </c>
      <c r="P338" s="5">
        <f>O338-O1278</f>
        <v>-5.8985716440607934E-3</v>
      </c>
      <c r="Q338" s="8">
        <f t="shared" si="34"/>
        <v>3.4793147440118054E-5</v>
      </c>
      <c r="S338" s="1">
        <v>45087</v>
      </c>
      <c r="T338">
        <v>3.5</v>
      </c>
      <c r="U338" s="29">
        <f t="shared" si="31"/>
        <v>1.744186046511631E-2</v>
      </c>
      <c r="V338" s="5">
        <f>U338-V1274</f>
        <v>1.5705669689409271E-2</v>
      </c>
      <c r="X338" t="s">
        <v>486</v>
      </c>
      <c r="Y338">
        <v>3.28</v>
      </c>
      <c r="Z338" s="48">
        <f t="shared" si="32"/>
        <v>3.0581039755350758E-3</v>
      </c>
      <c r="AA338" s="5">
        <f>Z338-Y1274</f>
        <v>-1.1592154937390582E-3</v>
      </c>
      <c r="AD338" s="1">
        <v>45087</v>
      </c>
      <c r="AE338">
        <v>74.510000000000005</v>
      </c>
      <c r="AF338" s="29">
        <f t="shared" si="33"/>
        <v>-2.0636172450052448E-2</v>
      </c>
    </row>
    <row r="339" spans="1:32">
      <c r="A339" s="220">
        <v>44967</v>
      </c>
      <c r="B339" s="222">
        <v>45.68</v>
      </c>
      <c r="C339" s="227">
        <f t="shared" si="35"/>
        <v>2.6286227813974383E-2</v>
      </c>
      <c r="D339" s="5">
        <f>C339-C1275</f>
        <v>2.6208182244415495E-2</v>
      </c>
      <c r="F339" s="8"/>
      <c r="H339" s="1">
        <v>44995</v>
      </c>
      <c r="I339">
        <v>10.07</v>
      </c>
      <c r="J339" s="227">
        <f t="shared" si="29"/>
        <v>-1.4677103718199636E-2</v>
      </c>
      <c r="K339" s="5">
        <f>J339-J1276</f>
        <v>-1.6813059633809593E-2</v>
      </c>
      <c r="M339" s="241">
        <v>45056</v>
      </c>
      <c r="N339">
        <v>4258.1899999999996</v>
      </c>
      <c r="O339" s="227">
        <f t="shared" si="30"/>
        <v>-1.1676917720784608E-2</v>
      </c>
      <c r="P339" s="5">
        <f>O339-O1278</f>
        <v>-1.1311160519871436E-2</v>
      </c>
      <c r="Q339" s="8">
        <f t="shared" si="34"/>
        <v>1.2794235230629826E-4</v>
      </c>
      <c r="S339" s="1">
        <v>45056</v>
      </c>
      <c r="T339">
        <v>3.48</v>
      </c>
      <c r="U339" s="29">
        <f t="shared" si="31"/>
        <v>-5.7142857142856718E-3</v>
      </c>
      <c r="V339" s="5">
        <f>U339-V1274</f>
        <v>-7.4504764899927097E-3</v>
      </c>
      <c r="X339" t="s">
        <v>487</v>
      </c>
      <c r="Y339">
        <v>3.37</v>
      </c>
      <c r="Z339" s="48">
        <f t="shared" si="32"/>
        <v>2.7439024390244038E-2</v>
      </c>
      <c r="AA339" s="5">
        <f>Z339-Y1274</f>
        <v>2.3221704920969904E-2</v>
      </c>
      <c r="AD339" s="1">
        <v>45056</v>
      </c>
      <c r="AE339">
        <v>73.81</v>
      </c>
      <c r="AF339" s="29">
        <f t="shared" si="33"/>
        <v>-9.3947121191786387E-3</v>
      </c>
    </row>
    <row r="340" spans="1:32">
      <c r="A340" s="3" t="s">
        <v>492</v>
      </c>
      <c r="B340" s="222">
        <v>45.99</v>
      </c>
      <c r="C340" s="227">
        <f t="shared" si="35"/>
        <v>6.7863397548162396E-3</v>
      </c>
      <c r="D340" s="5">
        <f>C340-C1275</f>
        <v>6.7082941852573503E-3</v>
      </c>
      <c r="F340" s="8"/>
      <c r="H340" s="1">
        <v>44967</v>
      </c>
      <c r="I340">
        <v>10.51</v>
      </c>
      <c r="J340" s="227">
        <f t="shared" ref="J340:J403" si="36">I340/I339-1</f>
        <v>4.3694141012909693E-2</v>
      </c>
      <c r="K340" s="5">
        <f>J340-J1276</f>
        <v>4.1558185097299735E-2</v>
      </c>
      <c r="M340" s="241">
        <v>45026</v>
      </c>
      <c r="N340">
        <v>4263.75</v>
      </c>
      <c r="O340" s="227">
        <f t="shared" si="30"/>
        <v>1.3057190966114796E-3</v>
      </c>
      <c r="P340" s="5">
        <f>O340-O1278</f>
        <v>1.671476297524651E-3</v>
      </c>
      <c r="Q340" s="8">
        <f t="shared" si="34"/>
        <v>2.7938330131867158E-6</v>
      </c>
      <c r="S340" s="1">
        <v>45026</v>
      </c>
      <c r="T340">
        <v>3.4</v>
      </c>
      <c r="U340" s="29">
        <f t="shared" si="31"/>
        <v>-2.2988505747126409E-2</v>
      </c>
      <c r="V340" s="5">
        <f>U340-V1274</f>
        <v>-2.4724696522833448E-2</v>
      </c>
      <c r="X340" t="s">
        <v>488</v>
      </c>
      <c r="Y340">
        <v>3.49</v>
      </c>
      <c r="Z340" s="48">
        <f t="shared" si="32"/>
        <v>3.5608308605341366E-2</v>
      </c>
      <c r="AA340" s="5">
        <f>Z340-Y1274</f>
        <v>3.1390989136067235E-2</v>
      </c>
      <c r="AD340" s="1">
        <v>45026</v>
      </c>
      <c r="AE340">
        <v>77.930000000000007</v>
      </c>
      <c r="AF340" s="29">
        <f t="shared" si="33"/>
        <v>5.5818994716163139E-2</v>
      </c>
    </row>
    <row r="341" spans="1:32">
      <c r="A341" s="3" t="s">
        <v>493</v>
      </c>
      <c r="B341" s="222">
        <v>46.14</v>
      </c>
      <c r="C341" s="227">
        <f t="shared" si="35"/>
        <v>3.2615786040444128E-3</v>
      </c>
      <c r="D341" s="5">
        <f>C341-C1275</f>
        <v>3.1835330344855235E-3</v>
      </c>
      <c r="F341" s="8"/>
      <c r="H341" t="s">
        <v>492</v>
      </c>
      <c r="I341">
        <v>10.54</v>
      </c>
      <c r="J341" s="227">
        <f t="shared" si="36"/>
        <v>2.8544243577544037E-3</v>
      </c>
      <c r="K341" s="5">
        <f>J341-J1276</f>
        <v>7.1846844214444594E-4</v>
      </c>
      <c r="M341" s="241">
        <v>44995</v>
      </c>
      <c r="N341">
        <v>4229.45</v>
      </c>
      <c r="O341" s="227">
        <f t="shared" si="30"/>
        <v>-8.0445617121078783E-3</v>
      </c>
      <c r="P341" s="5">
        <f>O341-O1278</f>
        <v>-7.6788045111947064E-3</v>
      </c>
      <c r="Q341" s="8">
        <f t="shared" si="34"/>
        <v>5.896403872114417E-5</v>
      </c>
      <c r="S341" s="1">
        <v>44995</v>
      </c>
      <c r="T341">
        <v>3.35</v>
      </c>
      <c r="U341" s="29">
        <f t="shared" si="31"/>
        <v>-1.4705882352941124E-2</v>
      </c>
      <c r="V341" s="5">
        <f>U341-V1274</f>
        <v>-1.6442073128648163E-2</v>
      </c>
      <c r="X341" t="s">
        <v>489</v>
      </c>
      <c r="Y341">
        <v>3.57</v>
      </c>
      <c r="Z341" s="48">
        <f t="shared" si="32"/>
        <v>2.2922636103151817E-2</v>
      </c>
      <c r="AA341" s="5">
        <f>Z341-Y1274</f>
        <v>1.8705316633877683E-2</v>
      </c>
      <c r="AD341" s="1">
        <v>44995</v>
      </c>
      <c r="AE341">
        <v>77.25</v>
      </c>
      <c r="AF341" s="29">
        <f t="shared" si="33"/>
        <v>-8.7257795457462706E-3</v>
      </c>
    </row>
    <row r="342" spans="1:32">
      <c r="A342" s="3" t="s">
        <v>494</v>
      </c>
      <c r="B342" s="222">
        <v>45.14</v>
      </c>
      <c r="C342" s="227">
        <f t="shared" si="35"/>
        <v>-2.1673168617251881E-2</v>
      </c>
      <c r="D342" s="5">
        <f>C342-C1275</f>
        <v>-2.175121418681077E-2</v>
      </c>
      <c r="E342" s="1"/>
      <c r="F342" s="8"/>
      <c r="H342" t="s">
        <v>493</v>
      </c>
      <c r="I342">
        <v>10.51</v>
      </c>
      <c r="J342" s="227">
        <f t="shared" si="36"/>
        <v>-2.8462998102466441E-3</v>
      </c>
      <c r="K342" s="5">
        <f>J342-J1276</f>
        <v>-4.9822557258566019E-3</v>
      </c>
      <c r="M342" s="241">
        <v>44967</v>
      </c>
      <c r="N342">
        <v>4288.3900000000003</v>
      </c>
      <c r="O342" s="227">
        <f t="shared" ref="O342:O405" si="37">N342/N341-1</f>
        <v>1.3935618106373227E-2</v>
      </c>
      <c r="P342" s="5">
        <f>O342-O1278</f>
        <v>1.4301375307286398E-2</v>
      </c>
      <c r="Q342" s="8">
        <f t="shared" si="34"/>
        <v>2.0452933567986111E-4</v>
      </c>
      <c r="S342" s="1">
        <v>44967</v>
      </c>
      <c r="T342">
        <v>3.48</v>
      </c>
      <c r="U342" s="29">
        <f t="shared" ref="U342:U405" si="38">T342/T341-1</f>
        <v>3.8805970149253799E-2</v>
      </c>
      <c r="V342" s="5">
        <f>U342-V1274</f>
        <v>3.706977937354676E-2</v>
      </c>
      <c r="X342" t="s">
        <v>490</v>
      </c>
      <c r="Y342">
        <v>3.57</v>
      </c>
      <c r="Z342" s="48">
        <f t="shared" ref="Z342:Z405" si="39">Y342/Y341-1</f>
        <v>0</v>
      </c>
      <c r="AA342" s="5">
        <f>Z342-Y1274</f>
        <v>-4.2173194692741341E-3</v>
      </c>
      <c r="AD342" s="1">
        <v>44967</v>
      </c>
      <c r="AE342">
        <v>79.44</v>
      </c>
      <c r="AF342" s="29">
        <f t="shared" ref="AF342:AF405" si="40">AE342/AE341-1</f>
        <v>2.8349514563106748E-2</v>
      </c>
    </row>
    <row r="343" spans="1:32">
      <c r="A343" s="3" t="s">
        <v>495</v>
      </c>
      <c r="B343" s="222">
        <v>44.27</v>
      </c>
      <c r="C343" s="227">
        <f t="shared" si="35"/>
        <v>-1.9273371732388078E-2</v>
      </c>
      <c r="D343" s="5">
        <f>C343-C1275</f>
        <v>-1.9351417301946967E-2</v>
      </c>
      <c r="E343" s="1"/>
      <c r="F343" s="8"/>
      <c r="H343" t="s">
        <v>494</v>
      </c>
      <c r="I343">
        <v>10.32</v>
      </c>
      <c r="J343" s="227">
        <f t="shared" si="36"/>
        <v>-1.807802093244526E-2</v>
      </c>
      <c r="K343" s="5">
        <f>J343-J1276</f>
        <v>-2.0213976848055218E-2</v>
      </c>
      <c r="M343" s="240" t="s">
        <v>492</v>
      </c>
      <c r="N343">
        <v>4288.05</v>
      </c>
      <c r="O343" s="227">
        <f t="shared" si="37"/>
        <v>-7.9283833793186709E-5</v>
      </c>
      <c r="P343" s="5">
        <f>O343-O1278</f>
        <v>2.8647336711998484E-4</v>
      </c>
      <c r="Q343" s="8">
        <f t="shared" ref="Q343:Q406" si="41">P343*P343</f>
        <v>8.2066990069061607E-8</v>
      </c>
      <c r="S343" t="s">
        <v>492</v>
      </c>
      <c r="T343">
        <v>3.54</v>
      </c>
      <c r="U343" s="29">
        <f t="shared" si="38"/>
        <v>1.7241379310344751E-2</v>
      </c>
      <c r="V343" s="5">
        <f>U343-V1274</f>
        <v>1.5505188534637712E-2</v>
      </c>
      <c r="X343" t="s">
        <v>491</v>
      </c>
      <c r="Y343">
        <v>3.47</v>
      </c>
      <c r="Z343" s="48">
        <f t="shared" si="39"/>
        <v>-2.8011204481792618E-2</v>
      </c>
      <c r="AA343" s="5">
        <f>Z343-Y1274</f>
        <v>-3.2228523951066748E-2</v>
      </c>
      <c r="AD343" t="s">
        <v>492</v>
      </c>
      <c r="AE343">
        <v>79.47</v>
      </c>
      <c r="AF343" s="29">
        <f t="shared" si="40"/>
        <v>3.7764350453173279E-4</v>
      </c>
    </row>
    <row r="344" spans="1:32">
      <c r="A344" s="3" t="s">
        <v>496</v>
      </c>
      <c r="B344" s="222">
        <v>44.91</v>
      </c>
      <c r="C344" s="227">
        <f t="shared" si="35"/>
        <v>1.4456742715156734E-2</v>
      </c>
      <c r="D344" s="5">
        <f>C344-C1275</f>
        <v>1.4378697145597846E-2</v>
      </c>
      <c r="E344" s="1"/>
      <c r="F344" s="8"/>
      <c r="H344" t="s">
        <v>495</v>
      </c>
      <c r="I344">
        <v>9.92</v>
      </c>
      <c r="J344" s="227">
        <f t="shared" si="36"/>
        <v>-3.8759689922480689E-2</v>
      </c>
      <c r="K344" s="5">
        <f>J344-J1276</f>
        <v>-4.0895645838090647E-2</v>
      </c>
      <c r="M344" s="240" t="s">
        <v>493</v>
      </c>
      <c r="N344">
        <v>4299.7</v>
      </c>
      <c r="O344" s="227">
        <f t="shared" si="37"/>
        <v>2.7168526486396338E-3</v>
      </c>
      <c r="P344" s="5">
        <f>O344-O1278</f>
        <v>3.0826098495528053E-3</v>
      </c>
      <c r="Q344" s="8">
        <f t="shared" si="41"/>
        <v>9.5024834845599691E-6</v>
      </c>
      <c r="S344" t="s">
        <v>493</v>
      </c>
      <c r="T344">
        <v>3.47</v>
      </c>
      <c r="U344" s="29">
        <f t="shared" si="38"/>
        <v>-1.9774011299435013E-2</v>
      </c>
      <c r="V344" s="5">
        <f>U344-V1274</f>
        <v>-2.1510202075142051E-2</v>
      </c>
      <c r="X344" s="1">
        <v>45270</v>
      </c>
      <c r="Y344">
        <v>3.36</v>
      </c>
      <c r="Z344" s="48">
        <f t="shared" si="39"/>
        <v>-3.1700288184438152E-2</v>
      </c>
      <c r="AA344" s="5">
        <f>Z344-Y1274</f>
        <v>-3.5917607653712283E-2</v>
      </c>
      <c r="AD344" t="s">
        <v>493</v>
      </c>
      <c r="AE344">
        <v>77.8</v>
      </c>
      <c r="AF344" s="29">
        <f t="shared" si="40"/>
        <v>-2.101421920221469E-2</v>
      </c>
    </row>
    <row r="345" spans="1:32">
      <c r="A345" s="3" t="s">
        <v>497</v>
      </c>
      <c r="B345" s="222">
        <v>44.41</v>
      </c>
      <c r="C345" s="227">
        <f t="shared" si="35"/>
        <v>-1.1133377866844762E-2</v>
      </c>
      <c r="D345" s="5">
        <f>C345-C1275</f>
        <v>-1.1211423436403651E-2</v>
      </c>
      <c r="E345" s="1"/>
      <c r="F345" s="8"/>
      <c r="H345" t="s">
        <v>496</v>
      </c>
      <c r="I345">
        <v>9.7799999999999994</v>
      </c>
      <c r="J345" s="227">
        <f t="shared" si="36"/>
        <v>-1.4112903225806495E-2</v>
      </c>
      <c r="K345" s="5">
        <f>J345-J1276</f>
        <v>-1.6248859141416452E-2</v>
      </c>
      <c r="M345" s="240" t="s">
        <v>494</v>
      </c>
      <c r="N345">
        <v>4274.51</v>
      </c>
      <c r="O345" s="227">
        <f t="shared" si="37"/>
        <v>-5.8585482708094494E-3</v>
      </c>
      <c r="P345" s="5">
        <f>O345-O1278</f>
        <v>-5.4927910698962775E-3</v>
      </c>
      <c r="Q345" s="8">
        <f t="shared" si="41"/>
        <v>3.0170753737532293E-5</v>
      </c>
      <c r="S345" t="s">
        <v>494</v>
      </c>
      <c r="T345">
        <v>3.38</v>
      </c>
      <c r="U345" s="29">
        <f t="shared" si="38"/>
        <v>-2.5936599423631246E-2</v>
      </c>
      <c r="V345" s="5">
        <f>U345-V1274</f>
        <v>-2.7672790199338285E-2</v>
      </c>
      <c r="X345" s="1">
        <v>45240</v>
      </c>
      <c r="Y345">
        <v>3.4</v>
      </c>
      <c r="Z345" s="48">
        <f t="shared" si="39"/>
        <v>1.1904761904761862E-2</v>
      </c>
      <c r="AA345" s="5">
        <f>Z345-Y1274</f>
        <v>7.6874424354877284E-3</v>
      </c>
      <c r="AD345" t="s">
        <v>494</v>
      </c>
      <c r="AE345">
        <v>78.150000000000006</v>
      </c>
      <c r="AF345" s="29">
        <f t="shared" si="40"/>
        <v>4.4987146529564814E-3</v>
      </c>
    </row>
    <row r="346" spans="1:32">
      <c r="A346" s="3" t="s">
        <v>498</v>
      </c>
      <c r="B346" s="222">
        <v>44.6</v>
      </c>
      <c r="C346" s="227">
        <f t="shared" si="35"/>
        <v>4.2783156946635259E-3</v>
      </c>
      <c r="D346" s="5">
        <f>C346-C1275</f>
        <v>4.2002701251046366E-3</v>
      </c>
      <c r="E346" s="1"/>
      <c r="F346" s="8"/>
      <c r="H346" t="s">
        <v>497</v>
      </c>
      <c r="I346">
        <v>9.94</v>
      </c>
      <c r="J346" s="227">
        <f t="shared" si="36"/>
        <v>1.6359918200409052E-2</v>
      </c>
      <c r="K346" s="5">
        <f>J346-J1276</f>
        <v>1.4223962284799094E-2</v>
      </c>
      <c r="M346" s="240" t="s">
        <v>495</v>
      </c>
      <c r="N346">
        <v>4273.53</v>
      </c>
      <c r="O346" s="227">
        <f t="shared" si="37"/>
        <v>-2.2926604452921939E-4</v>
      </c>
      <c r="P346" s="5">
        <f>O346-O1278</f>
        <v>1.3649115638395215E-4</v>
      </c>
      <c r="Q346" s="8">
        <f t="shared" si="41"/>
        <v>1.8629835771028481E-8</v>
      </c>
      <c r="S346" t="s">
        <v>495</v>
      </c>
      <c r="T346">
        <v>3.4</v>
      </c>
      <c r="U346" s="29">
        <f t="shared" si="38"/>
        <v>5.9171597633136397E-3</v>
      </c>
      <c r="V346" s="5">
        <f>U346-V1274</f>
        <v>4.1809689876066017E-3</v>
      </c>
      <c r="X346" s="1">
        <v>45209</v>
      </c>
      <c r="Y346">
        <v>3.49</v>
      </c>
      <c r="Z346" s="48">
        <f t="shared" si="39"/>
        <v>2.6470588235294246E-2</v>
      </c>
      <c r="AA346" s="5">
        <f>Z346-Y1274</f>
        <v>2.2253268766020112E-2</v>
      </c>
      <c r="AD346" t="s">
        <v>495</v>
      </c>
      <c r="AE346">
        <v>74.58</v>
      </c>
      <c r="AF346" s="29">
        <f t="shared" si="40"/>
        <v>-4.5681381957773604E-2</v>
      </c>
    </row>
    <row r="347" spans="1:32">
      <c r="A347" s="3" t="s">
        <v>499</v>
      </c>
      <c r="B347" s="222">
        <v>46.55</v>
      </c>
      <c r="C347" s="227">
        <f t="shared" si="35"/>
        <v>4.3721973094170252E-2</v>
      </c>
      <c r="D347" s="5">
        <f>C347-C1275</f>
        <v>4.364392752461136E-2</v>
      </c>
      <c r="E347" s="1"/>
      <c r="F347" s="8"/>
      <c r="H347" t="s">
        <v>498</v>
      </c>
      <c r="I347">
        <v>10.33</v>
      </c>
      <c r="J347" s="227">
        <f t="shared" si="36"/>
        <v>3.9235412474849074E-2</v>
      </c>
      <c r="K347" s="5">
        <f>J347-J1276</f>
        <v>3.7099456559239116E-2</v>
      </c>
      <c r="M347" s="240" t="s">
        <v>496</v>
      </c>
      <c r="N347">
        <v>4337.4399999999996</v>
      </c>
      <c r="O347" s="227">
        <f t="shared" si="37"/>
        <v>1.4954849971803075E-2</v>
      </c>
      <c r="P347" s="5">
        <f>O347-O1278</f>
        <v>1.5320607172716246E-2</v>
      </c>
      <c r="Q347" s="8">
        <f t="shared" si="41"/>
        <v>2.3472100414068448E-4</v>
      </c>
      <c r="S347" t="s">
        <v>496</v>
      </c>
      <c r="T347">
        <v>3.43</v>
      </c>
      <c r="U347" s="29">
        <f t="shared" si="38"/>
        <v>8.8235294117646745E-3</v>
      </c>
      <c r="V347" s="5">
        <f>U347-V1274</f>
        <v>7.0873386360576366E-3</v>
      </c>
      <c r="X347" s="1">
        <v>45179</v>
      </c>
      <c r="Y347">
        <v>3.38</v>
      </c>
      <c r="Z347" s="48">
        <f t="shared" si="39"/>
        <v>-3.1518624641833859E-2</v>
      </c>
      <c r="AA347" s="5">
        <f>Z347-Y1274</f>
        <v>-3.573594411110799E-2</v>
      </c>
      <c r="AD347" t="s">
        <v>496</v>
      </c>
      <c r="AE347">
        <v>75.47</v>
      </c>
      <c r="AF347" s="29">
        <f t="shared" si="40"/>
        <v>1.1933494234379172E-2</v>
      </c>
    </row>
    <row r="348" spans="1:32">
      <c r="A348" s="3" t="s">
        <v>500</v>
      </c>
      <c r="B348" s="222">
        <v>47.59</v>
      </c>
      <c r="C348" s="227">
        <f t="shared" si="35"/>
        <v>2.2341568206230011E-2</v>
      </c>
      <c r="D348" s="5">
        <f>C348-C1275</f>
        <v>2.2263522636671123E-2</v>
      </c>
      <c r="E348" s="1"/>
      <c r="F348" s="8"/>
      <c r="H348" t="s">
        <v>499</v>
      </c>
      <c r="I348">
        <v>10.68</v>
      </c>
      <c r="J348" s="227">
        <f t="shared" si="36"/>
        <v>3.3881897386253579E-2</v>
      </c>
      <c r="K348" s="5">
        <f>J348-J1276</f>
        <v>3.1745941470643621E-2</v>
      </c>
      <c r="M348" s="240" t="s">
        <v>497</v>
      </c>
      <c r="N348">
        <v>4320.0600000000004</v>
      </c>
      <c r="O348" s="227">
        <f t="shared" si="37"/>
        <v>-4.0069718543654931E-3</v>
      </c>
      <c r="P348" s="5">
        <f>O348-O1278</f>
        <v>-3.6412146534523216E-3</v>
      </c>
      <c r="Q348" s="8">
        <f t="shared" si="41"/>
        <v>1.3258444152515911E-5</v>
      </c>
      <c r="S348" t="s">
        <v>497</v>
      </c>
      <c r="T348">
        <v>3.43</v>
      </c>
      <c r="U348" s="29">
        <f t="shared" si="38"/>
        <v>0</v>
      </c>
      <c r="V348" s="5">
        <f>U348-V1274</f>
        <v>-1.736190775707038E-3</v>
      </c>
      <c r="X348" s="1">
        <v>45087</v>
      </c>
      <c r="Y348">
        <v>3.35</v>
      </c>
      <c r="Z348" s="48">
        <f t="shared" si="39"/>
        <v>-8.8757396449703485E-3</v>
      </c>
      <c r="AA348" s="5">
        <f>Z348-Y1274</f>
        <v>-1.3093059114244483E-2</v>
      </c>
      <c r="AD348" t="s">
        <v>497</v>
      </c>
      <c r="AE348">
        <v>76.180000000000007</v>
      </c>
      <c r="AF348" s="29">
        <f t="shared" si="40"/>
        <v>9.4077116735127309E-3</v>
      </c>
    </row>
    <row r="349" spans="1:32">
      <c r="A349" s="3" t="s">
        <v>501</v>
      </c>
      <c r="B349" s="222">
        <v>46.51</v>
      </c>
      <c r="C349" s="227">
        <f t="shared" si="35"/>
        <v>-2.2693843244379175E-2</v>
      </c>
      <c r="D349" s="5">
        <f>C349-C1275</f>
        <v>-2.2771888813938063E-2</v>
      </c>
      <c r="F349" s="8"/>
      <c r="H349" t="s">
        <v>500</v>
      </c>
      <c r="I349">
        <v>11.19</v>
      </c>
      <c r="J349" s="227">
        <f t="shared" si="36"/>
        <v>4.7752808988763995E-2</v>
      </c>
      <c r="K349" s="5">
        <f>J349-J1276</f>
        <v>4.5616853073154037E-2</v>
      </c>
      <c r="M349" s="240" t="s">
        <v>498</v>
      </c>
      <c r="N349">
        <v>4330</v>
      </c>
      <c r="O349" s="227">
        <f t="shared" si="37"/>
        <v>2.3008939690651875E-3</v>
      </c>
      <c r="P349" s="5">
        <f>O349-O1278</f>
        <v>2.666651169978359E-3</v>
      </c>
      <c r="Q349" s="8">
        <f t="shared" si="41"/>
        <v>7.1110284623469509E-6</v>
      </c>
      <c r="S349" t="s">
        <v>498</v>
      </c>
      <c r="T349">
        <v>3.46</v>
      </c>
      <c r="U349" s="29">
        <f t="shared" si="38"/>
        <v>8.7463556851310464E-3</v>
      </c>
      <c r="V349" s="5">
        <f>U349-V1274</f>
        <v>7.0101649094240085E-3</v>
      </c>
      <c r="X349" s="1">
        <v>45056</v>
      </c>
      <c r="Y349">
        <v>3.26</v>
      </c>
      <c r="Z349" s="48">
        <f t="shared" si="39"/>
        <v>-2.68656716417911E-2</v>
      </c>
      <c r="AA349" s="5">
        <f>Z349-Y1274</f>
        <v>-3.1082991111065234E-2</v>
      </c>
      <c r="AD349" t="s">
        <v>498</v>
      </c>
      <c r="AE349">
        <v>75.61</v>
      </c>
      <c r="AF349" s="29">
        <f t="shared" si="40"/>
        <v>-7.4822788133369622E-3</v>
      </c>
    </row>
    <row r="350" spans="1:32">
      <c r="A350" s="3" t="s">
        <v>502</v>
      </c>
      <c r="B350" s="222">
        <v>47.52</v>
      </c>
      <c r="C350" s="227">
        <f t="shared" si="35"/>
        <v>2.1715760051601807E-2</v>
      </c>
      <c r="D350" s="5">
        <f>C350-C1275</f>
        <v>2.1637714482042918E-2</v>
      </c>
      <c r="F350" s="8"/>
      <c r="H350" t="s">
        <v>501</v>
      </c>
      <c r="I350">
        <v>10.83</v>
      </c>
      <c r="J350" s="227">
        <f t="shared" si="36"/>
        <v>-3.2171581769436908E-2</v>
      </c>
      <c r="K350" s="5">
        <f>J350-J1276</f>
        <v>-3.4307537685046866E-2</v>
      </c>
      <c r="M350" s="240" t="s">
        <v>499</v>
      </c>
      <c r="N350">
        <v>4402.2</v>
      </c>
      <c r="O350" s="227">
        <f t="shared" si="37"/>
        <v>1.6674364896073879E-2</v>
      </c>
      <c r="P350" s="5">
        <f>O350-O1278</f>
        <v>1.7040122096987052E-2</v>
      </c>
      <c r="Q350" s="8">
        <f t="shared" si="41"/>
        <v>2.903657610802264E-4</v>
      </c>
      <c r="S350" t="s">
        <v>499</v>
      </c>
      <c r="T350">
        <v>3.46</v>
      </c>
      <c r="U350" s="29">
        <f t="shared" si="38"/>
        <v>0</v>
      </c>
      <c r="V350" s="5">
        <f>U350-V1274</f>
        <v>-1.736190775707038E-3</v>
      </c>
      <c r="X350" s="1">
        <v>45026</v>
      </c>
      <c r="Y350">
        <v>3.27</v>
      </c>
      <c r="Z350" s="48">
        <f t="shared" si="39"/>
        <v>3.0674846625766694E-3</v>
      </c>
      <c r="AA350" s="5">
        <f>Z350-Y1274</f>
        <v>-1.1498348066974647E-3</v>
      </c>
      <c r="AD350" t="s">
        <v>499</v>
      </c>
      <c r="AE350">
        <v>78.95</v>
      </c>
      <c r="AF350" s="29">
        <f t="shared" si="40"/>
        <v>4.4174051051448338E-2</v>
      </c>
    </row>
    <row r="351" spans="1:32">
      <c r="A351" s="3" t="s">
        <v>503</v>
      </c>
      <c r="B351" s="222">
        <v>48.32</v>
      </c>
      <c r="C351" s="227">
        <f t="shared" si="35"/>
        <v>1.6835016835016869E-2</v>
      </c>
      <c r="D351" s="5">
        <f>C351-C1275</f>
        <v>1.6756971265457981E-2</v>
      </c>
      <c r="F351" s="8"/>
      <c r="H351" t="s">
        <v>502</v>
      </c>
      <c r="I351">
        <v>11.28</v>
      </c>
      <c r="J351" s="227">
        <f t="shared" si="36"/>
        <v>4.1551246537395947E-2</v>
      </c>
      <c r="K351" s="5">
        <f>J351-J1276</f>
        <v>3.9415290621785989E-2</v>
      </c>
      <c r="M351" s="240" t="s">
        <v>500</v>
      </c>
      <c r="N351">
        <v>4443.95</v>
      </c>
      <c r="O351" s="227">
        <f t="shared" si="37"/>
        <v>9.4838944164281624E-3</v>
      </c>
      <c r="P351" s="5">
        <f>O351-O1278</f>
        <v>9.8496516173413335E-3</v>
      </c>
      <c r="Q351" s="8">
        <f t="shared" si="41"/>
        <v>9.7015636982994744E-5</v>
      </c>
      <c r="S351" t="s">
        <v>500</v>
      </c>
      <c r="T351">
        <v>3.49</v>
      </c>
      <c r="U351" s="29">
        <f t="shared" si="38"/>
        <v>8.6705202312138407E-3</v>
      </c>
      <c r="V351" s="5">
        <f>U351-V1274</f>
        <v>6.9343294555068028E-3</v>
      </c>
      <c r="X351" s="1">
        <v>44995</v>
      </c>
      <c r="Y351">
        <v>3.1949999999999998</v>
      </c>
      <c r="Z351" s="48">
        <f t="shared" si="39"/>
        <v>-2.2935779816513846E-2</v>
      </c>
      <c r="AA351" s="5">
        <f>Z351-Y1274</f>
        <v>-2.715309928578798E-2</v>
      </c>
      <c r="AD351" t="s">
        <v>500</v>
      </c>
      <c r="AE351">
        <v>79.19</v>
      </c>
      <c r="AF351" s="29">
        <f t="shared" si="40"/>
        <v>3.0398986700441721E-3</v>
      </c>
    </row>
    <row r="352" spans="1:32">
      <c r="A352" s="3" t="s">
        <v>504</v>
      </c>
      <c r="B352" s="222">
        <v>48.16</v>
      </c>
      <c r="C352" s="227">
        <f t="shared" si="35"/>
        <v>-3.3112582781458233E-3</v>
      </c>
      <c r="D352" s="5">
        <f>C352-C1275</f>
        <v>-3.3893038477047126E-3</v>
      </c>
      <c r="F352" s="8"/>
      <c r="H352" t="s">
        <v>503</v>
      </c>
      <c r="I352">
        <v>11.34</v>
      </c>
      <c r="J352" s="227">
        <f t="shared" si="36"/>
        <v>5.3191489361703592E-3</v>
      </c>
      <c r="K352" s="5">
        <f>J352-J1276</f>
        <v>3.1831930205604014E-3</v>
      </c>
      <c r="M352" s="240" t="s">
        <v>501</v>
      </c>
      <c r="N352">
        <v>4453.53</v>
      </c>
      <c r="O352" s="227">
        <f t="shared" si="37"/>
        <v>2.1557398260556582E-3</v>
      </c>
      <c r="P352" s="5">
        <f>O352-O1278</f>
        <v>2.5214970269688297E-3</v>
      </c>
      <c r="Q352" s="8">
        <f t="shared" si="41"/>
        <v>6.3579472570126466E-6</v>
      </c>
      <c r="S352" t="s">
        <v>501</v>
      </c>
      <c r="T352">
        <v>3.53</v>
      </c>
      <c r="U352" s="29">
        <f t="shared" si="38"/>
        <v>1.1461318051575908E-2</v>
      </c>
      <c r="V352" s="5">
        <f>U352-V1274</f>
        <v>9.7251272758688695E-3</v>
      </c>
      <c r="X352" s="1">
        <v>44967</v>
      </c>
      <c r="Y352">
        <v>3.23</v>
      </c>
      <c r="Z352" s="48">
        <f t="shared" si="39"/>
        <v>1.0954616588419341E-2</v>
      </c>
      <c r="AA352" s="5">
        <f>Z352-Y1274</f>
        <v>6.7372971191452073E-3</v>
      </c>
      <c r="AD352" t="s">
        <v>501</v>
      </c>
      <c r="AE352">
        <v>80.92</v>
      </c>
      <c r="AF352" s="29">
        <f t="shared" si="40"/>
        <v>2.1846192701098666E-2</v>
      </c>
    </row>
    <row r="353" spans="1:32">
      <c r="A353" s="220">
        <v>45269</v>
      </c>
      <c r="B353" s="222">
        <v>47.92</v>
      </c>
      <c r="C353" s="227">
        <f t="shared" si="35"/>
        <v>-4.983388704318803E-3</v>
      </c>
      <c r="D353" s="5">
        <f>C353-C1275</f>
        <v>-5.0614342738776923E-3</v>
      </c>
      <c r="F353" s="8"/>
      <c r="H353" t="s">
        <v>504</v>
      </c>
      <c r="I353">
        <v>11.27</v>
      </c>
      <c r="J353" s="227">
        <f t="shared" si="36"/>
        <v>-6.1728395061728669E-3</v>
      </c>
      <c r="K353" s="5">
        <f>J353-J1276</f>
        <v>-8.3087954217828247E-3</v>
      </c>
      <c r="M353" s="240" t="s">
        <v>502</v>
      </c>
      <c r="N353">
        <v>4450.32</v>
      </c>
      <c r="O353" s="227">
        <f t="shared" si="37"/>
        <v>-7.2077655253244277E-4</v>
      </c>
      <c r="P353" s="5">
        <f>O353-O1278</f>
        <v>-3.5501935161927123E-4</v>
      </c>
      <c r="Q353" s="8">
        <f t="shared" si="41"/>
        <v>1.2603874002416775E-7</v>
      </c>
      <c r="S353" t="s">
        <v>502</v>
      </c>
      <c r="T353">
        <v>3.55</v>
      </c>
      <c r="U353" s="29">
        <f t="shared" si="38"/>
        <v>5.6657223796034994E-3</v>
      </c>
      <c r="V353" s="5">
        <f>U353-V1274</f>
        <v>3.9295316038964615E-3</v>
      </c>
      <c r="X353" t="s">
        <v>492</v>
      </c>
      <c r="Y353">
        <v>3.23</v>
      </c>
      <c r="Z353" s="48">
        <f t="shared" si="39"/>
        <v>0</v>
      </c>
      <c r="AA353" s="5">
        <f>Z353-Y1274</f>
        <v>-4.2173194692741341E-3</v>
      </c>
      <c r="AD353" t="s">
        <v>502</v>
      </c>
      <c r="AE353">
        <v>80.930000000000007</v>
      </c>
      <c r="AF353" s="29">
        <f t="shared" si="40"/>
        <v>1.2357884330205238E-4</v>
      </c>
    </row>
    <row r="354" spans="1:32">
      <c r="A354" s="220">
        <v>45239</v>
      </c>
      <c r="B354" s="222">
        <v>48.94</v>
      </c>
      <c r="C354" s="227">
        <f t="shared" si="35"/>
        <v>2.128547579298834E-2</v>
      </c>
      <c r="D354" s="5">
        <f>C354-C1275</f>
        <v>2.1207430223429451E-2</v>
      </c>
      <c r="F354" s="8"/>
      <c r="H354" s="1">
        <v>45269</v>
      </c>
      <c r="I354">
        <v>11.42</v>
      </c>
      <c r="J354" s="227">
        <f t="shared" si="36"/>
        <v>1.3309671694764935E-2</v>
      </c>
      <c r="K354" s="5">
        <f>J354-J1276</f>
        <v>1.1173715779154977E-2</v>
      </c>
      <c r="M354" s="240" t="s">
        <v>503</v>
      </c>
      <c r="N354">
        <v>4505.1000000000004</v>
      </c>
      <c r="O354" s="227">
        <f t="shared" si="37"/>
        <v>1.2309227201639628E-2</v>
      </c>
      <c r="P354" s="5">
        <f>O354-O1278</f>
        <v>1.2674984402552799E-2</v>
      </c>
      <c r="Q354" s="8">
        <f t="shared" si="41"/>
        <v>1.6065522960495674E-4</v>
      </c>
      <c r="S354" t="s">
        <v>503</v>
      </c>
      <c r="T354">
        <v>3.51</v>
      </c>
      <c r="U354" s="29">
        <f t="shared" si="38"/>
        <v>-1.1267605633802802E-2</v>
      </c>
      <c r="V354" s="5">
        <f>U354-V1274</f>
        <v>-1.3003796409509841E-2</v>
      </c>
      <c r="X354" t="s">
        <v>493</v>
      </c>
      <c r="Y354">
        <v>3.16</v>
      </c>
      <c r="Z354" s="48">
        <f t="shared" si="39"/>
        <v>-2.1671826625386914E-2</v>
      </c>
      <c r="AA354" s="5">
        <f>Z354-Y1274</f>
        <v>-2.5889146094661048E-2</v>
      </c>
      <c r="AD354" t="s">
        <v>503</v>
      </c>
      <c r="AE354">
        <v>82.98</v>
      </c>
      <c r="AF354" s="29">
        <f t="shared" si="40"/>
        <v>2.5330532559001639E-2</v>
      </c>
    </row>
    <row r="355" spans="1:32">
      <c r="A355" s="220">
        <v>45147</v>
      </c>
      <c r="B355" s="222">
        <v>47.24</v>
      </c>
      <c r="C355" s="227">
        <f t="shared" si="35"/>
        <v>-3.473641193297905E-2</v>
      </c>
      <c r="D355" s="5">
        <f>C355-C1275</f>
        <v>-3.4814457502537942E-2</v>
      </c>
      <c r="F355" s="8"/>
      <c r="H355" s="1">
        <v>45239</v>
      </c>
      <c r="I355">
        <v>11.33</v>
      </c>
      <c r="J355" s="227">
        <f t="shared" si="36"/>
        <v>-7.8809106830122211E-3</v>
      </c>
      <c r="K355" s="5">
        <f>J355-J1276</f>
        <v>-1.0016866598622179E-2</v>
      </c>
      <c r="M355" s="240" t="s">
        <v>504</v>
      </c>
      <c r="N355">
        <v>4467.4399999999996</v>
      </c>
      <c r="O355" s="227">
        <f t="shared" si="37"/>
        <v>-8.3594148853523009E-3</v>
      </c>
      <c r="P355" s="5">
        <f>O355-O1278</f>
        <v>-7.9936576844391299E-3</v>
      </c>
      <c r="Q355" s="8">
        <f t="shared" si="41"/>
        <v>6.3898563175992756E-5</v>
      </c>
      <c r="S355" t="s">
        <v>504</v>
      </c>
      <c r="T355">
        <v>3.53</v>
      </c>
      <c r="U355" s="29">
        <f t="shared" si="38"/>
        <v>5.6980056980056037E-3</v>
      </c>
      <c r="V355" s="5">
        <f>U355-V1274</f>
        <v>3.9618149222985658E-3</v>
      </c>
      <c r="X355" t="s">
        <v>494</v>
      </c>
      <c r="Y355">
        <v>3.2</v>
      </c>
      <c r="Z355" s="48">
        <f t="shared" si="39"/>
        <v>1.2658227848101333E-2</v>
      </c>
      <c r="AA355" s="5">
        <f>Z355-Y1274</f>
        <v>8.4409083788271992E-3</v>
      </c>
      <c r="AD355" t="s">
        <v>504</v>
      </c>
      <c r="AE355">
        <v>82.23</v>
      </c>
      <c r="AF355" s="29">
        <f t="shared" si="40"/>
        <v>-9.038322487346373E-3</v>
      </c>
    </row>
    <row r="356" spans="1:32">
      <c r="A356" s="220">
        <v>45116</v>
      </c>
      <c r="B356" s="222">
        <v>46.27</v>
      </c>
      <c r="C356" s="227">
        <f t="shared" si="35"/>
        <v>-2.0533446232006702E-2</v>
      </c>
      <c r="D356" s="5">
        <f>C356-C1275</f>
        <v>-2.0611491801565591E-2</v>
      </c>
      <c r="F356" s="8"/>
      <c r="H356" s="1">
        <v>45147</v>
      </c>
      <c r="I356">
        <v>10.82</v>
      </c>
      <c r="J356" s="227">
        <f t="shared" si="36"/>
        <v>-4.501323918799649E-2</v>
      </c>
      <c r="K356" s="5">
        <f>J356-J1276</f>
        <v>-4.7149195103606448E-2</v>
      </c>
      <c r="M356" s="241">
        <v>45269</v>
      </c>
      <c r="N356">
        <v>4461.8999999999996</v>
      </c>
      <c r="O356" s="227">
        <f t="shared" si="37"/>
        <v>-1.2400838063857389E-3</v>
      </c>
      <c r="P356" s="5">
        <f>O356-O1278</f>
        <v>-8.7432660547256741E-4</v>
      </c>
      <c r="Q356" s="8">
        <f t="shared" si="41"/>
        <v>7.6444701303718253E-7</v>
      </c>
      <c r="S356" s="1">
        <v>45269</v>
      </c>
      <c r="T356">
        <v>3.79</v>
      </c>
      <c r="U356" s="29">
        <f t="shared" si="38"/>
        <v>7.3654390934844161E-2</v>
      </c>
      <c r="V356" s="5">
        <f>U356-V1274</f>
        <v>7.1918200159137122E-2</v>
      </c>
      <c r="X356" t="s">
        <v>495</v>
      </c>
      <c r="Y356">
        <v>3.2</v>
      </c>
      <c r="Z356" s="48">
        <f t="shared" si="39"/>
        <v>0</v>
      </c>
      <c r="AA356" s="5">
        <f>Z356-Y1274</f>
        <v>-4.2173194692741341E-3</v>
      </c>
      <c r="AD356" s="1">
        <v>45269</v>
      </c>
      <c r="AE356">
        <v>82.87</v>
      </c>
      <c r="AF356" s="29">
        <f t="shared" si="40"/>
        <v>7.7830475495561657E-3</v>
      </c>
    </row>
    <row r="357" spans="1:32">
      <c r="A357" s="220">
        <v>45086</v>
      </c>
      <c r="B357" s="222">
        <v>45.9</v>
      </c>
      <c r="C357" s="227">
        <f t="shared" si="35"/>
        <v>-7.9965420358765193E-3</v>
      </c>
      <c r="D357" s="5">
        <f>C357-C1275</f>
        <v>-8.0745876054354078E-3</v>
      </c>
      <c r="F357" s="8"/>
      <c r="H357" s="1">
        <v>45116</v>
      </c>
      <c r="I357">
        <v>10.79</v>
      </c>
      <c r="J357" s="227">
        <f t="shared" si="36"/>
        <v>-2.7726432532348966E-3</v>
      </c>
      <c r="K357" s="5">
        <f>J357-J1276</f>
        <v>-4.9085991688448544E-3</v>
      </c>
      <c r="M357" s="241">
        <v>45239</v>
      </c>
      <c r="N357">
        <v>4487.46</v>
      </c>
      <c r="O357" s="227">
        <f t="shared" si="37"/>
        <v>5.7285013111008087E-3</v>
      </c>
      <c r="P357" s="5">
        <f>O357-O1278</f>
        <v>6.0942585120139807E-3</v>
      </c>
      <c r="Q357" s="8">
        <f t="shared" si="41"/>
        <v>3.713998681125486E-5</v>
      </c>
      <c r="S357" s="1">
        <v>45239</v>
      </c>
      <c r="T357">
        <v>3.74</v>
      </c>
      <c r="U357" s="29">
        <f t="shared" si="38"/>
        <v>-1.319261213720313E-2</v>
      </c>
      <c r="V357" s="5">
        <f>U357-V1274</f>
        <v>-1.4928802912910169E-2</v>
      </c>
      <c r="X357" t="s">
        <v>496</v>
      </c>
      <c r="Y357">
        <v>3.25</v>
      </c>
      <c r="Z357" s="48">
        <f t="shared" si="39"/>
        <v>1.5625E-2</v>
      </c>
      <c r="AA357" s="5">
        <f>Z357-Y1274</f>
        <v>1.1407680530725866E-2</v>
      </c>
      <c r="AD357" s="1">
        <v>45239</v>
      </c>
      <c r="AE357">
        <v>83.29</v>
      </c>
      <c r="AF357" s="29">
        <f t="shared" si="40"/>
        <v>5.0681790756605949E-3</v>
      </c>
    </row>
    <row r="358" spans="1:32">
      <c r="A358" s="220">
        <v>45055</v>
      </c>
      <c r="B358" s="222">
        <v>46.55</v>
      </c>
      <c r="C358" s="227">
        <f t="shared" si="35"/>
        <v>1.4161220043573008E-2</v>
      </c>
      <c r="D358" s="5">
        <f>C358-C1275</f>
        <v>1.408317447401412E-2</v>
      </c>
      <c r="F358" s="8"/>
      <c r="H358" s="1">
        <v>45086</v>
      </c>
      <c r="I358">
        <v>10.97</v>
      </c>
      <c r="J358" s="227">
        <f t="shared" si="36"/>
        <v>1.6682113067655324E-2</v>
      </c>
      <c r="K358" s="5">
        <f>J358-J1276</f>
        <v>1.4546157152045366E-2</v>
      </c>
      <c r="M358" s="241">
        <v>45147</v>
      </c>
      <c r="N358">
        <v>4457.49</v>
      </c>
      <c r="O358" s="227">
        <f t="shared" si="37"/>
        <v>-6.6786110628285211E-3</v>
      </c>
      <c r="P358" s="5">
        <f>O358-O1278</f>
        <v>-6.3128538619153492E-3</v>
      </c>
      <c r="Q358" s="8">
        <f t="shared" si="41"/>
        <v>3.9852123881899541E-5</v>
      </c>
      <c r="S358" s="1">
        <v>45147</v>
      </c>
      <c r="T358">
        <v>3.72</v>
      </c>
      <c r="U358" s="29">
        <f t="shared" si="38"/>
        <v>-5.3475935828877219E-3</v>
      </c>
      <c r="V358" s="5">
        <f>U358-V1274</f>
        <v>-7.0837843585947599E-3</v>
      </c>
      <c r="X358" t="s">
        <v>497</v>
      </c>
      <c r="Y358">
        <v>3.24</v>
      </c>
      <c r="Z358" s="48">
        <f t="shared" si="39"/>
        <v>-3.0769230769229772E-3</v>
      </c>
      <c r="AA358" s="5">
        <f>Z358-Y1274</f>
        <v>-7.2942425461971112E-3</v>
      </c>
      <c r="AD358" s="1">
        <v>45147</v>
      </c>
      <c r="AE358">
        <v>82.17</v>
      </c>
      <c r="AF358" s="29">
        <f t="shared" si="40"/>
        <v>-1.344699243606684E-2</v>
      </c>
    </row>
    <row r="359" spans="1:32">
      <c r="A359" s="220">
        <v>44935</v>
      </c>
      <c r="B359" s="222">
        <v>47.04</v>
      </c>
      <c r="C359" s="227">
        <f t="shared" si="35"/>
        <v>1.0526315789473717E-2</v>
      </c>
      <c r="D359" s="5">
        <f>C359-C1275</f>
        <v>1.0448270219914828E-2</v>
      </c>
      <c r="F359" s="8"/>
      <c r="H359" s="1">
        <v>45055</v>
      </c>
      <c r="I359">
        <v>11.84</v>
      </c>
      <c r="J359" s="227">
        <f t="shared" si="36"/>
        <v>7.9307201458523213E-2</v>
      </c>
      <c r="K359" s="5">
        <f>J359-J1276</f>
        <v>7.7171245542913255E-2</v>
      </c>
      <c r="M359" s="241">
        <v>45116</v>
      </c>
      <c r="N359">
        <v>4451.1400000000003</v>
      </c>
      <c r="O359" s="227">
        <f t="shared" si="37"/>
        <v>-1.4245685352068937E-3</v>
      </c>
      <c r="P359" s="5">
        <f>O359-O1278</f>
        <v>-1.0588113342937223E-3</v>
      </c>
      <c r="Q359" s="8">
        <f t="shared" si="41"/>
        <v>1.1210814416288524E-6</v>
      </c>
      <c r="S359" s="1">
        <v>45116</v>
      </c>
      <c r="T359">
        <v>3.73</v>
      </c>
      <c r="U359" s="29">
        <f t="shared" si="38"/>
        <v>2.6881720430107503E-3</v>
      </c>
      <c r="V359" s="5">
        <f>U359-V1274</f>
        <v>9.5198126730371233E-4</v>
      </c>
      <c r="X359" t="s">
        <v>498</v>
      </c>
      <c r="Y359">
        <v>3.16</v>
      </c>
      <c r="Z359" s="48">
        <f t="shared" si="39"/>
        <v>-2.4691358024691357E-2</v>
      </c>
      <c r="AA359" s="5">
        <f>Z359-Y1274</f>
        <v>-2.8908677493965491E-2</v>
      </c>
      <c r="AD359" s="1">
        <v>45116</v>
      </c>
      <c r="AE359">
        <v>82.02</v>
      </c>
      <c r="AF359" s="29">
        <f t="shared" si="40"/>
        <v>-1.8254837531946899E-3</v>
      </c>
    </row>
    <row r="360" spans="1:32">
      <c r="A360" s="3" t="s">
        <v>505</v>
      </c>
      <c r="B360" s="222">
        <v>47.23</v>
      </c>
      <c r="C360" s="227">
        <f t="shared" si="35"/>
        <v>4.0391156462584732E-3</v>
      </c>
      <c r="D360" s="5">
        <f>C360-C1275</f>
        <v>3.9610700766995839E-3</v>
      </c>
      <c r="F360" s="8"/>
      <c r="H360" s="1">
        <v>44935</v>
      </c>
      <c r="I360">
        <v>12.34</v>
      </c>
      <c r="J360" s="227">
        <f t="shared" si="36"/>
        <v>4.2229729729729826E-2</v>
      </c>
      <c r="K360" s="5">
        <f>J360-J1276</f>
        <v>4.0093773814119868E-2</v>
      </c>
      <c r="M360" s="241">
        <v>45086</v>
      </c>
      <c r="N360">
        <v>4465.4799999999996</v>
      </c>
      <c r="O360" s="227">
        <f t="shared" si="37"/>
        <v>3.2216465894128188E-3</v>
      </c>
      <c r="P360" s="5">
        <f>O360-O1278</f>
        <v>3.5874037903259903E-3</v>
      </c>
      <c r="Q360" s="8">
        <f t="shared" si="41"/>
        <v>1.2869465954845281E-5</v>
      </c>
      <c r="S360" s="1">
        <v>45086</v>
      </c>
      <c r="T360">
        <v>3.68</v>
      </c>
      <c r="U360" s="29">
        <f t="shared" si="38"/>
        <v>-1.3404825737265313E-2</v>
      </c>
      <c r="V360" s="5">
        <f>U360-V1274</f>
        <v>-1.5141016512972352E-2</v>
      </c>
      <c r="X360" t="s">
        <v>499</v>
      </c>
      <c r="Y360">
        <v>3.3</v>
      </c>
      <c r="Z360" s="48">
        <f t="shared" si="39"/>
        <v>4.4303797468354222E-2</v>
      </c>
      <c r="AA360" s="5">
        <f>Z360-Y1274</f>
        <v>4.0086477999080092E-2</v>
      </c>
      <c r="AD360" s="1">
        <v>45086</v>
      </c>
      <c r="AE360">
        <v>82.59</v>
      </c>
      <c r="AF360" s="29">
        <f t="shared" si="40"/>
        <v>6.9495245062181077E-3</v>
      </c>
    </row>
    <row r="361" spans="1:32">
      <c r="A361" s="3" t="s">
        <v>506</v>
      </c>
      <c r="B361" s="222">
        <v>46.51</v>
      </c>
      <c r="C361" s="227">
        <f t="shared" si="35"/>
        <v>-1.5244547956807075E-2</v>
      </c>
      <c r="D361" s="5">
        <f>C361-C1275</f>
        <v>-1.5322593526365964E-2</v>
      </c>
      <c r="F361" s="8"/>
      <c r="H361" t="s">
        <v>505</v>
      </c>
      <c r="I361">
        <v>11.78</v>
      </c>
      <c r="J361" s="227">
        <f t="shared" si="36"/>
        <v>-4.5380875202593263E-2</v>
      </c>
      <c r="K361" s="5">
        <f>J361-J1276</f>
        <v>-4.751683111820322E-2</v>
      </c>
      <c r="M361" s="241">
        <v>45055</v>
      </c>
      <c r="N361">
        <v>4496.83</v>
      </c>
      <c r="O361" s="227">
        <f t="shared" si="37"/>
        <v>7.0205218699894711E-3</v>
      </c>
      <c r="P361" s="5">
        <f>O361-O1278</f>
        <v>7.3862790709026431E-3</v>
      </c>
      <c r="Q361" s="8">
        <f t="shared" si="41"/>
        <v>5.4557118513254413E-5</v>
      </c>
      <c r="S361" s="1">
        <v>45055</v>
      </c>
      <c r="T361">
        <v>3.81</v>
      </c>
      <c r="U361" s="29">
        <f t="shared" si="38"/>
        <v>3.5326086956521729E-2</v>
      </c>
      <c r="V361" s="5">
        <f>U361-V1274</f>
        <v>3.3589896180814691E-2</v>
      </c>
      <c r="X361" t="s">
        <v>500</v>
      </c>
      <c r="Y361">
        <v>3.34</v>
      </c>
      <c r="Z361" s="48">
        <f t="shared" si="39"/>
        <v>1.2121212121212199E-2</v>
      </c>
      <c r="AA361" s="5">
        <f>Z361-Y1274</f>
        <v>7.9038926519380652E-3</v>
      </c>
      <c r="AD361" s="1">
        <v>45055</v>
      </c>
      <c r="AE361">
        <v>83.68</v>
      </c>
      <c r="AF361" s="29">
        <f t="shared" si="40"/>
        <v>1.3197723695362651E-2</v>
      </c>
    </row>
    <row r="362" spans="1:32">
      <c r="A362" s="3" t="s">
        <v>507</v>
      </c>
      <c r="B362" s="222">
        <v>45.35</v>
      </c>
      <c r="C362" s="227">
        <f t="shared" si="35"/>
        <v>-2.4940872930552471E-2</v>
      </c>
      <c r="D362" s="5">
        <f>C362-C1275</f>
        <v>-2.501891850011136E-2</v>
      </c>
      <c r="F362" s="8"/>
      <c r="H362" t="s">
        <v>506</v>
      </c>
      <c r="I362">
        <v>11.68</v>
      </c>
      <c r="J362" s="227">
        <f t="shared" si="36"/>
        <v>-8.4889643463497144E-3</v>
      </c>
      <c r="K362" s="5">
        <f>J362-J1276</f>
        <v>-1.0624920261959672E-2</v>
      </c>
      <c r="M362" s="241">
        <v>44935</v>
      </c>
      <c r="N362">
        <v>4515.7700000000004</v>
      </c>
      <c r="O362" s="227">
        <f t="shared" si="37"/>
        <v>4.2118559073838213E-3</v>
      </c>
      <c r="P362" s="5">
        <f>O362-O1278</f>
        <v>4.5776131082969932E-3</v>
      </c>
      <c r="Q362" s="8">
        <f t="shared" si="41"/>
        <v>2.0954541769252459E-5</v>
      </c>
      <c r="S362" s="1">
        <v>44935</v>
      </c>
      <c r="T362">
        <v>3.83</v>
      </c>
      <c r="U362" s="29">
        <f t="shared" si="38"/>
        <v>5.249343832020914E-3</v>
      </c>
      <c r="V362" s="5">
        <f>U362-V1274</f>
        <v>3.5131530563138761E-3</v>
      </c>
      <c r="X362" t="s">
        <v>501</v>
      </c>
      <c r="Y362">
        <v>3.36</v>
      </c>
      <c r="Z362" s="48">
        <f t="shared" si="39"/>
        <v>5.9880239520957446E-3</v>
      </c>
      <c r="AA362" s="5">
        <f>Z362-Y1274</f>
        <v>1.7707044828216105E-3</v>
      </c>
      <c r="AD362" s="1">
        <v>44935</v>
      </c>
      <c r="AE362">
        <v>84.04</v>
      </c>
      <c r="AF362" s="29">
        <f t="shared" si="40"/>
        <v>4.3021032504779733E-3</v>
      </c>
    </row>
    <row r="363" spans="1:32">
      <c r="A363" s="3" t="s">
        <v>508</v>
      </c>
      <c r="B363" s="222">
        <v>44.15</v>
      </c>
      <c r="C363" s="227">
        <f t="shared" si="35"/>
        <v>-2.6460859977949336E-2</v>
      </c>
      <c r="D363" s="5">
        <f>C363-C1275</f>
        <v>-2.6538905547508224E-2</v>
      </c>
      <c r="E363" s="1"/>
      <c r="F363" s="8"/>
      <c r="H363" t="s">
        <v>507</v>
      </c>
      <c r="I363">
        <v>10.77</v>
      </c>
      <c r="J363" s="227">
        <f t="shared" si="36"/>
        <v>-7.7910958904109595E-2</v>
      </c>
      <c r="K363" s="5">
        <f>J363-J1276</f>
        <v>-8.0046914819719553E-2</v>
      </c>
      <c r="M363" s="240" t="s">
        <v>505</v>
      </c>
      <c r="N363">
        <v>4507.66</v>
      </c>
      <c r="O363" s="227">
        <f t="shared" si="37"/>
        <v>-1.7959284906008399E-3</v>
      </c>
      <c r="P363" s="5">
        <f>O363-O1278</f>
        <v>-1.4301712896876684E-3</v>
      </c>
      <c r="Q363" s="8">
        <f t="shared" si="41"/>
        <v>2.0453899178468886E-6</v>
      </c>
      <c r="S363" t="s">
        <v>505</v>
      </c>
      <c r="T363">
        <v>3.77</v>
      </c>
      <c r="U363" s="29">
        <f t="shared" si="38"/>
        <v>-1.5665796344647487E-2</v>
      </c>
      <c r="V363" s="5">
        <f>U363-V1274</f>
        <v>-1.7401987120354526E-2</v>
      </c>
      <c r="X363" t="s">
        <v>502</v>
      </c>
      <c r="Y363">
        <v>3.43</v>
      </c>
      <c r="Z363" s="48">
        <f t="shared" si="39"/>
        <v>2.0833333333333481E-2</v>
      </c>
      <c r="AA363" s="5">
        <f>Z363-Y1274</f>
        <v>1.6616013864059347E-2</v>
      </c>
      <c r="AD363" t="s">
        <v>505</v>
      </c>
      <c r="AE363">
        <v>84.13</v>
      </c>
      <c r="AF363" s="29">
        <f t="shared" si="40"/>
        <v>1.0709186101856005E-3</v>
      </c>
    </row>
    <row r="364" spans="1:32">
      <c r="A364" s="3" t="s">
        <v>509</v>
      </c>
      <c r="B364" s="222">
        <v>43.96</v>
      </c>
      <c r="C364" s="227">
        <f t="shared" si="35"/>
        <v>-4.303510758776885E-3</v>
      </c>
      <c r="D364" s="5">
        <f>C364-C1275</f>
        <v>-4.3815563283357744E-3</v>
      </c>
      <c r="E364" s="1"/>
      <c r="F364" s="8"/>
      <c r="H364" t="s">
        <v>508</v>
      </c>
      <c r="I364">
        <v>10.28</v>
      </c>
      <c r="J364" s="227">
        <f t="shared" si="36"/>
        <v>-4.5496750232126293E-2</v>
      </c>
      <c r="K364" s="5">
        <f>J364-J1276</f>
        <v>-4.7632706147736251E-2</v>
      </c>
      <c r="M364" s="240" t="s">
        <v>506</v>
      </c>
      <c r="N364">
        <v>4514.87</v>
      </c>
      <c r="O364" s="227">
        <f t="shared" si="37"/>
        <v>1.5994995185972805E-3</v>
      </c>
      <c r="P364" s="5">
        <f>O364-O1278</f>
        <v>1.9652567195104519E-3</v>
      </c>
      <c r="Q364" s="8">
        <f t="shared" si="41"/>
        <v>3.8622339735809828E-6</v>
      </c>
      <c r="S364" t="s">
        <v>506</v>
      </c>
      <c r="T364">
        <v>3.74</v>
      </c>
      <c r="U364" s="29">
        <f t="shared" si="38"/>
        <v>-7.9575596816975347E-3</v>
      </c>
      <c r="V364" s="5">
        <f>U364-V1274</f>
        <v>-9.6937504574045735E-3</v>
      </c>
      <c r="X364" t="s">
        <v>503</v>
      </c>
      <c r="Y364">
        <v>3.45</v>
      </c>
      <c r="Z364" s="48">
        <f t="shared" si="39"/>
        <v>5.8309037900874383E-3</v>
      </c>
      <c r="AA364" s="5">
        <f>Z364-Y1274</f>
        <v>1.6135843208133042E-3</v>
      </c>
      <c r="AD364" t="s">
        <v>506</v>
      </c>
      <c r="AE364">
        <v>82.73</v>
      </c>
      <c r="AF364" s="29">
        <f t="shared" si="40"/>
        <v>-1.6640912872934677E-2</v>
      </c>
    </row>
    <row r="365" spans="1:32">
      <c r="A365" s="3" t="s">
        <v>510</v>
      </c>
      <c r="B365" s="222">
        <v>44.68</v>
      </c>
      <c r="C365" s="227">
        <f t="shared" si="35"/>
        <v>1.6378525932666088E-2</v>
      </c>
      <c r="D365" s="5">
        <f>C365-C1275</f>
        <v>1.63004803631072E-2</v>
      </c>
      <c r="E365" s="1"/>
      <c r="F365" s="8"/>
      <c r="H365" t="s">
        <v>509</v>
      </c>
      <c r="I365">
        <v>10.220000000000001</v>
      </c>
      <c r="J365" s="227">
        <f t="shared" si="36"/>
        <v>-5.8365758754862496E-3</v>
      </c>
      <c r="K365" s="5">
        <f>J365-J1276</f>
        <v>-7.9725317910962074E-3</v>
      </c>
      <c r="M365" s="240" t="s">
        <v>507</v>
      </c>
      <c r="N365">
        <v>4497.63</v>
      </c>
      <c r="O365" s="227">
        <f t="shared" si="37"/>
        <v>-3.8184931127585031E-3</v>
      </c>
      <c r="P365" s="5">
        <f>O365-O1278</f>
        <v>-3.4527359118453316E-3</v>
      </c>
      <c r="Q365" s="8">
        <f t="shared" si="41"/>
        <v>1.1921385276946414E-5</v>
      </c>
      <c r="S365" t="s">
        <v>507</v>
      </c>
      <c r="T365">
        <v>3.77</v>
      </c>
      <c r="U365" s="29">
        <f t="shared" si="38"/>
        <v>8.0213903743315829E-3</v>
      </c>
      <c r="V365" s="5">
        <f>U365-V1274</f>
        <v>6.2851995986245449E-3</v>
      </c>
      <c r="X365" t="s">
        <v>504</v>
      </c>
      <c r="Y365">
        <v>3.47</v>
      </c>
      <c r="Z365" s="48">
        <f t="shared" si="39"/>
        <v>5.7971014492754769E-3</v>
      </c>
      <c r="AA365" s="5">
        <f>Z365-Y1274</f>
        <v>1.5797819800013428E-3</v>
      </c>
      <c r="AD365" t="s">
        <v>507</v>
      </c>
      <c r="AE365">
        <v>81.96</v>
      </c>
      <c r="AF365" s="29">
        <f t="shared" si="40"/>
        <v>-9.3073854708087822E-3</v>
      </c>
    </row>
    <row r="366" spans="1:32">
      <c r="A366" s="3" t="s">
        <v>511</v>
      </c>
      <c r="B366" s="222">
        <v>45.14</v>
      </c>
      <c r="C366" s="227">
        <f t="shared" si="35"/>
        <v>1.0295434198746678E-2</v>
      </c>
      <c r="D366" s="5">
        <f>C366-C1275</f>
        <v>1.021738862918779E-2</v>
      </c>
      <c r="E366" s="1"/>
      <c r="F366" s="8"/>
      <c r="H366" t="s">
        <v>510</v>
      </c>
      <c r="I366">
        <v>10.58</v>
      </c>
      <c r="J366" s="227">
        <f t="shared" si="36"/>
        <v>3.5225048923678948E-2</v>
      </c>
      <c r="K366" s="5">
        <f>J366-J1276</f>
        <v>3.308909300806899E-2</v>
      </c>
      <c r="M366" s="240" t="s">
        <v>508</v>
      </c>
      <c r="N366">
        <v>4433.3100000000004</v>
      </c>
      <c r="O366" s="227">
        <f t="shared" si="37"/>
        <v>-1.4300865122297668E-2</v>
      </c>
      <c r="P366" s="5">
        <f>O366-O1278</f>
        <v>-1.3935107921384497E-2</v>
      </c>
      <c r="Q366" s="8">
        <f t="shared" si="41"/>
        <v>1.9418723278063295E-4</v>
      </c>
      <c r="S366" t="s">
        <v>508</v>
      </c>
      <c r="T366">
        <v>3.69</v>
      </c>
      <c r="U366" s="29">
        <f t="shared" si="38"/>
        <v>-2.1220159151193685E-2</v>
      </c>
      <c r="V366" s="5">
        <f>U366-V1274</f>
        <v>-2.2956349926900724E-2</v>
      </c>
      <c r="X366" s="1">
        <v>45269</v>
      </c>
      <c r="Y366">
        <v>3.47</v>
      </c>
      <c r="Z366" s="48">
        <f t="shared" si="39"/>
        <v>0</v>
      </c>
      <c r="AA366" s="5">
        <f>Z366-Y1274</f>
        <v>-4.2173194692741341E-3</v>
      </c>
      <c r="AD366" t="s">
        <v>508</v>
      </c>
      <c r="AE366">
        <v>78.5</v>
      </c>
      <c r="AF366" s="29">
        <f t="shared" si="40"/>
        <v>-4.2215714982918429E-2</v>
      </c>
    </row>
    <row r="367" spans="1:32">
      <c r="A367" s="3" t="s">
        <v>512</v>
      </c>
      <c r="B367" s="222">
        <v>44.35</v>
      </c>
      <c r="C367" s="227">
        <f t="shared" si="35"/>
        <v>-1.7501107665042093E-2</v>
      </c>
      <c r="D367" s="5">
        <f>C367-C1275</f>
        <v>-1.7579153234600981E-2</v>
      </c>
      <c r="E367" s="1"/>
      <c r="F367" s="8"/>
      <c r="H367" t="s">
        <v>511</v>
      </c>
      <c r="I367">
        <v>10.72</v>
      </c>
      <c r="J367" s="227">
        <f t="shared" si="36"/>
        <v>1.3232514177693888E-2</v>
      </c>
      <c r="K367" s="5">
        <f>J367-J1276</f>
        <v>1.109655826208393E-2</v>
      </c>
      <c r="M367" s="240" t="s">
        <v>509</v>
      </c>
      <c r="N367">
        <v>4405.71</v>
      </c>
      <c r="O367" s="227">
        <f t="shared" si="37"/>
        <v>-6.2255966760728088E-3</v>
      </c>
      <c r="P367" s="5">
        <f>O367-O1278</f>
        <v>-5.8598394751596368E-3</v>
      </c>
      <c r="Q367" s="8">
        <f t="shared" si="41"/>
        <v>3.4337718674639168E-5</v>
      </c>
      <c r="S367" t="s">
        <v>509</v>
      </c>
      <c r="T367">
        <v>3.7</v>
      </c>
      <c r="U367" s="29">
        <f t="shared" si="38"/>
        <v>2.7100271002711285E-3</v>
      </c>
      <c r="V367" s="5">
        <f>U367-V1274</f>
        <v>9.7383632456409051E-4</v>
      </c>
      <c r="X367" s="1">
        <v>45239</v>
      </c>
      <c r="Y367">
        <v>3.51</v>
      </c>
      <c r="Z367" s="48">
        <f t="shared" si="39"/>
        <v>1.1527377521613813E-2</v>
      </c>
      <c r="AA367" s="5">
        <f>Z367-Y1274</f>
        <v>7.310058052339679E-3</v>
      </c>
      <c r="AD367" t="s">
        <v>509</v>
      </c>
      <c r="AE367">
        <v>78.02</v>
      </c>
      <c r="AF367" s="29">
        <f t="shared" si="40"/>
        <v>-6.1146496815287499E-3</v>
      </c>
    </row>
    <row r="368" spans="1:32">
      <c r="A368" s="3" t="s">
        <v>513</v>
      </c>
      <c r="B368" s="222">
        <v>44.63</v>
      </c>
      <c r="C368" s="227">
        <f t="shared" si="35"/>
        <v>6.3134160090192459E-3</v>
      </c>
      <c r="D368" s="5">
        <f>C368-C1275</f>
        <v>6.2353704394603566E-3</v>
      </c>
      <c r="E368" s="1"/>
      <c r="F368" s="8"/>
      <c r="H368" t="s">
        <v>512</v>
      </c>
      <c r="I368">
        <v>10.81</v>
      </c>
      <c r="J368" s="227">
        <f t="shared" si="36"/>
        <v>8.3955223880596286E-3</v>
      </c>
      <c r="K368" s="5">
        <f>J368-J1276</f>
        <v>6.2595664724496708E-3</v>
      </c>
      <c r="M368" s="240" t="s">
        <v>510</v>
      </c>
      <c r="N368">
        <v>4376.3100000000004</v>
      </c>
      <c r="O368" s="227">
        <f t="shared" si="37"/>
        <v>-6.6731582423718017E-3</v>
      </c>
      <c r="P368" s="5">
        <f>O368-O1278</f>
        <v>-6.3074010414586297E-3</v>
      </c>
      <c r="Q368" s="8">
        <f t="shared" si="41"/>
        <v>3.9783307897793404E-5</v>
      </c>
      <c r="S368" t="s">
        <v>510</v>
      </c>
      <c r="T368">
        <v>3.66</v>
      </c>
      <c r="U368" s="29">
        <f t="shared" si="38"/>
        <v>-1.0810810810810811E-2</v>
      </c>
      <c r="V368" s="5">
        <f>U368-V1274</f>
        <v>-1.254700158651785E-2</v>
      </c>
      <c r="X368" s="1">
        <v>45147</v>
      </c>
      <c r="Y368">
        <v>3.5</v>
      </c>
      <c r="Z368" s="48">
        <f t="shared" si="39"/>
        <v>-2.8490028490028019E-3</v>
      </c>
      <c r="AA368" s="5">
        <f>Z368-Y1274</f>
        <v>-7.0663223182769359E-3</v>
      </c>
      <c r="AD368" t="s">
        <v>510</v>
      </c>
      <c r="AE368">
        <v>76.13</v>
      </c>
      <c r="AF368" s="29">
        <f t="shared" si="40"/>
        <v>-2.4224557805690883E-2</v>
      </c>
    </row>
    <row r="369" spans="1:32">
      <c r="A369" s="3" t="s">
        <v>514</v>
      </c>
      <c r="B369" s="222">
        <v>44.69</v>
      </c>
      <c r="C369" s="227">
        <f t="shared" si="35"/>
        <v>1.3443871835088217E-3</v>
      </c>
      <c r="D369" s="5">
        <f>C369-C1275</f>
        <v>1.2663416139499324E-3</v>
      </c>
      <c r="E369" s="1"/>
      <c r="F369" s="8"/>
      <c r="H369" t="s">
        <v>513</v>
      </c>
      <c r="I369">
        <v>11.1</v>
      </c>
      <c r="J369" s="227">
        <f t="shared" si="36"/>
        <v>2.6827012025901764E-2</v>
      </c>
      <c r="K369" s="5">
        <f>J369-J1276</f>
        <v>2.4691056110291806E-2</v>
      </c>
      <c r="M369" s="240" t="s">
        <v>511</v>
      </c>
      <c r="N369">
        <v>4436.01</v>
      </c>
      <c r="O369" s="227">
        <f t="shared" si="37"/>
        <v>1.3641629592053617E-2</v>
      </c>
      <c r="P369" s="5">
        <f>O369-O1278</f>
        <v>1.4007386792966788E-2</v>
      </c>
      <c r="Q369" s="8">
        <f t="shared" si="41"/>
        <v>1.962068847677804E-4</v>
      </c>
      <c r="S369" t="s">
        <v>511</v>
      </c>
      <c r="T369">
        <v>3.7</v>
      </c>
      <c r="U369" s="29">
        <f t="shared" si="38"/>
        <v>1.0928961748633892E-2</v>
      </c>
      <c r="V369" s="5">
        <f>U369-V1274</f>
        <v>9.1927709729268531E-3</v>
      </c>
      <c r="X369" s="1">
        <v>45116</v>
      </c>
      <c r="Y369">
        <v>3.51</v>
      </c>
      <c r="Z369" s="48">
        <f t="shared" si="39"/>
        <v>2.8571428571428914E-3</v>
      </c>
      <c r="AA369" s="5">
        <f>Z369-Y1274</f>
        <v>-1.3601766121312427E-3</v>
      </c>
      <c r="AD369" t="s">
        <v>511</v>
      </c>
      <c r="AE369">
        <v>77.34</v>
      </c>
      <c r="AF369" s="29">
        <f t="shared" si="40"/>
        <v>1.5893865755943981E-2</v>
      </c>
    </row>
    <row r="370" spans="1:32">
      <c r="A370" s="3" t="s">
        <v>515</v>
      </c>
      <c r="B370" s="222">
        <v>43.97</v>
      </c>
      <c r="C370" s="227">
        <f t="shared" si="35"/>
        <v>-1.6110986797941318E-2</v>
      </c>
      <c r="D370" s="5">
        <f>C370-C1275</f>
        <v>-1.6189032367500206E-2</v>
      </c>
      <c r="E370" s="1"/>
      <c r="F370" s="8"/>
      <c r="H370" t="s">
        <v>514</v>
      </c>
      <c r="I370">
        <v>11.13</v>
      </c>
      <c r="J370" s="227">
        <f t="shared" si="36"/>
        <v>2.7027027027028971E-3</v>
      </c>
      <c r="K370" s="5">
        <f>J370-J1276</f>
        <v>5.6674678709293935E-4</v>
      </c>
      <c r="M370" s="240" t="s">
        <v>512</v>
      </c>
      <c r="N370">
        <v>4387.55</v>
      </c>
      <c r="O370" s="227">
        <f t="shared" si="37"/>
        <v>-1.0924231460253675E-2</v>
      </c>
      <c r="P370" s="5">
        <f>O370-O1278</f>
        <v>-1.0558474259340504E-2</v>
      </c>
      <c r="Q370" s="8">
        <f t="shared" si="41"/>
        <v>1.11481378685156E-4</v>
      </c>
      <c r="S370" t="s">
        <v>512</v>
      </c>
      <c r="T370">
        <v>3.34</v>
      </c>
      <c r="U370" s="29">
        <f t="shared" si="38"/>
        <v>-9.7297297297297414E-2</v>
      </c>
      <c r="V370" s="5">
        <f>U370-V1274</f>
        <v>-9.9033488073004453E-2</v>
      </c>
      <c r="X370" s="1">
        <v>45086</v>
      </c>
      <c r="Y370">
        <v>3.51</v>
      </c>
      <c r="Z370" s="48">
        <f t="shared" si="39"/>
        <v>0</v>
      </c>
      <c r="AA370" s="5">
        <f>Z370-Y1274</f>
        <v>-4.2173194692741341E-3</v>
      </c>
      <c r="AD370" t="s">
        <v>512</v>
      </c>
      <c r="AE370">
        <v>77.84</v>
      </c>
      <c r="AF370" s="29">
        <f t="shared" si="40"/>
        <v>6.4649599172486027E-3</v>
      </c>
    </row>
    <row r="371" spans="1:32">
      <c r="A371" s="3" t="s">
        <v>516</v>
      </c>
      <c r="B371" s="222">
        <v>43.65</v>
      </c>
      <c r="C371" s="227">
        <f t="shared" si="35"/>
        <v>-7.2776893336365944E-3</v>
      </c>
      <c r="D371" s="5">
        <f>C371-C1275</f>
        <v>-7.3557349031954837E-3</v>
      </c>
      <c r="E371" s="1"/>
      <c r="F371" s="8"/>
      <c r="H371" t="s">
        <v>515</v>
      </c>
      <c r="I371">
        <v>11.06</v>
      </c>
      <c r="J371" s="227">
        <f t="shared" si="36"/>
        <v>-6.2893081761006275E-3</v>
      </c>
      <c r="K371" s="5">
        <f>J371-J1276</f>
        <v>-8.4252640917105853E-3</v>
      </c>
      <c r="M371" s="240" t="s">
        <v>513</v>
      </c>
      <c r="N371">
        <v>4399.7700000000004</v>
      </c>
      <c r="O371" s="227">
        <f t="shared" si="37"/>
        <v>2.7851534455447524E-3</v>
      </c>
      <c r="P371" s="5">
        <f>O371-O1278</f>
        <v>3.1509106464579239E-3</v>
      </c>
      <c r="Q371" s="8">
        <f t="shared" si="41"/>
        <v>9.9282379019618926E-6</v>
      </c>
      <c r="S371" t="s">
        <v>513</v>
      </c>
      <c r="T371">
        <v>3.27</v>
      </c>
      <c r="U371" s="29">
        <f t="shared" si="38"/>
        <v>-2.0958083832335328E-2</v>
      </c>
      <c r="V371" s="5">
        <f>U371-V1274</f>
        <v>-2.2694274608042367E-2</v>
      </c>
      <c r="X371" s="1">
        <v>45055</v>
      </c>
      <c r="Y371">
        <v>3.5</v>
      </c>
      <c r="Z371" s="48">
        <f t="shared" si="39"/>
        <v>-2.8490028490028019E-3</v>
      </c>
      <c r="AA371" s="5">
        <f>Z371-Y1274</f>
        <v>-7.0663223182769359E-3</v>
      </c>
      <c r="AD371" t="s">
        <v>513</v>
      </c>
      <c r="AE371">
        <v>76.599999999999994</v>
      </c>
      <c r="AF371" s="29">
        <f t="shared" si="40"/>
        <v>-1.5930113052415318E-2</v>
      </c>
    </row>
    <row r="372" spans="1:32">
      <c r="A372" s="3" t="s">
        <v>517</v>
      </c>
      <c r="B372" s="222">
        <v>44.08</v>
      </c>
      <c r="C372" s="227">
        <f t="shared" si="35"/>
        <v>9.8510882016036305E-3</v>
      </c>
      <c r="D372" s="5">
        <f>C372-C1275</f>
        <v>9.7730426320447421E-3</v>
      </c>
      <c r="F372" s="8"/>
      <c r="H372" t="s">
        <v>516</v>
      </c>
      <c r="I372">
        <v>11.36</v>
      </c>
      <c r="J372" s="227">
        <f t="shared" si="36"/>
        <v>2.7124773960216952E-2</v>
      </c>
      <c r="K372" s="5">
        <f>J372-J1276</f>
        <v>2.4988818044606995E-2</v>
      </c>
      <c r="M372" s="240" t="s">
        <v>514</v>
      </c>
      <c r="N372">
        <v>4369.71</v>
      </c>
      <c r="O372" s="227">
        <f t="shared" si="37"/>
        <v>-6.8321753182554179E-3</v>
      </c>
      <c r="P372" s="5">
        <f>O372-O1278</f>
        <v>-6.466418117342246E-3</v>
      </c>
      <c r="Q372" s="8">
        <f t="shared" si="41"/>
        <v>4.1814563268292038E-5</v>
      </c>
      <c r="S372" t="s">
        <v>514</v>
      </c>
      <c r="T372">
        <v>3.24</v>
      </c>
      <c r="U372" s="29">
        <f t="shared" si="38"/>
        <v>-9.1743119266054496E-3</v>
      </c>
      <c r="V372" s="5">
        <f>U372-V1274</f>
        <v>-1.0910502702312488E-2</v>
      </c>
      <c r="X372" s="1">
        <v>44935</v>
      </c>
      <c r="Y372">
        <v>3.42</v>
      </c>
      <c r="Z372" s="48">
        <f t="shared" si="39"/>
        <v>-2.2857142857142909E-2</v>
      </c>
      <c r="AA372" s="5">
        <f>Z372-Y1274</f>
        <v>-2.7074462326417043E-2</v>
      </c>
      <c r="AD372" t="s">
        <v>514</v>
      </c>
      <c r="AE372">
        <v>77.819999999999993</v>
      </c>
      <c r="AF372" s="29">
        <f t="shared" si="40"/>
        <v>1.5926892950391736E-2</v>
      </c>
    </row>
    <row r="373" spans="1:32">
      <c r="A373" s="3" t="s">
        <v>518</v>
      </c>
      <c r="B373" s="222">
        <v>44.85</v>
      </c>
      <c r="C373" s="227">
        <f t="shared" si="35"/>
        <v>1.7468239564428334E-2</v>
      </c>
      <c r="D373" s="5">
        <f>C373-C1275</f>
        <v>1.7390193994869445E-2</v>
      </c>
      <c r="F373" s="8"/>
      <c r="H373" t="s">
        <v>517</v>
      </c>
      <c r="I373">
        <v>12.08</v>
      </c>
      <c r="J373" s="227">
        <f t="shared" si="36"/>
        <v>6.3380281690140983E-2</v>
      </c>
      <c r="K373" s="5">
        <f>J373-J1276</f>
        <v>6.1244325774531025E-2</v>
      </c>
      <c r="M373" s="240" t="s">
        <v>515</v>
      </c>
      <c r="N373">
        <v>4370.3599999999997</v>
      </c>
      <c r="O373" s="227">
        <f t="shared" si="37"/>
        <v>1.4875129013125488E-4</v>
      </c>
      <c r="P373" s="5">
        <f>O373-O1278</f>
        <v>5.1450849104442637E-4</v>
      </c>
      <c r="Q373" s="8">
        <f t="shared" si="41"/>
        <v>2.6471898735681256E-7</v>
      </c>
      <c r="S373" t="s">
        <v>515</v>
      </c>
      <c r="T373">
        <v>3.26</v>
      </c>
      <c r="U373" s="29">
        <f t="shared" si="38"/>
        <v>6.1728395061726449E-3</v>
      </c>
      <c r="V373" s="5">
        <f>U373-V1274</f>
        <v>4.4366487304656069E-3</v>
      </c>
      <c r="X373" t="s">
        <v>505</v>
      </c>
      <c r="Y373">
        <v>3.43</v>
      </c>
      <c r="Z373" s="48">
        <f t="shared" si="39"/>
        <v>2.9239766081872176E-3</v>
      </c>
      <c r="AA373" s="5">
        <f>Z373-Y1274</f>
        <v>-1.2933428610869165E-3</v>
      </c>
      <c r="AD373" t="s">
        <v>515</v>
      </c>
      <c r="AE373">
        <v>77.88</v>
      </c>
      <c r="AF373" s="29">
        <f t="shared" si="40"/>
        <v>7.710100231304029E-4</v>
      </c>
    </row>
    <row r="374" spans="1:32">
      <c r="A374" s="220">
        <v>45238</v>
      </c>
      <c r="B374" s="222">
        <v>43.71</v>
      </c>
      <c r="C374" s="227">
        <f t="shared" si="35"/>
        <v>-2.5418060200668946E-2</v>
      </c>
      <c r="D374" s="5">
        <f>C374-C1275</f>
        <v>-2.5496105770227834E-2</v>
      </c>
      <c r="F374" s="8"/>
      <c r="H374" t="s">
        <v>518</v>
      </c>
      <c r="I374">
        <v>11.64</v>
      </c>
      <c r="J374" s="227">
        <f t="shared" si="36"/>
        <v>-3.6423841059602613E-2</v>
      </c>
      <c r="K374" s="5">
        <f>J374-J1276</f>
        <v>-3.8559796975212571E-2</v>
      </c>
      <c r="M374" s="240" t="s">
        <v>516</v>
      </c>
      <c r="N374">
        <v>4404.33</v>
      </c>
      <c r="O374" s="227">
        <f t="shared" si="37"/>
        <v>7.7728150541374053E-3</v>
      </c>
      <c r="P374" s="5">
        <f>O374-O1278</f>
        <v>8.1385722550505763E-3</v>
      </c>
      <c r="Q374" s="8">
        <f t="shared" si="41"/>
        <v>6.6236358350679026E-5</v>
      </c>
      <c r="S374" t="s">
        <v>516</v>
      </c>
      <c r="T374">
        <v>3.3</v>
      </c>
      <c r="U374" s="29">
        <f t="shared" si="38"/>
        <v>1.2269938650306678E-2</v>
      </c>
      <c r="V374" s="5">
        <f>U374-V1274</f>
        <v>1.0533747874599639E-2</v>
      </c>
      <c r="X374" t="s">
        <v>506</v>
      </c>
      <c r="Y374">
        <v>3.42</v>
      </c>
      <c r="Z374" s="48">
        <f t="shared" si="39"/>
        <v>-2.9154518950438302E-3</v>
      </c>
      <c r="AA374" s="5">
        <f>Z374-Y1274</f>
        <v>-7.1327713643179642E-3</v>
      </c>
      <c r="AD374" t="s">
        <v>516</v>
      </c>
      <c r="AE374">
        <v>79.790000000000006</v>
      </c>
      <c r="AF374" s="29">
        <f t="shared" si="40"/>
        <v>2.4524910118130627E-2</v>
      </c>
    </row>
    <row r="375" spans="1:32">
      <c r="A375" s="220">
        <v>45207</v>
      </c>
      <c r="B375" s="222">
        <v>44.6</v>
      </c>
      <c r="C375" s="227">
        <f t="shared" si="35"/>
        <v>2.0361473347060288E-2</v>
      </c>
      <c r="D375" s="5">
        <f>C375-C1275</f>
        <v>2.02834277775014E-2</v>
      </c>
      <c r="F375" s="8"/>
      <c r="H375" s="1">
        <v>45238</v>
      </c>
      <c r="I375">
        <v>11.38</v>
      </c>
      <c r="J375" s="227">
        <f t="shared" si="36"/>
        <v>-2.2336769759450203E-2</v>
      </c>
      <c r="K375" s="5">
        <f>J375-J1276</f>
        <v>-2.4472725675060161E-2</v>
      </c>
      <c r="M375" s="240" t="s">
        <v>517</v>
      </c>
      <c r="N375">
        <v>4437.8599999999997</v>
      </c>
      <c r="O375" s="227">
        <f t="shared" si="37"/>
        <v>7.612962698072101E-3</v>
      </c>
      <c r="P375" s="5">
        <f>O375-O1278</f>
        <v>7.9787198989852721E-3</v>
      </c>
      <c r="Q375" s="8">
        <f t="shared" si="41"/>
        <v>6.3659971226463546E-5</v>
      </c>
      <c r="S375" t="s">
        <v>517</v>
      </c>
      <c r="T375">
        <v>3.4</v>
      </c>
      <c r="U375" s="29">
        <f t="shared" si="38"/>
        <v>3.0303030303030276E-2</v>
      </c>
      <c r="V375" s="5">
        <f>U375-V1274</f>
        <v>2.8566839527323237E-2</v>
      </c>
      <c r="X375" t="s">
        <v>507</v>
      </c>
      <c r="Y375">
        <v>3.4</v>
      </c>
      <c r="Z375" s="48">
        <f t="shared" si="39"/>
        <v>-5.8479532163743242E-3</v>
      </c>
      <c r="AA375" s="5">
        <f>Z375-Y1274</f>
        <v>-1.0065272685648458E-2</v>
      </c>
      <c r="AD375" t="s">
        <v>517</v>
      </c>
      <c r="AE375">
        <v>78.83</v>
      </c>
      <c r="AF375" s="29">
        <f t="shared" si="40"/>
        <v>-1.203158290512607E-2</v>
      </c>
    </row>
    <row r="376" spans="1:32">
      <c r="A376" s="220">
        <v>45177</v>
      </c>
      <c r="B376" s="222">
        <v>44.11</v>
      </c>
      <c r="C376" s="227">
        <f t="shared" si="35"/>
        <v>-1.0986547085201859E-2</v>
      </c>
      <c r="D376" s="5">
        <f>C376-C1275</f>
        <v>-1.1064592654760747E-2</v>
      </c>
      <c r="F376" s="8"/>
      <c r="H376" s="1">
        <v>45207</v>
      </c>
      <c r="I376">
        <v>11.04</v>
      </c>
      <c r="J376" s="227">
        <f t="shared" si="36"/>
        <v>-2.9876977152899942E-2</v>
      </c>
      <c r="K376" s="5">
        <f>J376-J1276</f>
        <v>-3.20129330685099E-2</v>
      </c>
      <c r="M376" s="240" t="s">
        <v>518</v>
      </c>
      <c r="N376">
        <v>4489.72</v>
      </c>
      <c r="O376" s="227">
        <f t="shared" si="37"/>
        <v>1.1685812531265105E-2</v>
      </c>
      <c r="P376" s="5">
        <f>O376-O1278</f>
        <v>1.2051569732178276E-2</v>
      </c>
      <c r="Q376" s="8">
        <f t="shared" si="41"/>
        <v>1.4524033300955557E-4</v>
      </c>
      <c r="S376" t="s">
        <v>518</v>
      </c>
      <c r="T376">
        <v>3.49</v>
      </c>
      <c r="U376" s="29">
        <f t="shared" si="38"/>
        <v>2.6470588235294246E-2</v>
      </c>
      <c r="V376" s="5">
        <f>U376-V1274</f>
        <v>2.4734397459587207E-2</v>
      </c>
      <c r="X376" t="s">
        <v>508</v>
      </c>
      <c r="Y376">
        <v>3.27</v>
      </c>
      <c r="Z376" s="48">
        <f t="shared" si="39"/>
        <v>-3.8235294117647034E-2</v>
      </c>
      <c r="AA376" s="5">
        <f>Z376-Y1274</f>
        <v>-4.2452613586921165E-2</v>
      </c>
      <c r="AD376" t="s">
        <v>518</v>
      </c>
      <c r="AE376">
        <v>79.89</v>
      </c>
      <c r="AF376" s="29">
        <f t="shared" si="40"/>
        <v>1.3446657363947789E-2</v>
      </c>
    </row>
    <row r="377" spans="1:32">
      <c r="A377" s="220">
        <v>45146</v>
      </c>
      <c r="B377" s="222">
        <v>45.16</v>
      </c>
      <c r="C377" s="227">
        <f t="shared" si="35"/>
        <v>2.3804126048515117E-2</v>
      </c>
      <c r="D377" s="5">
        <f>C377-C1275</f>
        <v>2.3726080478956229E-2</v>
      </c>
      <c r="F377" s="8"/>
      <c r="H377" s="1">
        <v>45177</v>
      </c>
      <c r="I377">
        <v>10.4</v>
      </c>
      <c r="J377" s="227">
        <f t="shared" si="36"/>
        <v>-5.7971014492753548E-2</v>
      </c>
      <c r="K377" s="5">
        <f>J377-J1276</f>
        <v>-6.0106970408363505E-2</v>
      </c>
      <c r="M377" s="241">
        <v>45238</v>
      </c>
      <c r="N377">
        <v>4464.05</v>
      </c>
      <c r="O377" s="227">
        <f t="shared" si="37"/>
        <v>-5.717505768733977E-3</v>
      </c>
      <c r="P377" s="5">
        <f>O377-O1278</f>
        <v>-5.3517485678208051E-3</v>
      </c>
      <c r="Q377" s="8">
        <f t="shared" si="41"/>
        <v>2.8641212733172036E-5</v>
      </c>
      <c r="S377" s="1">
        <v>45238</v>
      </c>
      <c r="T377">
        <v>3.5</v>
      </c>
      <c r="U377" s="29">
        <f t="shared" si="38"/>
        <v>2.8653295128939771E-3</v>
      </c>
      <c r="V377" s="5">
        <f>U377-V1274</f>
        <v>1.1291387371869391E-3</v>
      </c>
      <c r="X377" t="s">
        <v>509</v>
      </c>
      <c r="Y377">
        <v>3.17</v>
      </c>
      <c r="Z377" s="48">
        <f t="shared" si="39"/>
        <v>-3.0581039755351758E-2</v>
      </c>
      <c r="AA377" s="5">
        <f>Z377-Y1274</f>
        <v>-3.4798359224625888E-2</v>
      </c>
      <c r="AD377" s="1">
        <v>45238</v>
      </c>
      <c r="AE377">
        <v>79.19</v>
      </c>
      <c r="AF377" s="29">
        <f t="shared" si="40"/>
        <v>-8.7620478157466319E-3</v>
      </c>
    </row>
    <row r="378" spans="1:32">
      <c r="A378" s="220">
        <v>45115</v>
      </c>
      <c r="B378" s="222">
        <v>44.95</v>
      </c>
      <c r="C378" s="227">
        <f t="shared" si="35"/>
        <v>-4.6501328609387382E-3</v>
      </c>
      <c r="D378" s="5">
        <f>C378-C1275</f>
        <v>-4.7281784304976275E-3</v>
      </c>
      <c r="F378" s="8"/>
      <c r="H378" s="1">
        <v>45146</v>
      </c>
      <c r="I378">
        <v>11.56</v>
      </c>
      <c r="J378" s="227">
        <f t="shared" si="36"/>
        <v>0.11153846153846159</v>
      </c>
      <c r="K378" s="5">
        <f>J378-J1276</f>
        <v>0.10940250562285163</v>
      </c>
      <c r="M378" s="241">
        <v>45207</v>
      </c>
      <c r="N378">
        <v>4468.83</v>
      </c>
      <c r="O378" s="227">
        <f t="shared" si="37"/>
        <v>1.0707765370010502E-3</v>
      </c>
      <c r="P378" s="5">
        <f>O378-O1278</f>
        <v>1.4365337379142217E-3</v>
      </c>
      <c r="Q378" s="8">
        <f t="shared" si="41"/>
        <v>2.0636291801658059E-6</v>
      </c>
      <c r="S378" s="1">
        <v>45207</v>
      </c>
      <c r="T378">
        <v>3.57</v>
      </c>
      <c r="U378" s="29">
        <f t="shared" si="38"/>
        <v>2.0000000000000018E-2</v>
      </c>
      <c r="V378" s="5">
        <f>U378-V1274</f>
        <v>1.8263809224292979E-2</v>
      </c>
      <c r="X378" t="s">
        <v>510</v>
      </c>
      <c r="Y378">
        <v>3.24</v>
      </c>
      <c r="Z378" s="48">
        <f t="shared" si="39"/>
        <v>2.208201892744488E-2</v>
      </c>
      <c r="AA378" s="5">
        <f>Z378-Y1274</f>
        <v>1.7864699458170746E-2</v>
      </c>
      <c r="AD378" s="1">
        <v>45207</v>
      </c>
      <c r="AE378">
        <v>82.39</v>
      </c>
      <c r="AF378" s="29">
        <f t="shared" si="40"/>
        <v>4.0409142568506251E-2</v>
      </c>
    </row>
    <row r="379" spans="1:32">
      <c r="A379" s="220">
        <v>45024</v>
      </c>
      <c r="B379" s="222">
        <v>45.2</v>
      </c>
      <c r="C379" s="227">
        <f t="shared" si="35"/>
        <v>5.5617352614014681E-3</v>
      </c>
      <c r="D379" s="5">
        <f>C379-C1275</f>
        <v>5.4836896918425788E-3</v>
      </c>
      <c r="F379" s="8"/>
      <c r="H379" s="1">
        <v>45115</v>
      </c>
      <c r="I379">
        <v>10.97</v>
      </c>
      <c r="J379" s="227">
        <f t="shared" si="36"/>
        <v>-5.1038062283736974E-2</v>
      </c>
      <c r="K379" s="5">
        <f>J379-J1276</f>
        <v>-5.3174018199346931E-2</v>
      </c>
      <c r="M379" s="241">
        <v>45177</v>
      </c>
      <c r="N379">
        <v>4467.71</v>
      </c>
      <c r="O379" s="227">
        <f t="shared" si="37"/>
        <v>-2.5062488391813798E-4</v>
      </c>
      <c r="P379" s="5">
        <f>O379-O1278</f>
        <v>1.1513231699503357E-4</v>
      </c>
      <c r="Q379" s="8">
        <f t="shared" si="41"/>
        <v>1.3255450416644895E-8</v>
      </c>
      <c r="S379" s="1">
        <v>45177</v>
      </c>
      <c r="T379">
        <v>3.57</v>
      </c>
      <c r="U379" s="29">
        <f t="shared" si="38"/>
        <v>0</v>
      </c>
      <c r="V379" s="5">
        <f>U379-V1274</f>
        <v>-1.736190775707038E-3</v>
      </c>
      <c r="X379" t="s">
        <v>511</v>
      </c>
      <c r="Y379">
        <v>3.28</v>
      </c>
      <c r="Z379" s="48">
        <f t="shared" si="39"/>
        <v>1.2345679012345512E-2</v>
      </c>
      <c r="AA379" s="5">
        <f>Z379-Y1274</f>
        <v>8.1283595430713777E-3</v>
      </c>
      <c r="AD379" s="1">
        <v>45177</v>
      </c>
      <c r="AE379">
        <v>82.38</v>
      </c>
      <c r="AF379" s="29">
        <f t="shared" si="40"/>
        <v>-1.21373953149706E-4</v>
      </c>
    </row>
    <row r="380" spans="1:32">
      <c r="A380" s="220">
        <v>44993</v>
      </c>
      <c r="B380" s="222">
        <v>45.91</v>
      </c>
      <c r="C380" s="227">
        <f t="shared" si="35"/>
        <v>1.5707964601769708E-2</v>
      </c>
      <c r="D380" s="5">
        <f>C380-C1275</f>
        <v>1.562991903221082E-2</v>
      </c>
      <c r="F380" s="8"/>
      <c r="H380" s="1">
        <v>45024</v>
      </c>
      <c r="I380">
        <v>10.85</v>
      </c>
      <c r="J380" s="227">
        <f t="shared" si="36"/>
        <v>-1.0938924339106704E-2</v>
      </c>
      <c r="K380" s="5">
        <f>J380-J1276</f>
        <v>-1.3074880254716661E-2</v>
      </c>
      <c r="M380" s="241">
        <v>45146</v>
      </c>
      <c r="N380">
        <v>4499.38</v>
      </c>
      <c r="O380" s="227">
        <f t="shared" si="37"/>
        <v>7.0886427274823305E-3</v>
      </c>
      <c r="P380" s="5">
        <f>O380-O1278</f>
        <v>7.4543999283955024E-3</v>
      </c>
      <c r="Q380" s="8">
        <f t="shared" si="41"/>
        <v>5.5568078292462873E-5</v>
      </c>
      <c r="S380" s="1">
        <v>45146</v>
      </c>
      <c r="T380">
        <v>3.64</v>
      </c>
      <c r="U380" s="29">
        <f t="shared" si="38"/>
        <v>1.9607843137255054E-2</v>
      </c>
      <c r="V380" s="5">
        <f>U380-V1274</f>
        <v>1.7871652361548016E-2</v>
      </c>
      <c r="X380" t="s">
        <v>512</v>
      </c>
      <c r="Y380">
        <v>3.3</v>
      </c>
      <c r="Z380" s="48">
        <f t="shared" si="39"/>
        <v>6.0975609756097615E-3</v>
      </c>
      <c r="AA380" s="5">
        <f>Z380-Y1274</f>
        <v>1.8802415063356274E-3</v>
      </c>
      <c r="AD380" s="1">
        <v>45146</v>
      </c>
      <c r="AE380">
        <v>84.63</v>
      </c>
      <c r="AF380" s="29">
        <f t="shared" si="40"/>
        <v>2.7312454479242465E-2</v>
      </c>
    </row>
    <row r="381" spans="1:32">
      <c r="A381" s="220">
        <v>44965</v>
      </c>
      <c r="B381" s="222">
        <v>46.96</v>
      </c>
      <c r="C381" s="227">
        <f t="shared" si="35"/>
        <v>2.2870834240906301E-2</v>
      </c>
      <c r="D381" s="5">
        <f>C381-C1275</f>
        <v>2.2792788671347413E-2</v>
      </c>
      <c r="F381" s="8"/>
      <c r="H381" s="1">
        <v>44993</v>
      </c>
      <c r="I381">
        <v>11.51</v>
      </c>
      <c r="J381" s="227">
        <f t="shared" si="36"/>
        <v>6.0829493087557696E-2</v>
      </c>
      <c r="K381" s="5">
        <f>J381-J1276</f>
        <v>5.8693537171947738E-2</v>
      </c>
      <c r="M381" s="241">
        <v>45115</v>
      </c>
      <c r="N381">
        <v>4518.4399999999996</v>
      </c>
      <c r="O381" s="227">
        <f t="shared" si="37"/>
        <v>4.2361392014009791E-3</v>
      </c>
      <c r="P381" s="5">
        <f>O381-O1278</f>
        <v>4.601896402314151E-3</v>
      </c>
      <c r="Q381" s="8">
        <f t="shared" si="41"/>
        <v>2.1177450497631926E-5</v>
      </c>
      <c r="S381" s="1">
        <v>45115</v>
      </c>
      <c r="T381">
        <v>3.59</v>
      </c>
      <c r="U381" s="29">
        <f t="shared" si="38"/>
        <v>-1.3736263736263798E-2</v>
      </c>
      <c r="V381" s="5">
        <f>U381-V1274</f>
        <v>-1.5472454511970837E-2</v>
      </c>
      <c r="X381" t="s">
        <v>513</v>
      </c>
      <c r="Y381">
        <v>3.32</v>
      </c>
      <c r="Z381" s="48">
        <f t="shared" si="39"/>
        <v>6.0606060606060996E-3</v>
      </c>
      <c r="AA381" s="5">
        <f>Z381-Y1274</f>
        <v>1.8432865913319656E-3</v>
      </c>
      <c r="AD381" s="1">
        <v>45115</v>
      </c>
      <c r="AE381">
        <v>84.36</v>
      </c>
      <c r="AF381" s="29">
        <f t="shared" si="40"/>
        <v>-3.1903580290676414E-3</v>
      </c>
    </row>
    <row r="382" spans="1:32">
      <c r="A382" s="220">
        <v>44934</v>
      </c>
      <c r="B382" s="222">
        <v>46.65</v>
      </c>
      <c r="C382" s="227">
        <f t="shared" si="35"/>
        <v>-6.601362862010296E-3</v>
      </c>
      <c r="D382" s="5">
        <f>C382-C1275</f>
        <v>-6.6794084315691853E-3</v>
      </c>
      <c r="F382" s="8"/>
      <c r="H382" s="1">
        <v>44965</v>
      </c>
      <c r="I382">
        <v>11.71</v>
      </c>
      <c r="J382" s="227">
        <f t="shared" si="36"/>
        <v>1.7376194613379692E-2</v>
      </c>
      <c r="K382" s="5">
        <f>J382-J1276</f>
        <v>1.5240238697769734E-2</v>
      </c>
      <c r="M382" s="241">
        <v>45024</v>
      </c>
      <c r="N382">
        <v>4478.03</v>
      </c>
      <c r="O382" s="227">
        <f t="shared" si="37"/>
        <v>-8.9433521303812213E-3</v>
      </c>
      <c r="P382" s="5">
        <f>O382-O1278</f>
        <v>-8.5775949294680503E-3</v>
      </c>
      <c r="Q382" s="8">
        <f t="shared" si="41"/>
        <v>7.3575134774036006E-5</v>
      </c>
      <c r="S382" s="1">
        <v>45024</v>
      </c>
      <c r="T382">
        <v>3.58</v>
      </c>
      <c r="U382" s="29">
        <f t="shared" si="38"/>
        <v>-2.7855153203342198E-3</v>
      </c>
      <c r="V382" s="5">
        <f>U382-V1274</f>
        <v>-4.5217060960412577E-3</v>
      </c>
      <c r="X382" t="s">
        <v>514</v>
      </c>
      <c r="Y382">
        <v>3.1</v>
      </c>
      <c r="Z382" s="48">
        <f t="shared" si="39"/>
        <v>-6.6265060240963791E-2</v>
      </c>
      <c r="AA382" s="5">
        <f>Z382-Y1274</f>
        <v>-7.0482379710237922E-2</v>
      </c>
      <c r="AD382" s="1">
        <v>45024</v>
      </c>
      <c r="AE382">
        <v>83.6</v>
      </c>
      <c r="AF382" s="29">
        <f t="shared" si="40"/>
        <v>-9.009009009009028E-3</v>
      </c>
    </row>
    <row r="383" spans="1:32">
      <c r="A383" s="3" t="s">
        <v>519</v>
      </c>
      <c r="B383" s="222">
        <v>49.46</v>
      </c>
      <c r="C383" s="227">
        <f t="shared" si="35"/>
        <v>6.0235798499464144E-2</v>
      </c>
      <c r="D383" s="5">
        <f>C383-C1275</f>
        <v>6.0157752929905252E-2</v>
      </c>
      <c r="F383" s="8"/>
      <c r="H383" s="1">
        <v>44934</v>
      </c>
      <c r="I383">
        <v>12.23</v>
      </c>
      <c r="J383" s="227">
        <f t="shared" si="36"/>
        <v>4.4406490179333957E-2</v>
      </c>
      <c r="K383" s="5">
        <f>J383-J1276</f>
        <v>4.2270534263723999E-2</v>
      </c>
      <c r="M383" s="241">
        <v>44993</v>
      </c>
      <c r="N383">
        <v>4501.8900000000003</v>
      </c>
      <c r="O383" s="227">
        <f t="shared" si="37"/>
        <v>5.3282358537125596E-3</v>
      </c>
      <c r="P383" s="5">
        <f>O383-O1278</f>
        <v>5.6939930546257315E-3</v>
      </c>
      <c r="Q383" s="8">
        <f t="shared" si="41"/>
        <v>3.2421556906126066E-5</v>
      </c>
      <c r="S383" s="1">
        <v>44993</v>
      </c>
      <c r="T383">
        <v>3.67</v>
      </c>
      <c r="U383" s="29">
        <f t="shared" si="38"/>
        <v>2.5139664804469275E-2</v>
      </c>
      <c r="V383" s="5">
        <f>U383-V1274</f>
        <v>2.3403474028762236E-2</v>
      </c>
      <c r="X383" t="s">
        <v>515</v>
      </c>
      <c r="Y383">
        <v>3.1</v>
      </c>
      <c r="Z383" s="48">
        <f t="shared" si="39"/>
        <v>0</v>
      </c>
      <c r="AA383" s="5">
        <f>Z383-Y1274</f>
        <v>-4.2173194692741341E-3</v>
      </c>
      <c r="AD383" s="1">
        <v>44993</v>
      </c>
      <c r="AE383">
        <v>85.46</v>
      </c>
      <c r="AF383" s="29">
        <f t="shared" si="40"/>
        <v>2.2248803827751296E-2</v>
      </c>
    </row>
    <row r="384" spans="1:32">
      <c r="A384" s="3" t="s">
        <v>520</v>
      </c>
      <c r="B384" s="222">
        <v>48.14</v>
      </c>
      <c r="C384" s="227">
        <f t="shared" si="35"/>
        <v>-2.6688232915487275E-2</v>
      </c>
      <c r="D384" s="5">
        <f>C384-C1275</f>
        <v>-2.6766278485046164E-2</v>
      </c>
      <c r="F384" s="8"/>
      <c r="H384" t="s">
        <v>519</v>
      </c>
      <c r="I384">
        <v>12.71</v>
      </c>
      <c r="J384" s="227">
        <f t="shared" si="36"/>
        <v>3.9247751430907529E-2</v>
      </c>
      <c r="K384" s="5">
        <f>J384-J1276</f>
        <v>3.7111795515297571E-2</v>
      </c>
      <c r="M384" s="241">
        <v>44965</v>
      </c>
      <c r="N384">
        <v>4513.3900000000003</v>
      </c>
      <c r="O384" s="227">
        <f t="shared" si="37"/>
        <v>2.5544826728329806E-3</v>
      </c>
      <c r="P384" s="5">
        <f>O384-O1278</f>
        <v>2.9202398737461521E-3</v>
      </c>
      <c r="Q384" s="8">
        <f t="shared" si="41"/>
        <v>8.5278009202169428E-6</v>
      </c>
      <c r="S384" s="1">
        <v>44965</v>
      </c>
      <c r="T384">
        <v>3.66</v>
      </c>
      <c r="U384" s="29">
        <f t="shared" si="38"/>
        <v>-2.7247956403269047E-3</v>
      </c>
      <c r="V384" s="5">
        <f>U384-V1274</f>
        <v>-4.4609864160339427E-3</v>
      </c>
      <c r="X384" t="s">
        <v>516</v>
      </c>
      <c r="Y384">
        <v>3.01</v>
      </c>
      <c r="Z384" s="48">
        <f t="shared" si="39"/>
        <v>-2.9032258064516259E-2</v>
      </c>
      <c r="AA384" s="5">
        <f>Z384-Y1274</f>
        <v>-3.3249577533790389E-2</v>
      </c>
      <c r="AD384" s="1">
        <v>44965</v>
      </c>
      <c r="AE384">
        <v>85.98</v>
      </c>
      <c r="AF384" s="29">
        <f t="shared" si="40"/>
        <v>6.0847179967238318E-3</v>
      </c>
    </row>
    <row r="385" spans="1:32">
      <c r="A385" s="3" t="s">
        <v>521</v>
      </c>
      <c r="B385" s="222">
        <v>46.61</v>
      </c>
      <c r="C385" s="227">
        <f t="shared" si="35"/>
        <v>-3.1782301620274178E-2</v>
      </c>
      <c r="D385" s="5">
        <f>C385-C1275</f>
        <v>-3.186034718983307E-2</v>
      </c>
      <c r="E385" s="1"/>
      <c r="F385" s="8"/>
      <c r="H385" t="s">
        <v>520</v>
      </c>
      <c r="I385">
        <v>12.48</v>
      </c>
      <c r="J385" s="227">
        <f t="shared" si="36"/>
        <v>-1.8095987411487102E-2</v>
      </c>
      <c r="K385" s="5">
        <f>J385-J1276</f>
        <v>-2.023194332709706E-2</v>
      </c>
      <c r="M385" s="241">
        <v>44934</v>
      </c>
      <c r="N385">
        <v>4576.7299999999996</v>
      </c>
      <c r="O385" s="227">
        <f t="shared" si="37"/>
        <v>1.4033797212294807E-2</v>
      </c>
      <c r="P385" s="5">
        <f>O385-O1278</f>
        <v>1.4399554413207978E-2</v>
      </c>
      <c r="Q385" s="8">
        <f t="shared" si="41"/>
        <v>2.0734716729893738E-4</v>
      </c>
      <c r="S385" s="1">
        <v>44934</v>
      </c>
      <c r="T385">
        <v>3.8</v>
      </c>
      <c r="U385" s="29">
        <f t="shared" si="38"/>
        <v>3.82513661202184E-2</v>
      </c>
      <c r="V385" s="5">
        <f>U385-V1274</f>
        <v>3.6515175344511361E-2</v>
      </c>
      <c r="X385" t="s">
        <v>517</v>
      </c>
      <c r="Y385">
        <v>3.06</v>
      </c>
      <c r="Z385" s="48">
        <f t="shared" si="39"/>
        <v>1.6611295681063121E-2</v>
      </c>
      <c r="AA385" s="5">
        <f>Z385-Y1274</f>
        <v>1.2393976211788987E-2</v>
      </c>
      <c r="AD385" s="1">
        <v>44934</v>
      </c>
      <c r="AE385">
        <v>86.59</v>
      </c>
      <c r="AF385" s="29">
        <f t="shared" si="40"/>
        <v>7.0946731798091633E-3</v>
      </c>
    </row>
    <row r="386" spans="1:32">
      <c r="A386" s="3" t="s">
        <v>522</v>
      </c>
      <c r="B386" s="222">
        <v>47.31</v>
      </c>
      <c r="C386" s="227">
        <f t="shared" si="35"/>
        <v>1.5018236429950704E-2</v>
      </c>
      <c r="D386" s="5">
        <f>C386-C1275</f>
        <v>1.4940190860391816E-2</v>
      </c>
      <c r="E386" s="1"/>
      <c r="F386" s="8"/>
      <c r="H386" t="s">
        <v>521</v>
      </c>
      <c r="I386">
        <v>11.95</v>
      </c>
      <c r="J386" s="227">
        <f t="shared" si="36"/>
        <v>-4.2467948717948789E-2</v>
      </c>
      <c r="K386" s="5">
        <f>J386-J1276</f>
        <v>-4.4603904633558747E-2</v>
      </c>
      <c r="M386" s="240" t="s">
        <v>519</v>
      </c>
      <c r="N386">
        <v>4588.96</v>
      </c>
      <c r="O386" s="227">
        <f t="shared" si="37"/>
        <v>2.6722135673287184E-3</v>
      </c>
      <c r="P386" s="5">
        <f>O386-O1278</f>
        <v>3.0379707682418899E-3</v>
      </c>
      <c r="Q386" s="8">
        <f t="shared" si="41"/>
        <v>9.2292663886922185E-6</v>
      </c>
      <c r="S386" t="s">
        <v>519</v>
      </c>
      <c r="T386">
        <v>3.83</v>
      </c>
      <c r="U386" s="29">
        <f t="shared" si="38"/>
        <v>7.8947368421053987E-3</v>
      </c>
      <c r="V386" s="5">
        <f>U386-V1274</f>
        <v>6.1585460663983608E-3</v>
      </c>
      <c r="X386" t="s">
        <v>518</v>
      </c>
      <c r="Y386">
        <v>3.16</v>
      </c>
      <c r="Z386" s="48">
        <f t="shared" si="39"/>
        <v>3.2679738562091609E-2</v>
      </c>
      <c r="AA386" s="5">
        <f>Z386-Y1274</f>
        <v>2.8462419092817475E-2</v>
      </c>
      <c r="AD386" t="s">
        <v>519</v>
      </c>
      <c r="AE386">
        <v>90.79</v>
      </c>
      <c r="AF386" s="29">
        <f t="shared" si="40"/>
        <v>4.8504446240905441E-2</v>
      </c>
    </row>
    <row r="387" spans="1:32">
      <c r="A387" s="3" t="s">
        <v>523</v>
      </c>
      <c r="B387" s="222">
        <v>47.17</v>
      </c>
      <c r="C387" s="227">
        <f t="shared" si="35"/>
        <v>-2.9592052420207571E-3</v>
      </c>
      <c r="D387" s="5">
        <f>C387-C1275</f>
        <v>-3.0372508115796464E-3</v>
      </c>
      <c r="E387" s="1"/>
      <c r="F387" s="8"/>
      <c r="H387" t="s">
        <v>522</v>
      </c>
      <c r="I387">
        <v>12.2</v>
      </c>
      <c r="J387" s="227">
        <f t="shared" si="36"/>
        <v>2.0920502092050208E-2</v>
      </c>
      <c r="K387" s="5">
        <f>J387-J1276</f>
        <v>1.878454617644025E-2</v>
      </c>
      <c r="M387" s="240" t="s">
        <v>520</v>
      </c>
      <c r="N387">
        <v>4582.2299999999996</v>
      </c>
      <c r="O387" s="227">
        <f t="shared" si="37"/>
        <v>-1.4665632300130405E-3</v>
      </c>
      <c r="P387" s="5">
        <f>O387-O1278</f>
        <v>-1.100806029099869E-3</v>
      </c>
      <c r="Q387" s="8">
        <f t="shared" si="41"/>
        <v>1.2117739137026216E-6</v>
      </c>
      <c r="S387" t="s">
        <v>520</v>
      </c>
      <c r="T387">
        <v>3.76</v>
      </c>
      <c r="U387" s="29">
        <f t="shared" si="38"/>
        <v>-1.8276762402088864E-2</v>
      </c>
      <c r="V387" s="5">
        <f>U387-V1274</f>
        <v>-2.0012953177795903E-2</v>
      </c>
      <c r="X387" s="1">
        <v>45238</v>
      </c>
      <c r="Y387">
        <v>3.2</v>
      </c>
      <c r="Z387" s="48">
        <f t="shared" si="39"/>
        <v>1.2658227848101333E-2</v>
      </c>
      <c r="AA387" s="5">
        <f>Z387-Y1274</f>
        <v>8.4409083788271992E-3</v>
      </c>
      <c r="AD387" t="s">
        <v>520</v>
      </c>
      <c r="AE387">
        <v>89.65</v>
      </c>
      <c r="AF387" s="29">
        <f t="shared" si="40"/>
        <v>-1.2556448948122023E-2</v>
      </c>
    </row>
    <row r="388" spans="1:32">
      <c r="A388" s="3" t="s">
        <v>524</v>
      </c>
      <c r="B388" s="222">
        <v>47.32</v>
      </c>
      <c r="C388" s="227">
        <f t="shared" si="35"/>
        <v>3.1799872800508666E-3</v>
      </c>
      <c r="D388" s="5">
        <f>C388-C1275</f>
        <v>3.1019417104919773E-3</v>
      </c>
      <c r="E388" s="1"/>
      <c r="F388" s="8"/>
      <c r="H388" t="s">
        <v>523</v>
      </c>
      <c r="I388">
        <v>11.56</v>
      </c>
      <c r="J388" s="227">
        <f t="shared" si="36"/>
        <v>-5.2459016393442526E-2</v>
      </c>
      <c r="K388" s="5">
        <f>J388-J1276</f>
        <v>-5.4594972309052484E-2</v>
      </c>
      <c r="M388" s="240" t="s">
        <v>521</v>
      </c>
      <c r="N388">
        <v>4537.41</v>
      </c>
      <c r="O388" s="227">
        <f t="shared" si="37"/>
        <v>-9.7812637078452669E-3</v>
      </c>
      <c r="P388" s="5">
        <f>O388-O1278</f>
        <v>-9.4155065069320958E-3</v>
      </c>
      <c r="Q388" s="8">
        <f t="shared" si="41"/>
        <v>8.8651762782080638E-5</v>
      </c>
      <c r="S388" t="s">
        <v>521</v>
      </c>
      <c r="T388">
        <v>3.61</v>
      </c>
      <c r="U388" s="29">
        <f t="shared" si="38"/>
        <v>-3.9893617021276584E-2</v>
      </c>
      <c r="V388" s="5">
        <f>U388-V1274</f>
        <v>-4.1629807796983623E-2</v>
      </c>
      <c r="X388" s="1">
        <v>45207</v>
      </c>
      <c r="Y388">
        <v>3.23</v>
      </c>
      <c r="Z388" s="48">
        <f t="shared" si="39"/>
        <v>9.3749999999999112E-3</v>
      </c>
      <c r="AA388" s="5">
        <f>Z388-Y1274</f>
        <v>5.1576805307257771E-3</v>
      </c>
      <c r="AD388" t="s">
        <v>521</v>
      </c>
      <c r="AE388">
        <v>86.04</v>
      </c>
      <c r="AF388" s="29">
        <f t="shared" si="40"/>
        <v>-4.0267707752370319E-2</v>
      </c>
    </row>
    <row r="389" spans="1:32">
      <c r="A389" s="3" t="s">
        <v>525</v>
      </c>
      <c r="B389" s="222">
        <v>47.23</v>
      </c>
      <c r="C389" s="227">
        <f t="shared" si="35"/>
        <v>-1.9019442096366301E-3</v>
      </c>
      <c r="D389" s="5">
        <f>C389-C1275</f>
        <v>-1.9799897791955194E-3</v>
      </c>
      <c r="E389" s="1"/>
      <c r="F389" s="8"/>
      <c r="H389" t="s">
        <v>524</v>
      </c>
      <c r="I389">
        <v>11.67</v>
      </c>
      <c r="J389" s="227">
        <f t="shared" si="36"/>
        <v>9.5155709342560346E-3</v>
      </c>
      <c r="K389" s="5">
        <f>J389-J1276</f>
        <v>7.3796150186460768E-3</v>
      </c>
      <c r="M389" s="240" t="s">
        <v>522</v>
      </c>
      <c r="N389">
        <v>4566.75</v>
      </c>
      <c r="O389" s="227">
        <f t="shared" si="37"/>
        <v>6.4662439585578824E-3</v>
      </c>
      <c r="P389" s="5">
        <f>O389-O1278</f>
        <v>6.8320011594710543E-3</v>
      </c>
      <c r="Q389" s="8">
        <f t="shared" si="41"/>
        <v>4.6676239843013829E-5</v>
      </c>
      <c r="S389" t="s">
        <v>522</v>
      </c>
      <c r="T389">
        <v>3.65</v>
      </c>
      <c r="U389" s="29">
        <f t="shared" si="38"/>
        <v>1.1080332409972415E-2</v>
      </c>
      <c r="V389" s="5">
        <f>U389-V1274</f>
        <v>9.3441416342653766E-3</v>
      </c>
      <c r="X389" s="1">
        <v>45177</v>
      </c>
      <c r="Y389">
        <v>3.21</v>
      </c>
      <c r="Z389" s="48">
        <f t="shared" si="39"/>
        <v>-6.1919504643962453E-3</v>
      </c>
      <c r="AA389" s="5">
        <f>Z389-Y1274</f>
        <v>-1.0409269933670379E-2</v>
      </c>
      <c r="AD389" t="s">
        <v>522</v>
      </c>
      <c r="AE389">
        <v>86.11</v>
      </c>
      <c r="AF389" s="29">
        <f t="shared" si="40"/>
        <v>8.1357508135737611E-4</v>
      </c>
    </row>
    <row r="390" spans="1:32">
      <c r="A390" s="3" t="s">
        <v>526</v>
      </c>
      <c r="B390" s="222">
        <v>46.57</v>
      </c>
      <c r="C390" s="227">
        <f t="shared" si="35"/>
        <v>-1.3974168960406486E-2</v>
      </c>
      <c r="D390" s="5">
        <f>C390-C1275</f>
        <v>-1.4052214529965374E-2</v>
      </c>
      <c r="E390" s="1"/>
      <c r="F390" s="8"/>
      <c r="H390" t="s">
        <v>525</v>
      </c>
      <c r="I390">
        <v>11.42</v>
      </c>
      <c r="J390" s="227">
        <f t="shared" si="36"/>
        <v>-2.1422450728363351E-2</v>
      </c>
      <c r="K390" s="5">
        <f>J390-J1276</f>
        <v>-2.3558406643973309E-2</v>
      </c>
      <c r="M390" s="240" t="s">
        <v>523</v>
      </c>
      <c r="N390">
        <v>4567.46</v>
      </c>
      <c r="O390" s="227">
        <f t="shared" si="37"/>
        <v>1.5547161548146171E-4</v>
      </c>
      <c r="P390" s="5">
        <f>O390-O1278</f>
        <v>5.212288163946332E-4</v>
      </c>
      <c r="Q390" s="8">
        <f t="shared" si="41"/>
        <v>2.7167947904015023E-7</v>
      </c>
      <c r="S390" t="s">
        <v>523</v>
      </c>
      <c r="T390">
        <v>3.57</v>
      </c>
      <c r="U390" s="29">
        <f t="shared" si="38"/>
        <v>-2.1917808219178103E-2</v>
      </c>
      <c r="V390" s="5">
        <f>U390-V1274</f>
        <v>-2.3653998994885142E-2</v>
      </c>
      <c r="X390" s="1">
        <v>45146</v>
      </c>
      <c r="Y390">
        <v>3.27</v>
      </c>
      <c r="Z390" s="48">
        <f t="shared" si="39"/>
        <v>1.8691588785046731E-2</v>
      </c>
      <c r="AA390" s="5">
        <f>Z390-Y1274</f>
        <v>1.4474269315772597E-2</v>
      </c>
      <c r="AD390" t="s">
        <v>523</v>
      </c>
      <c r="AE390">
        <v>85.4</v>
      </c>
      <c r="AF390" s="29">
        <f t="shared" si="40"/>
        <v>-8.2452676808731917E-3</v>
      </c>
    </row>
    <row r="391" spans="1:32">
      <c r="A391" s="3" t="s">
        <v>527</v>
      </c>
      <c r="B391" s="222">
        <v>47.12</v>
      </c>
      <c r="C391" s="227">
        <f t="shared" si="35"/>
        <v>1.1810178226325796E-2</v>
      </c>
      <c r="D391" s="5">
        <f>C391-C1275</f>
        <v>1.1732132656766908E-2</v>
      </c>
      <c r="E391" s="1"/>
      <c r="F391" s="8"/>
      <c r="H391" t="s">
        <v>526</v>
      </c>
      <c r="I391">
        <v>11.42</v>
      </c>
      <c r="J391" s="227">
        <f t="shared" si="36"/>
        <v>0</v>
      </c>
      <c r="K391" s="5">
        <f>J391-J1276</f>
        <v>-2.1359559156099578E-3</v>
      </c>
      <c r="M391" s="240" t="s">
        <v>524</v>
      </c>
      <c r="N391">
        <v>4554.6400000000003</v>
      </c>
      <c r="O391" s="227">
        <f t="shared" si="37"/>
        <v>-2.8068116633751528E-3</v>
      </c>
      <c r="P391" s="5">
        <f>O391-O1278</f>
        <v>-2.4410544624619813E-3</v>
      </c>
      <c r="Q391" s="8">
        <f t="shared" si="41"/>
        <v>5.9587468887055522E-6</v>
      </c>
      <c r="S391" t="s">
        <v>524</v>
      </c>
      <c r="T391">
        <v>3.6</v>
      </c>
      <c r="U391" s="29">
        <f t="shared" si="38"/>
        <v>8.4033613445377853E-3</v>
      </c>
      <c r="V391" s="5">
        <f>U391-V1274</f>
        <v>6.6671705688307473E-3</v>
      </c>
      <c r="X391" s="1">
        <v>45115</v>
      </c>
      <c r="Y391">
        <v>3.39</v>
      </c>
      <c r="Z391" s="48">
        <f t="shared" si="39"/>
        <v>3.669724770642202E-2</v>
      </c>
      <c r="AA391" s="5">
        <f>Z391-Y1274</f>
        <v>3.247992823714789E-2</v>
      </c>
      <c r="AD391" t="s">
        <v>524</v>
      </c>
      <c r="AE391">
        <v>84.31</v>
      </c>
      <c r="AF391" s="29">
        <f t="shared" si="40"/>
        <v>-1.2763466042154614E-2</v>
      </c>
    </row>
    <row r="392" spans="1:32">
      <c r="A392" s="3" t="s">
        <v>528</v>
      </c>
      <c r="B392" s="222">
        <v>47.41</v>
      </c>
      <c r="C392" s="227">
        <f t="shared" si="35"/>
        <v>6.1544991511035541E-3</v>
      </c>
      <c r="D392" s="5">
        <f>C392-C1275</f>
        <v>6.0764535815446647E-3</v>
      </c>
      <c r="F392" s="8"/>
      <c r="H392" t="s">
        <v>527</v>
      </c>
      <c r="I392">
        <v>12.18</v>
      </c>
      <c r="J392" s="227">
        <f t="shared" si="36"/>
        <v>6.654991243432562E-2</v>
      </c>
      <c r="K392" s="5">
        <f>J392-J1276</f>
        <v>6.4413956518715662E-2</v>
      </c>
      <c r="M392" s="240" t="s">
        <v>525</v>
      </c>
      <c r="N392">
        <v>4536.34</v>
      </c>
      <c r="O392" s="227">
        <f t="shared" si="37"/>
        <v>-4.0178806667486855E-3</v>
      </c>
      <c r="P392" s="5">
        <f>O392-O1278</f>
        <v>-3.652123465835514E-3</v>
      </c>
      <c r="Q392" s="8">
        <f t="shared" si="41"/>
        <v>1.3338005809706406E-5</v>
      </c>
      <c r="S392" t="s">
        <v>525</v>
      </c>
      <c r="T392">
        <v>3.6</v>
      </c>
      <c r="U392" s="29">
        <f t="shared" si="38"/>
        <v>0</v>
      </c>
      <c r="V392" s="5">
        <f>U392-V1274</f>
        <v>-1.736190775707038E-3</v>
      </c>
      <c r="X392" s="1">
        <v>45024</v>
      </c>
      <c r="Y392">
        <v>3.48</v>
      </c>
      <c r="Z392" s="48">
        <f t="shared" si="39"/>
        <v>2.6548672566371723E-2</v>
      </c>
      <c r="AA392" s="5">
        <f>Z392-Y1274</f>
        <v>2.2331353097097589E-2</v>
      </c>
      <c r="AD392" t="s">
        <v>525</v>
      </c>
      <c r="AE392">
        <v>84.5</v>
      </c>
      <c r="AF392" s="29">
        <f t="shared" si="40"/>
        <v>2.2535879492349142E-3</v>
      </c>
    </row>
    <row r="393" spans="1:32">
      <c r="A393" s="3" t="s">
        <v>529</v>
      </c>
      <c r="B393" s="222">
        <v>45.51</v>
      </c>
      <c r="C393" s="227">
        <f t="shared" si="35"/>
        <v>-4.007593334739501E-2</v>
      </c>
      <c r="D393" s="5">
        <f>C393-C1275</f>
        <v>-4.0153978916953902E-2</v>
      </c>
      <c r="F393" s="8"/>
      <c r="H393" t="s">
        <v>528</v>
      </c>
      <c r="I393">
        <v>11.77</v>
      </c>
      <c r="J393" s="227">
        <f t="shared" si="36"/>
        <v>-3.3661740558292297E-2</v>
      </c>
      <c r="K393" s="5">
        <f>J393-J1276</f>
        <v>-3.5797696473902255E-2</v>
      </c>
      <c r="M393" s="240" t="s">
        <v>526</v>
      </c>
      <c r="N393">
        <v>4534.87</v>
      </c>
      <c r="O393" s="227">
        <f t="shared" si="37"/>
        <v>-3.2404978462818868E-4</v>
      </c>
      <c r="P393" s="5">
        <f>O393-O1278</f>
        <v>4.170741628498287E-5</v>
      </c>
      <c r="Q393" s="8">
        <f t="shared" si="41"/>
        <v>1.7395085731688542E-9</v>
      </c>
      <c r="S393" t="s">
        <v>526</v>
      </c>
      <c r="T393">
        <v>3.64</v>
      </c>
      <c r="U393" s="29">
        <f t="shared" si="38"/>
        <v>1.1111111111111072E-2</v>
      </c>
      <c r="V393" s="5">
        <f>U393-V1274</f>
        <v>9.3749203354040328E-3</v>
      </c>
      <c r="X393" s="1">
        <v>44993</v>
      </c>
      <c r="Y393">
        <v>3.57</v>
      </c>
      <c r="Z393" s="48">
        <f t="shared" si="39"/>
        <v>2.5862068965517127E-2</v>
      </c>
      <c r="AA393" s="5">
        <f>Z393-Y1274</f>
        <v>2.1644749496242992E-2</v>
      </c>
      <c r="AD393" t="s">
        <v>526</v>
      </c>
      <c r="AE393">
        <v>83.64</v>
      </c>
      <c r="AF393" s="29">
        <f t="shared" si="40"/>
        <v>-1.0177514792899411E-2</v>
      </c>
    </row>
    <row r="394" spans="1:32">
      <c r="A394" s="3" t="s">
        <v>530</v>
      </c>
      <c r="B394" s="222">
        <v>44.75</v>
      </c>
      <c r="C394" s="227">
        <f t="shared" si="35"/>
        <v>-1.6699626455723982E-2</v>
      </c>
      <c r="D394" s="5">
        <f>C394-C1275</f>
        <v>-1.677767202528287E-2</v>
      </c>
      <c r="F394" s="8"/>
      <c r="H394" t="s">
        <v>529</v>
      </c>
      <c r="I394">
        <v>11.48</v>
      </c>
      <c r="J394" s="227">
        <f t="shared" si="36"/>
        <v>-2.4638912489379661E-2</v>
      </c>
      <c r="K394" s="5">
        <f>J394-J1276</f>
        <v>-2.6774868404989619E-2</v>
      </c>
      <c r="M394" s="240" t="s">
        <v>527</v>
      </c>
      <c r="N394">
        <v>4565.72</v>
      </c>
      <c r="O394" s="227">
        <f t="shared" si="37"/>
        <v>6.8028410957756691E-3</v>
      </c>
      <c r="P394" s="5">
        <f>O394-O1278</f>
        <v>7.168598296688841E-3</v>
      </c>
      <c r="Q394" s="8">
        <f t="shared" si="41"/>
        <v>5.1388801539290151E-5</v>
      </c>
      <c r="S394" t="s">
        <v>527</v>
      </c>
      <c r="T394">
        <v>3.51</v>
      </c>
      <c r="U394" s="29">
        <f t="shared" si="38"/>
        <v>-3.5714285714285809E-2</v>
      </c>
      <c r="V394" s="5">
        <f>U394-V1274</f>
        <v>-3.7450476489992848E-2</v>
      </c>
      <c r="X394" s="1">
        <v>44965</v>
      </c>
      <c r="Y394">
        <v>3.47</v>
      </c>
      <c r="Z394" s="48">
        <f t="shared" si="39"/>
        <v>-2.8011204481792618E-2</v>
      </c>
      <c r="AA394" s="5">
        <f>Z394-Y1274</f>
        <v>-3.2228523951066748E-2</v>
      </c>
      <c r="AD394" t="s">
        <v>527</v>
      </c>
      <c r="AE394">
        <v>85.1</v>
      </c>
      <c r="AF394" s="29">
        <f t="shared" si="40"/>
        <v>1.7455762792921936E-2</v>
      </c>
    </row>
    <row r="395" spans="1:32">
      <c r="A395" s="3" t="s">
        <v>531</v>
      </c>
      <c r="B395" s="222">
        <v>45.64</v>
      </c>
      <c r="C395" s="227">
        <f t="shared" si="35"/>
        <v>1.9888268156424527E-2</v>
      </c>
      <c r="D395" s="5">
        <f>C395-C1275</f>
        <v>1.9810222586865638E-2</v>
      </c>
      <c r="F395" s="8"/>
      <c r="H395" t="s">
        <v>530</v>
      </c>
      <c r="I395">
        <v>11.3</v>
      </c>
      <c r="J395" s="227">
        <f t="shared" si="36"/>
        <v>-1.5679442508710784E-2</v>
      </c>
      <c r="K395" s="5">
        <f>J395-J1276</f>
        <v>-1.7815398424320741E-2</v>
      </c>
      <c r="M395" s="240" t="s">
        <v>528</v>
      </c>
      <c r="N395">
        <v>4554.9799999999996</v>
      </c>
      <c r="O395" s="227">
        <f t="shared" si="37"/>
        <v>-2.3523124501723114E-3</v>
      </c>
      <c r="P395" s="5">
        <f>O395-O1278</f>
        <v>-1.9865552492591399E-3</v>
      </c>
      <c r="Q395" s="8">
        <f t="shared" si="41"/>
        <v>3.9464017583590436E-6</v>
      </c>
      <c r="S395" t="s">
        <v>528</v>
      </c>
      <c r="T395">
        <v>3.51</v>
      </c>
      <c r="U395" s="29">
        <f t="shared" si="38"/>
        <v>0</v>
      </c>
      <c r="V395" s="5">
        <f>U395-V1274</f>
        <v>-1.736190775707038E-3</v>
      </c>
      <c r="X395" s="1">
        <v>44934</v>
      </c>
      <c r="Y395">
        <v>3.6</v>
      </c>
      <c r="Z395" s="48">
        <f t="shared" si="39"/>
        <v>3.7463976945244948E-2</v>
      </c>
      <c r="AA395" s="5">
        <f>Z395-Y1274</f>
        <v>3.3246657475970817E-2</v>
      </c>
      <c r="AD395" t="s">
        <v>528</v>
      </c>
      <c r="AE395">
        <v>85.07</v>
      </c>
      <c r="AF395" s="29">
        <f t="shared" si="40"/>
        <v>-3.525264394830252E-4</v>
      </c>
    </row>
    <row r="396" spans="1:32">
      <c r="A396" s="220">
        <v>45267</v>
      </c>
      <c r="B396" s="222">
        <v>44.52</v>
      </c>
      <c r="C396" s="227">
        <f t="shared" si="35"/>
        <v>-2.4539877300613466E-2</v>
      </c>
      <c r="D396" s="5">
        <f>C396-C1275</f>
        <v>-2.4617922870172355E-2</v>
      </c>
      <c r="F396" s="8"/>
      <c r="H396" t="s">
        <v>531</v>
      </c>
      <c r="I396">
        <v>11.55</v>
      </c>
      <c r="J396" s="227">
        <f t="shared" si="36"/>
        <v>2.2123893805309658E-2</v>
      </c>
      <c r="K396" s="5">
        <f>J396-J1276</f>
        <v>1.99879378896997E-2</v>
      </c>
      <c r="M396" s="240" t="s">
        <v>529</v>
      </c>
      <c r="N396">
        <v>4522.79</v>
      </c>
      <c r="O396" s="227">
        <f t="shared" si="37"/>
        <v>-7.0669904148864537E-3</v>
      </c>
      <c r="P396" s="5">
        <f>O396-O1278</f>
        <v>-6.7012332139732818E-3</v>
      </c>
      <c r="Q396" s="8">
        <f t="shared" si="41"/>
        <v>4.490652658805868E-5</v>
      </c>
      <c r="S396" t="s">
        <v>529</v>
      </c>
      <c r="T396">
        <v>3.62</v>
      </c>
      <c r="U396" s="29">
        <f t="shared" si="38"/>
        <v>3.1339031339031376E-2</v>
      </c>
      <c r="V396" s="5">
        <f>U396-V1274</f>
        <v>2.9602840563324337E-2</v>
      </c>
      <c r="X396" t="s">
        <v>519</v>
      </c>
      <c r="Y396">
        <v>3.76</v>
      </c>
      <c r="Z396" s="48">
        <f t="shared" si="39"/>
        <v>4.4444444444444287E-2</v>
      </c>
      <c r="AA396" s="5">
        <f>Z396-Y1274</f>
        <v>4.0227124975170156E-2</v>
      </c>
      <c r="AD396" t="s">
        <v>529</v>
      </c>
      <c r="AE396">
        <v>85.34</v>
      </c>
      <c r="AF396" s="29">
        <f t="shared" si="40"/>
        <v>3.1738568237922316E-3</v>
      </c>
    </row>
    <row r="397" spans="1:32">
      <c r="A397" s="220">
        <v>45237</v>
      </c>
      <c r="B397" s="222">
        <v>44.36</v>
      </c>
      <c r="C397" s="227">
        <f t="shared" si="35"/>
        <v>-3.5938903863432792E-3</v>
      </c>
      <c r="D397" s="5">
        <f>C397-C1275</f>
        <v>-3.6719359559021685E-3</v>
      </c>
      <c r="F397" s="8"/>
      <c r="H397" s="1">
        <v>45267</v>
      </c>
      <c r="I397">
        <v>11.44</v>
      </c>
      <c r="J397" s="227">
        <f t="shared" si="36"/>
        <v>-9.523809523809601E-3</v>
      </c>
      <c r="K397" s="5">
        <f>J397-J1276</f>
        <v>-1.1659765439419559E-2</v>
      </c>
      <c r="M397" s="240" t="s">
        <v>530</v>
      </c>
      <c r="N397">
        <v>4505.42</v>
      </c>
      <c r="O397" s="227">
        <f t="shared" si="37"/>
        <v>-3.8405497491592611E-3</v>
      </c>
      <c r="P397" s="5">
        <f>O397-O1278</f>
        <v>-3.4747925482460896E-3</v>
      </c>
      <c r="Q397" s="8">
        <f t="shared" si="41"/>
        <v>1.2074183253346552E-5</v>
      </c>
      <c r="S397" t="s">
        <v>530</v>
      </c>
      <c r="T397">
        <v>3.62</v>
      </c>
      <c r="U397" s="29">
        <f t="shared" si="38"/>
        <v>0</v>
      </c>
      <c r="V397" s="5">
        <f>U397-V1274</f>
        <v>-1.736190775707038E-3</v>
      </c>
      <c r="X397" t="s">
        <v>520</v>
      </c>
      <c r="Y397">
        <v>3.86</v>
      </c>
      <c r="Z397" s="48">
        <f t="shared" si="39"/>
        <v>2.659574468085113E-2</v>
      </c>
      <c r="AA397" s="5">
        <f>Z397-Y1274</f>
        <v>2.2378425211576996E-2</v>
      </c>
      <c r="AD397" t="s">
        <v>530</v>
      </c>
      <c r="AE397">
        <v>83.96</v>
      </c>
      <c r="AF397" s="29">
        <f t="shared" si="40"/>
        <v>-1.6170611670963342E-2</v>
      </c>
    </row>
    <row r="398" spans="1:32">
      <c r="A398" s="220">
        <v>45206</v>
      </c>
      <c r="B398" s="222">
        <v>42.78</v>
      </c>
      <c r="C398" s="227">
        <f t="shared" si="35"/>
        <v>-3.5617673579801612E-2</v>
      </c>
      <c r="D398" s="5">
        <f>C398-C1275</f>
        <v>-3.5695719149360504E-2</v>
      </c>
      <c r="F398" s="8"/>
      <c r="H398" s="1">
        <v>45237</v>
      </c>
      <c r="I398">
        <v>11.55</v>
      </c>
      <c r="J398" s="227">
        <f t="shared" si="36"/>
        <v>9.6153846153848033E-3</v>
      </c>
      <c r="K398" s="5">
        <f>J398-J1276</f>
        <v>7.4794286997748455E-3</v>
      </c>
      <c r="M398" s="240" t="s">
        <v>531</v>
      </c>
      <c r="N398">
        <v>4510.04</v>
      </c>
      <c r="O398" s="227">
        <f t="shared" si="37"/>
        <v>1.0254315912834322E-3</v>
      </c>
      <c r="P398" s="5">
        <f>O398-O1278</f>
        <v>1.3911887921966037E-3</v>
      </c>
      <c r="Q398" s="8">
        <f t="shared" si="41"/>
        <v>1.9354062555334449E-6</v>
      </c>
      <c r="S398" t="s">
        <v>531</v>
      </c>
      <c r="T398">
        <v>3.7</v>
      </c>
      <c r="U398" s="29">
        <f t="shared" si="38"/>
        <v>2.2099447513812098E-2</v>
      </c>
      <c r="V398" s="5">
        <f>U398-V1274</f>
        <v>2.0363256738105059E-2</v>
      </c>
      <c r="X398" t="s">
        <v>521</v>
      </c>
      <c r="Y398">
        <v>3.45</v>
      </c>
      <c r="Z398" s="48">
        <f t="shared" si="39"/>
        <v>-0.10621761658031081</v>
      </c>
      <c r="AA398" s="5">
        <f>Z398-Y1274</f>
        <v>-0.11043493604958494</v>
      </c>
      <c r="AD398" t="s">
        <v>531</v>
      </c>
      <c r="AE398">
        <v>83.29</v>
      </c>
      <c r="AF398" s="29">
        <f t="shared" si="40"/>
        <v>-7.9799904716529868E-3</v>
      </c>
    </row>
    <row r="399" spans="1:32">
      <c r="A399" s="220">
        <v>45114</v>
      </c>
      <c r="B399" s="222">
        <v>42.91</v>
      </c>
      <c r="C399" s="227">
        <f t="shared" si="35"/>
        <v>3.0388031790555825E-3</v>
      </c>
      <c r="D399" s="5">
        <f>C399-C1275</f>
        <v>2.9607576094966932E-3</v>
      </c>
      <c r="F399" s="8"/>
      <c r="H399" s="1">
        <v>45206</v>
      </c>
      <c r="I399">
        <v>11.02</v>
      </c>
      <c r="J399" s="227">
        <f t="shared" si="36"/>
        <v>-4.5887445887445977E-2</v>
      </c>
      <c r="K399" s="5">
        <f>J399-J1276</f>
        <v>-4.8023401803055935E-2</v>
      </c>
      <c r="M399" s="241">
        <v>45267</v>
      </c>
      <c r="N399">
        <v>4472.16</v>
      </c>
      <c r="O399" s="227">
        <f t="shared" si="37"/>
        <v>-8.3990385894582298E-3</v>
      </c>
      <c r="P399" s="5">
        <f>O399-O1278</f>
        <v>-8.0332813885450587E-3</v>
      </c>
      <c r="Q399" s="8">
        <f t="shared" si="41"/>
        <v>6.4533609867544432E-5</v>
      </c>
      <c r="S399" s="1">
        <v>45267</v>
      </c>
      <c r="T399">
        <v>3.67</v>
      </c>
      <c r="U399" s="29">
        <f t="shared" si="38"/>
        <v>-8.1081081081081363E-3</v>
      </c>
      <c r="V399" s="5">
        <f>U399-V1274</f>
        <v>-9.8442988838151751E-3</v>
      </c>
      <c r="X399" t="s">
        <v>522</v>
      </c>
      <c r="Y399">
        <v>3.44</v>
      </c>
      <c r="Z399" s="48">
        <f t="shared" si="39"/>
        <v>-2.8985507246377384E-3</v>
      </c>
      <c r="AA399" s="5">
        <f>Z399-Y1274</f>
        <v>-7.1158701939118725E-3</v>
      </c>
      <c r="AD399" s="1">
        <v>45267</v>
      </c>
      <c r="AE399">
        <v>80.59</v>
      </c>
      <c r="AF399" s="29">
        <f t="shared" si="40"/>
        <v>-3.2416856765518087E-2</v>
      </c>
    </row>
    <row r="400" spans="1:32">
      <c r="A400" s="220">
        <v>45084</v>
      </c>
      <c r="B400" s="222">
        <v>42.11</v>
      </c>
      <c r="C400" s="227">
        <f t="shared" si="35"/>
        <v>-1.8643672803542288E-2</v>
      </c>
      <c r="D400" s="5">
        <f>C400-C1275</f>
        <v>-1.8721718373101177E-2</v>
      </c>
      <c r="F400" s="8"/>
      <c r="H400" s="1">
        <v>45114</v>
      </c>
      <c r="I400">
        <v>10.11</v>
      </c>
      <c r="J400" s="227">
        <f t="shared" si="36"/>
        <v>-8.2577132486388427E-2</v>
      </c>
      <c r="K400" s="5">
        <f>J400-J1276</f>
        <v>-8.4713088401998385E-2</v>
      </c>
      <c r="M400" s="241">
        <v>45237</v>
      </c>
      <c r="N400">
        <v>4439.26</v>
      </c>
      <c r="O400" s="227">
        <f t="shared" si="37"/>
        <v>-7.3566240921612014E-3</v>
      </c>
      <c r="P400" s="5">
        <f>O400-O1278</f>
        <v>-6.9908668912480295E-3</v>
      </c>
      <c r="Q400" s="8">
        <f t="shared" si="41"/>
        <v>4.8872219891147888E-5</v>
      </c>
      <c r="S400" s="1">
        <v>45237</v>
      </c>
      <c r="T400">
        <v>3.56</v>
      </c>
      <c r="U400" s="29">
        <f t="shared" si="38"/>
        <v>-2.9972752043596729E-2</v>
      </c>
      <c r="V400" s="5">
        <f>U400-V1274</f>
        <v>-3.1708942819303768E-2</v>
      </c>
      <c r="X400" t="s">
        <v>523</v>
      </c>
      <c r="Y400">
        <v>3.37</v>
      </c>
      <c r="Z400" s="48">
        <f t="shared" si="39"/>
        <v>-2.0348837209302251E-2</v>
      </c>
      <c r="AA400" s="5">
        <f>Z400-Y1274</f>
        <v>-2.4566156678576385E-2</v>
      </c>
      <c r="AD400" s="1">
        <v>45237</v>
      </c>
      <c r="AE400">
        <v>79.849999999999994</v>
      </c>
      <c r="AF400" s="29">
        <f t="shared" si="40"/>
        <v>-9.1822806799852774E-3</v>
      </c>
    </row>
    <row r="401" spans="1:32">
      <c r="A401" s="220">
        <v>45053</v>
      </c>
      <c r="B401" s="222">
        <v>43.66</v>
      </c>
      <c r="C401" s="227">
        <f t="shared" si="35"/>
        <v>3.6808359059605777E-2</v>
      </c>
      <c r="D401" s="5">
        <f>C401-C1275</f>
        <v>3.6730313490046886E-2</v>
      </c>
      <c r="F401" s="8"/>
      <c r="H401" s="1">
        <v>45084</v>
      </c>
      <c r="I401">
        <v>9.56</v>
      </c>
      <c r="J401" s="227">
        <f t="shared" si="36"/>
        <v>-5.4401582591493414E-2</v>
      </c>
      <c r="K401" s="5">
        <f>J401-J1276</f>
        <v>-5.6537538507103371E-2</v>
      </c>
      <c r="M401" s="241">
        <v>45206</v>
      </c>
      <c r="N401">
        <v>4409.53</v>
      </c>
      <c r="O401" s="227">
        <f t="shared" si="37"/>
        <v>-6.6970621229665017E-3</v>
      </c>
      <c r="P401" s="5">
        <f>O401-O1278</f>
        <v>-6.3313049220533298E-3</v>
      </c>
      <c r="Q401" s="8">
        <f t="shared" si="41"/>
        <v>4.0085422016016723E-5</v>
      </c>
      <c r="S401" s="1">
        <v>45206</v>
      </c>
      <c r="T401">
        <v>3.45</v>
      </c>
      <c r="U401" s="29">
        <f t="shared" si="38"/>
        <v>-3.0898876404494402E-2</v>
      </c>
      <c r="V401" s="5">
        <f>U401-V1274</f>
        <v>-3.2635067180201441E-2</v>
      </c>
      <c r="X401" t="s">
        <v>524</v>
      </c>
      <c r="Y401">
        <v>3.22</v>
      </c>
      <c r="Z401" s="48">
        <f t="shared" si="39"/>
        <v>-4.451038575667654E-2</v>
      </c>
      <c r="AA401" s="5">
        <f>Z401-Y1274</f>
        <v>-4.8727705225950671E-2</v>
      </c>
      <c r="AD401" s="1">
        <v>45206</v>
      </c>
      <c r="AE401">
        <v>77.61</v>
      </c>
      <c r="AF401" s="29">
        <f t="shared" si="40"/>
        <v>-2.8052598622416935E-2</v>
      </c>
    </row>
    <row r="402" spans="1:32">
      <c r="A402" s="220">
        <v>44992</v>
      </c>
      <c r="B402" s="222">
        <v>43.09</v>
      </c>
      <c r="C402" s="227">
        <f t="shared" ref="C402:C465" si="42">B402/B401-1</f>
        <v>-1.305542830966544E-2</v>
      </c>
      <c r="D402" s="5">
        <f>C402-C1275</f>
        <v>-1.3133473879224328E-2</v>
      </c>
      <c r="F402" s="8"/>
      <c r="H402" s="1">
        <v>45053</v>
      </c>
      <c r="I402">
        <v>10.19</v>
      </c>
      <c r="J402" s="227">
        <f t="shared" si="36"/>
        <v>6.5899581589958123E-2</v>
      </c>
      <c r="K402" s="5">
        <f>J402-J1276</f>
        <v>6.3763625674348165E-2</v>
      </c>
      <c r="M402" s="241">
        <v>45114</v>
      </c>
      <c r="N402">
        <v>4398.95</v>
      </c>
      <c r="O402" s="227">
        <f t="shared" si="37"/>
        <v>-2.3993486834197331E-3</v>
      </c>
      <c r="P402" s="5">
        <f>O402-O1278</f>
        <v>-2.0335914825065616E-3</v>
      </c>
      <c r="Q402" s="8">
        <f t="shared" si="41"/>
        <v>4.1354943177232349E-6</v>
      </c>
      <c r="S402" s="1">
        <v>45114</v>
      </c>
      <c r="T402">
        <v>3.32</v>
      </c>
      <c r="U402" s="29">
        <f t="shared" si="38"/>
        <v>-3.7681159420289934E-2</v>
      </c>
      <c r="V402" s="5">
        <f>U402-V1274</f>
        <v>-3.9417350195996972E-2</v>
      </c>
      <c r="X402" t="s">
        <v>525</v>
      </c>
      <c r="Y402">
        <v>3.03</v>
      </c>
      <c r="Z402" s="48">
        <f t="shared" si="39"/>
        <v>-5.900621118012439E-2</v>
      </c>
      <c r="AA402" s="5">
        <f>Z402-Y1274</f>
        <v>-6.3223530649398521E-2</v>
      </c>
      <c r="AD402" s="1">
        <v>45114</v>
      </c>
      <c r="AE402">
        <v>77.95</v>
      </c>
      <c r="AF402" s="29">
        <f t="shared" si="40"/>
        <v>4.3808787527381821E-3</v>
      </c>
    </row>
    <row r="403" spans="1:32">
      <c r="A403" s="3" t="s">
        <v>532</v>
      </c>
      <c r="B403" s="222">
        <v>43.17</v>
      </c>
      <c r="C403" s="227">
        <f t="shared" si="42"/>
        <v>1.8565792527267533E-3</v>
      </c>
      <c r="D403" s="5">
        <f>C403-C1275</f>
        <v>1.778533683167864E-3</v>
      </c>
      <c r="F403" s="8"/>
      <c r="H403" s="1">
        <v>44992</v>
      </c>
      <c r="I403">
        <v>10.14</v>
      </c>
      <c r="J403" s="227">
        <f t="shared" si="36"/>
        <v>-4.9067713444552741E-3</v>
      </c>
      <c r="K403" s="5">
        <f>J403-J1276</f>
        <v>-7.0427272600652319E-3</v>
      </c>
      <c r="M403" s="241">
        <v>45084</v>
      </c>
      <c r="N403">
        <v>4411.59</v>
      </c>
      <c r="O403" s="227">
        <f t="shared" si="37"/>
        <v>2.8734129735505931E-3</v>
      </c>
      <c r="P403" s="5">
        <f>O403-O1278</f>
        <v>3.2391701744637646E-3</v>
      </c>
      <c r="Q403" s="8">
        <f t="shared" si="41"/>
        <v>1.0492223419135615E-5</v>
      </c>
      <c r="S403" s="1">
        <v>45084</v>
      </c>
      <c r="T403">
        <v>3.32</v>
      </c>
      <c r="U403" s="29">
        <f t="shared" si="38"/>
        <v>0</v>
      </c>
      <c r="V403" s="5">
        <f>U403-V1274</f>
        <v>-1.736190775707038E-3</v>
      </c>
      <c r="X403" t="s">
        <v>526</v>
      </c>
      <c r="Y403">
        <v>3.08</v>
      </c>
      <c r="Z403" s="48">
        <f t="shared" si="39"/>
        <v>1.650165016501659E-2</v>
      </c>
      <c r="AA403" s="5">
        <f>Z403-Y1274</f>
        <v>1.2284330695742456E-2</v>
      </c>
      <c r="AD403" s="1">
        <v>45084</v>
      </c>
      <c r="AE403">
        <v>76.989999999999995</v>
      </c>
      <c r="AF403" s="29">
        <f t="shared" si="40"/>
        <v>-1.2315586914689036E-2</v>
      </c>
    </row>
    <row r="404" spans="1:32">
      <c r="A404" s="3" t="s">
        <v>533</v>
      </c>
      <c r="B404" s="222">
        <v>42.58</v>
      </c>
      <c r="C404" s="227">
        <f t="shared" si="42"/>
        <v>-1.3666898309010911E-2</v>
      </c>
      <c r="D404" s="5">
        <f>C404-C1275</f>
        <v>-1.3744943878569799E-2</v>
      </c>
      <c r="F404" s="8"/>
      <c r="H404" t="s">
        <v>532</v>
      </c>
      <c r="I404">
        <v>9.59</v>
      </c>
      <c r="J404" s="227">
        <f t="shared" ref="J404:J467" si="43">I404/I403-1</f>
        <v>-5.4240631163708142E-2</v>
      </c>
      <c r="K404" s="5">
        <f>J404-J1276</f>
        <v>-5.63765870793181E-2</v>
      </c>
      <c r="M404" s="241">
        <v>45053</v>
      </c>
      <c r="N404">
        <v>4446.82</v>
      </c>
      <c r="O404" s="227">
        <f t="shared" si="37"/>
        <v>7.9857829036695804E-3</v>
      </c>
      <c r="P404" s="5">
        <f>O404-O1278</f>
        <v>8.3515401045827515E-3</v>
      </c>
      <c r="Q404" s="8">
        <f t="shared" si="41"/>
        <v>6.9748222118454079E-5</v>
      </c>
      <c r="S404" s="1">
        <v>45053</v>
      </c>
      <c r="T404">
        <v>3.43</v>
      </c>
      <c r="U404" s="29">
        <f t="shared" si="38"/>
        <v>3.3132530120482118E-2</v>
      </c>
      <c r="V404" s="5">
        <f>U404-V1274</f>
        <v>3.1396339344775079E-2</v>
      </c>
      <c r="X404" t="s">
        <v>527</v>
      </c>
      <c r="Y404">
        <v>3.15</v>
      </c>
      <c r="Z404" s="48">
        <f t="shared" si="39"/>
        <v>2.2727272727272707E-2</v>
      </c>
      <c r="AA404" s="5">
        <f>Z404-Y1274</f>
        <v>1.8509953257998573E-2</v>
      </c>
      <c r="AD404" s="1">
        <v>45053</v>
      </c>
      <c r="AE404">
        <v>79.069999999999993</v>
      </c>
      <c r="AF404" s="29">
        <f t="shared" si="40"/>
        <v>2.7016495648785499E-2</v>
      </c>
    </row>
    <row r="405" spans="1:32">
      <c r="A405" s="3" t="s">
        <v>534</v>
      </c>
      <c r="B405" s="222">
        <v>44.24</v>
      </c>
      <c r="C405" s="227">
        <f t="shared" si="42"/>
        <v>3.8985439173320868E-2</v>
      </c>
      <c r="D405" s="5">
        <f>C405-C1275</f>
        <v>3.8907393603761976E-2</v>
      </c>
      <c r="E405" s="1"/>
      <c r="F405" s="8"/>
      <c r="H405" t="s">
        <v>533</v>
      </c>
      <c r="I405">
        <v>9.84</v>
      </c>
      <c r="J405" s="227">
        <f t="shared" si="43"/>
        <v>2.6068821689259725E-2</v>
      </c>
      <c r="K405" s="5">
        <f>J405-J1276</f>
        <v>2.3932865773649767E-2</v>
      </c>
      <c r="M405" s="241">
        <v>44992</v>
      </c>
      <c r="N405">
        <v>4455.59</v>
      </c>
      <c r="O405" s="227">
        <f t="shared" si="37"/>
        <v>1.9721958613121426E-3</v>
      </c>
      <c r="P405" s="5">
        <f>O405-O1278</f>
        <v>2.3379530622253141E-3</v>
      </c>
      <c r="Q405" s="8">
        <f t="shared" si="41"/>
        <v>5.4660245211687232E-6</v>
      </c>
      <c r="S405" s="1">
        <v>44992</v>
      </c>
      <c r="T405">
        <v>3.43</v>
      </c>
      <c r="U405" s="29">
        <f t="shared" si="38"/>
        <v>0</v>
      </c>
      <c r="V405" s="5">
        <f>U405-V1274</f>
        <v>-1.736190775707038E-3</v>
      </c>
      <c r="X405" t="s">
        <v>528</v>
      </c>
      <c r="Y405">
        <v>3.02</v>
      </c>
      <c r="Z405" s="48">
        <f t="shared" si="39"/>
        <v>-4.1269841269841234E-2</v>
      </c>
      <c r="AA405" s="5">
        <f>Z405-Y1274</f>
        <v>-4.5487160739115365E-2</v>
      </c>
      <c r="AD405" s="1">
        <v>44992</v>
      </c>
      <c r="AE405">
        <v>78.709999999999994</v>
      </c>
      <c r="AF405" s="29">
        <f t="shared" si="40"/>
        <v>-4.5529277855065331E-3</v>
      </c>
    </row>
    <row r="406" spans="1:32">
      <c r="A406" s="3" t="s">
        <v>535</v>
      </c>
      <c r="B406" s="222">
        <v>43.83</v>
      </c>
      <c r="C406" s="227">
        <f t="shared" si="42"/>
        <v>-9.2676311030742697E-3</v>
      </c>
      <c r="D406" s="5">
        <f>C406-C1275</f>
        <v>-9.3456766726331582E-3</v>
      </c>
      <c r="E406" s="1"/>
      <c r="F406" s="8"/>
      <c r="H406" t="s">
        <v>534</v>
      </c>
      <c r="I406">
        <v>10.45</v>
      </c>
      <c r="J406" s="227">
        <f t="shared" si="43"/>
        <v>6.1991869918699205E-2</v>
      </c>
      <c r="K406" s="5">
        <f>J406-J1276</f>
        <v>5.9855914003089247E-2</v>
      </c>
      <c r="M406" s="240" t="s">
        <v>532</v>
      </c>
      <c r="N406">
        <v>4450.38</v>
      </c>
      <c r="O406" s="227">
        <f t="shared" ref="O406:O469" si="44">N406/N405-1</f>
        <v>-1.1693176436791131E-3</v>
      </c>
      <c r="P406" s="5">
        <f>O406-O1278</f>
        <v>-8.0356044276594157E-4</v>
      </c>
      <c r="Q406" s="8">
        <f t="shared" si="41"/>
        <v>6.4570938517819601E-7</v>
      </c>
      <c r="S406" t="s">
        <v>532</v>
      </c>
      <c r="T406">
        <v>3.43</v>
      </c>
      <c r="U406" s="29">
        <f t="shared" ref="U406:U469" si="45">T406/T405-1</f>
        <v>0</v>
      </c>
      <c r="V406" s="5">
        <f>U406-V1274</f>
        <v>-1.736190775707038E-3</v>
      </c>
      <c r="X406" t="s">
        <v>529</v>
      </c>
      <c r="Y406">
        <v>3.19</v>
      </c>
      <c r="Z406" s="48">
        <f t="shared" ref="Z406:Z469" si="46">Y406/Y405-1</f>
        <v>5.6291390728476776E-2</v>
      </c>
      <c r="AA406" s="5">
        <f>Z406-Y1274</f>
        <v>5.2074071259202645E-2</v>
      </c>
      <c r="AD406" t="s">
        <v>532</v>
      </c>
      <c r="AE406">
        <v>76.42</v>
      </c>
      <c r="AF406" s="29">
        <f t="shared" ref="AF406:AF469" si="47">AE406/AE405-1</f>
        <v>-2.90941430567907E-2</v>
      </c>
    </row>
    <row r="407" spans="1:32">
      <c r="A407" s="3" t="s">
        <v>536</v>
      </c>
      <c r="B407" s="222">
        <v>44.42</v>
      </c>
      <c r="C407" s="227">
        <f t="shared" si="42"/>
        <v>1.3461099703399482E-2</v>
      </c>
      <c r="D407" s="5">
        <f>C407-C1275</f>
        <v>1.3383054133840593E-2</v>
      </c>
      <c r="E407" s="1"/>
      <c r="F407" s="8"/>
      <c r="H407" t="s">
        <v>535</v>
      </c>
      <c r="I407">
        <v>9.85</v>
      </c>
      <c r="J407" s="227">
        <f t="shared" si="43"/>
        <v>-5.7416267942583699E-2</v>
      </c>
      <c r="K407" s="5">
        <f>J407-J1276</f>
        <v>-5.9552223858193656E-2</v>
      </c>
      <c r="M407" s="240" t="s">
        <v>533</v>
      </c>
      <c r="N407">
        <v>4396.4399999999996</v>
      </c>
      <c r="O407" s="227">
        <f t="shared" si="44"/>
        <v>-1.2120313321559162E-2</v>
      </c>
      <c r="P407" s="5">
        <f>O407-O1278</f>
        <v>-1.1754556120645991E-2</v>
      </c>
      <c r="Q407" s="8">
        <f t="shared" ref="Q407:Q470" si="48">P407*P407</f>
        <v>1.3816958959341613E-4</v>
      </c>
      <c r="S407" t="s">
        <v>533</v>
      </c>
      <c r="T407">
        <v>3.39</v>
      </c>
      <c r="U407" s="29">
        <f t="shared" si="45"/>
        <v>-1.1661807580174988E-2</v>
      </c>
      <c r="V407" s="5">
        <f>U407-V1274</f>
        <v>-1.3397998355882026E-2</v>
      </c>
      <c r="X407" t="s">
        <v>530</v>
      </c>
      <c r="Y407">
        <v>3.08</v>
      </c>
      <c r="Z407" s="48">
        <f t="shared" si="46"/>
        <v>-3.4482758620689613E-2</v>
      </c>
      <c r="AA407" s="5">
        <f>Z407-Y1274</f>
        <v>-3.8700078089963744E-2</v>
      </c>
      <c r="AD407" t="s">
        <v>533</v>
      </c>
      <c r="AE407">
        <v>75.45</v>
      </c>
      <c r="AF407" s="29">
        <f t="shared" si="47"/>
        <v>-1.2693012300444839E-2</v>
      </c>
    </row>
    <row r="408" spans="1:32">
      <c r="A408" s="3" t="s">
        <v>537</v>
      </c>
      <c r="B408" s="222">
        <v>43.34</v>
      </c>
      <c r="C408" s="227">
        <f t="shared" si="42"/>
        <v>-2.4313372354795137E-2</v>
      </c>
      <c r="D408" s="5">
        <f>C408-C1275</f>
        <v>-2.4391417924354026E-2</v>
      </c>
      <c r="E408" s="1"/>
      <c r="F408" s="8"/>
      <c r="H408" t="s">
        <v>536</v>
      </c>
      <c r="I408">
        <v>9.94</v>
      </c>
      <c r="J408" s="227">
        <f t="shared" si="43"/>
        <v>9.1370558375634126E-3</v>
      </c>
      <c r="K408" s="5">
        <f>J408-J1276</f>
        <v>7.0010999219534548E-3</v>
      </c>
      <c r="M408" s="240" t="s">
        <v>534</v>
      </c>
      <c r="N408">
        <v>4376.8599999999997</v>
      </c>
      <c r="O408" s="227">
        <f t="shared" si="44"/>
        <v>-4.4536033699993371E-3</v>
      </c>
      <c r="P408" s="5">
        <f>O408-O1278</f>
        <v>-4.0878461690861652E-3</v>
      </c>
      <c r="Q408" s="8">
        <f t="shared" si="48"/>
        <v>1.6710486302112438E-5</v>
      </c>
      <c r="S408" t="s">
        <v>534</v>
      </c>
      <c r="T408">
        <v>3.25</v>
      </c>
      <c r="U408" s="29">
        <f t="shared" si="45"/>
        <v>-4.1297935103244865E-2</v>
      </c>
      <c r="V408" s="5">
        <f>U408-V1274</f>
        <v>-4.3034125878951904E-2</v>
      </c>
      <c r="X408" t="s">
        <v>531</v>
      </c>
      <c r="Y408">
        <v>3.23</v>
      </c>
      <c r="Z408" s="48">
        <f t="shared" si="46"/>
        <v>4.870129870129869E-2</v>
      </c>
      <c r="AA408" s="5">
        <f>Z408-Y1274</f>
        <v>4.4483979232024559E-2</v>
      </c>
      <c r="AD408" t="s">
        <v>534</v>
      </c>
      <c r="AE408">
        <v>76.489999999999995</v>
      </c>
      <c r="AF408" s="29">
        <f t="shared" si="47"/>
        <v>1.3783962889330592E-2</v>
      </c>
    </row>
    <row r="409" spans="1:32">
      <c r="A409" s="3" t="s">
        <v>538</v>
      </c>
      <c r="B409" s="222">
        <v>42.81</v>
      </c>
      <c r="C409" s="227">
        <f t="shared" si="42"/>
        <v>-1.2228887863405702E-2</v>
      </c>
      <c r="D409" s="5">
        <f>C409-C1275</f>
        <v>-1.230693343296459E-2</v>
      </c>
      <c r="E409" s="1"/>
      <c r="F409" s="8"/>
      <c r="H409" t="s">
        <v>537</v>
      </c>
      <c r="I409">
        <v>10.1</v>
      </c>
      <c r="J409" s="227">
        <f t="shared" si="43"/>
        <v>1.6096579476861272E-2</v>
      </c>
      <c r="K409" s="5">
        <f>J409-J1276</f>
        <v>1.3960623561251315E-2</v>
      </c>
      <c r="M409" s="240" t="s">
        <v>535</v>
      </c>
      <c r="N409">
        <v>4378.41</v>
      </c>
      <c r="O409" s="227">
        <f t="shared" si="44"/>
        <v>3.5413515625370984E-4</v>
      </c>
      <c r="P409" s="5">
        <f>O409-O1278</f>
        <v>7.1989235716688133E-4</v>
      </c>
      <c r="Q409" s="8">
        <f t="shared" si="48"/>
        <v>5.1824500590728861E-7</v>
      </c>
      <c r="S409" t="s">
        <v>535</v>
      </c>
      <c r="T409">
        <v>3.27</v>
      </c>
      <c r="U409" s="29">
        <f t="shared" si="45"/>
        <v>6.1538461538461764E-3</v>
      </c>
      <c r="V409" s="5">
        <f>U409-V1274</f>
        <v>4.4176553781391384E-3</v>
      </c>
      <c r="X409" s="1">
        <v>45267</v>
      </c>
      <c r="Y409">
        <v>3.34</v>
      </c>
      <c r="Z409" s="48">
        <f t="shared" si="46"/>
        <v>3.4055727554179516E-2</v>
      </c>
      <c r="AA409" s="5">
        <f>Z409-Y1274</f>
        <v>2.9838408084905382E-2</v>
      </c>
      <c r="AD409" t="s">
        <v>535</v>
      </c>
      <c r="AE409">
        <v>74.760000000000005</v>
      </c>
      <c r="AF409" s="29">
        <f t="shared" si="47"/>
        <v>-2.2617335599424582E-2</v>
      </c>
    </row>
    <row r="410" spans="1:32">
      <c r="A410" s="3" t="s">
        <v>539</v>
      </c>
      <c r="B410" s="222">
        <v>42.66</v>
      </c>
      <c r="C410" s="227">
        <f t="shared" si="42"/>
        <v>-3.5038542396638173E-3</v>
      </c>
      <c r="D410" s="5">
        <f>C410-C1275</f>
        <v>-3.5818998092227066E-3</v>
      </c>
      <c r="E410" s="1"/>
      <c r="F410" s="8"/>
      <c r="H410" t="s">
        <v>538</v>
      </c>
      <c r="I410">
        <v>10.3</v>
      </c>
      <c r="J410" s="227">
        <f t="shared" si="43"/>
        <v>1.980198019801982E-2</v>
      </c>
      <c r="K410" s="5">
        <f>J410-J1276</f>
        <v>1.7666024282409862E-2</v>
      </c>
      <c r="M410" s="240" t="s">
        <v>536</v>
      </c>
      <c r="N410">
        <v>4328.82</v>
      </c>
      <c r="O410" s="227">
        <f t="shared" si="44"/>
        <v>-1.1326029312010544E-2</v>
      </c>
      <c r="P410" s="5">
        <f>O410-O1278</f>
        <v>-1.0960272111097373E-2</v>
      </c>
      <c r="Q410" s="8">
        <f t="shared" si="48"/>
        <v>1.2012756474929886E-4</v>
      </c>
      <c r="S410" t="s">
        <v>536</v>
      </c>
      <c r="T410">
        <v>3.2</v>
      </c>
      <c r="U410" s="29">
        <f t="shared" si="45"/>
        <v>-2.1406727828746086E-2</v>
      </c>
      <c r="V410" s="5">
        <f>U410-V1274</f>
        <v>-2.3142918604453125E-2</v>
      </c>
      <c r="X410" s="1">
        <v>45237</v>
      </c>
      <c r="Y410">
        <v>3.47</v>
      </c>
      <c r="Z410" s="48">
        <f t="shared" si="46"/>
        <v>3.8922155688622784E-2</v>
      </c>
      <c r="AA410" s="5">
        <f>Z410-Y1274</f>
        <v>3.4704836219348653E-2</v>
      </c>
      <c r="AD410" t="s">
        <v>536</v>
      </c>
      <c r="AE410">
        <v>73.58</v>
      </c>
      <c r="AF410" s="29">
        <f t="shared" si="47"/>
        <v>-1.5783841626538342E-2</v>
      </c>
    </row>
    <row r="411" spans="1:32">
      <c r="A411" s="3" t="s">
        <v>540</v>
      </c>
      <c r="B411" s="222">
        <v>42.17</v>
      </c>
      <c r="C411" s="227">
        <f t="shared" si="42"/>
        <v>-1.1486169714017724E-2</v>
      </c>
      <c r="D411" s="5">
        <f>C411-C1275</f>
        <v>-1.1564215283576613E-2</v>
      </c>
      <c r="E411" s="1"/>
      <c r="F411" s="8"/>
      <c r="H411" t="s">
        <v>539</v>
      </c>
      <c r="I411">
        <v>9.7200000000000006</v>
      </c>
      <c r="J411" s="227">
        <f t="shared" si="43"/>
        <v>-5.6310679611650483E-2</v>
      </c>
      <c r="K411" s="5">
        <f>J411-J1276</f>
        <v>-5.844663552726044E-2</v>
      </c>
      <c r="M411" s="240" t="s">
        <v>537</v>
      </c>
      <c r="N411">
        <v>4348.33</v>
      </c>
      <c r="O411" s="227">
        <f t="shared" si="44"/>
        <v>4.5070019081412394E-3</v>
      </c>
      <c r="P411" s="5">
        <f>O411-O1278</f>
        <v>4.8727591090544113E-3</v>
      </c>
      <c r="Q411" s="8">
        <f t="shared" si="48"/>
        <v>2.374378133487274E-5</v>
      </c>
      <c r="S411" t="s">
        <v>537</v>
      </c>
      <c r="T411">
        <v>3.2</v>
      </c>
      <c r="U411" s="29">
        <f t="shared" si="45"/>
        <v>0</v>
      </c>
      <c r="V411" s="5">
        <f>U411-V1274</f>
        <v>-1.736190775707038E-3</v>
      </c>
      <c r="X411" s="1">
        <v>45206</v>
      </c>
      <c r="Y411">
        <v>3.31</v>
      </c>
      <c r="Z411" s="48">
        <f t="shared" si="46"/>
        <v>-4.6109510086455363E-2</v>
      </c>
      <c r="AA411" s="5">
        <f>Z411-Y1274</f>
        <v>-5.0326829555729494E-2</v>
      </c>
      <c r="AD411" t="s">
        <v>537</v>
      </c>
      <c r="AE411">
        <v>72.64</v>
      </c>
      <c r="AF411" s="29">
        <f t="shared" si="47"/>
        <v>-1.2775210655069258E-2</v>
      </c>
    </row>
    <row r="412" spans="1:32">
      <c r="A412" s="3" t="s">
        <v>541</v>
      </c>
      <c r="B412" s="222">
        <v>43.52</v>
      </c>
      <c r="C412" s="227">
        <f t="shared" si="42"/>
        <v>3.2013279582641774E-2</v>
      </c>
      <c r="D412" s="5">
        <f>C412-C1275</f>
        <v>3.1935234013082882E-2</v>
      </c>
      <c r="E412" s="1"/>
      <c r="F412" s="8"/>
      <c r="H412" t="s">
        <v>540</v>
      </c>
      <c r="I412">
        <v>9.75</v>
      </c>
      <c r="J412" s="227">
        <f t="shared" si="43"/>
        <v>3.0864197530864335E-3</v>
      </c>
      <c r="K412" s="5">
        <f>J412-J1276</f>
        <v>9.5046383747647567E-4</v>
      </c>
      <c r="M412" s="240" t="s">
        <v>538</v>
      </c>
      <c r="N412">
        <v>4381.8900000000003</v>
      </c>
      <c r="O412" s="227">
        <f t="shared" si="44"/>
        <v>7.7179054947531522E-3</v>
      </c>
      <c r="P412" s="5">
        <f>O412-O1278</f>
        <v>8.0836626956663233E-3</v>
      </c>
      <c r="Q412" s="8">
        <f t="shared" si="48"/>
        <v>6.5345602577307325E-5</v>
      </c>
      <c r="S412" t="s">
        <v>538</v>
      </c>
      <c r="T412">
        <v>3.33</v>
      </c>
      <c r="U412" s="29">
        <f t="shared" si="45"/>
        <v>4.0624999999999911E-2</v>
      </c>
      <c r="V412" s="5">
        <f>U412-V1274</f>
        <v>3.8888809224292872E-2</v>
      </c>
      <c r="X412" s="1">
        <v>45114</v>
      </c>
      <c r="Y412">
        <v>3</v>
      </c>
      <c r="Z412" s="48">
        <f t="shared" si="46"/>
        <v>-9.3655589123867067E-2</v>
      </c>
      <c r="AA412" s="5">
        <f>Z412-Y1274</f>
        <v>-9.7872908593141197E-2</v>
      </c>
      <c r="AD412" t="s">
        <v>538</v>
      </c>
      <c r="AE412">
        <v>72.77</v>
      </c>
      <c r="AF412" s="29">
        <f t="shared" si="47"/>
        <v>1.7896475770924347E-3</v>
      </c>
    </row>
    <row r="413" spans="1:32">
      <c r="A413" s="3" t="s">
        <v>542</v>
      </c>
      <c r="B413" s="222">
        <v>43.36</v>
      </c>
      <c r="C413" s="227">
        <f t="shared" si="42"/>
        <v>-3.6764705882353921E-3</v>
      </c>
      <c r="D413" s="5">
        <f>C413-C1275</f>
        <v>-3.7545161577942814E-3</v>
      </c>
      <c r="F413" s="8"/>
      <c r="H413" t="s">
        <v>541</v>
      </c>
      <c r="I413">
        <v>10.26</v>
      </c>
      <c r="J413" s="227">
        <f t="shared" si="43"/>
        <v>5.2307692307692388E-2</v>
      </c>
      <c r="K413" s="5">
        <f>J413-J1276</f>
        <v>5.0171736392082431E-2</v>
      </c>
      <c r="M413" s="240" t="s">
        <v>539</v>
      </c>
      <c r="N413">
        <v>4365.6899999999996</v>
      </c>
      <c r="O413" s="227">
        <f t="shared" si="44"/>
        <v>-3.6970348411303755E-3</v>
      </c>
      <c r="P413" s="5">
        <f>O413-O1278</f>
        <v>-3.331277640217204E-3</v>
      </c>
      <c r="Q413" s="8">
        <f t="shared" si="48"/>
        <v>1.1097410716211103E-5</v>
      </c>
      <c r="S413" t="s">
        <v>539</v>
      </c>
      <c r="T413">
        <v>3.39</v>
      </c>
      <c r="U413" s="29">
        <f t="shared" si="45"/>
        <v>1.8018018018018056E-2</v>
      </c>
      <c r="V413" s="5">
        <f>U413-V1274</f>
        <v>1.6281827242311017E-2</v>
      </c>
      <c r="X413" s="1">
        <v>45084</v>
      </c>
      <c r="Y413">
        <v>2.98</v>
      </c>
      <c r="Z413" s="48">
        <f t="shared" si="46"/>
        <v>-6.6666666666667096E-3</v>
      </c>
      <c r="AA413" s="5">
        <f>Z413-Y1274</f>
        <v>-1.0883986135940844E-2</v>
      </c>
      <c r="AD413" t="s">
        <v>539</v>
      </c>
      <c r="AE413">
        <v>72.91</v>
      </c>
      <c r="AF413" s="29">
        <f t="shared" si="47"/>
        <v>1.9238697265355764E-3</v>
      </c>
    </row>
    <row r="414" spans="1:32">
      <c r="A414" s="3" t="s">
        <v>543</v>
      </c>
      <c r="B414" s="222">
        <v>41.27</v>
      </c>
      <c r="C414" s="227">
        <f t="shared" si="42"/>
        <v>-4.8201107011070055E-2</v>
      </c>
      <c r="D414" s="5">
        <f>C414-C1275</f>
        <v>-4.8279152580628946E-2</v>
      </c>
      <c r="F414" s="8"/>
      <c r="H414" t="s">
        <v>542</v>
      </c>
      <c r="I414">
        <v>10.55</v>
      </c>
      <c r="J414" s="227">
        <f t="shared" si="43"/>
        <v>2.8265107212475771E-2</v>
      </c>
      <c r="K414" s="5">
        <f>J414-J1276</f>
        <v>2.6129151296865813E-2</v>
      </c>
      <c r="M414" s="240" t="s">
        <v>540</v>
      </c>
      <c r="N414">
        <v>4388.71</v>
      </c>
      <c r="O414" s="227">
        <f t="shared" si="44"/>
        <v>5.2729350915892148E-3</v>
      </c>
      <c r="P414" s="5">
        <f>O414-O1278</f>
        <v>5.6386922925023867E-3</v>
      </c>
      <c r="Q414" s="8">
        <f t="shared" si="48"/>
        <v>3.179485076952582E-5</v>
      </c>
      <c r="S414" t="s">
        <v>540</v>
      </c>
      <c r="T414">
        <v>3.38</v>
      </c>
      <c r="U414" s="29">
        <f t="shared" si="45"/>
        <v>-2.9498525073746729E-3</v>
      </c>
      <c r="V414" s="5">
        <f>U414-V1274</f>
        <v>-4.6860432830817108E-3</v>
      </c>
      <c r="X414" s="1">
        <v>45053</v>
      </c>
      <c r="Y414">
        <v>3</v>
      </c>
      <c r="Z414" s="48">
        <f t="shared" si="46"/>
        <v>6.7114093959732557E-3</v>
      </c>
      <c r="AA414" s="5">
        <f>Z414-Y1274</f>
        <v>2.4940899266991216E-3</v>
      </c>
      <c r="AD414" t="s">
        <v>540</v>
      </c>
      <c r="AE414">
        <v>73</v>
      </c>
      <c r="AF414" s="29">
        <f t="shared" si="47"/>
        <v>1.2343985735838725E-3</v>
      </c>
    </row>
    <row r="415" spans="1:32">
      <c r="A415" s="3" t="s">
        <v>544</v>
      </c>
      <c r="B415" s="222">
        <v>41.41</v>
      </c>
      <c r="C415" s="227">
        <f t="shared" si="42"/>
        <v>3.3922946450204439E-3</v>
      </c>
      <c r="D415" s="5">
        <f>C415-C1275</f>
        <v>3.3142490754615546E-3</v>
      </c>
      <c r="F415" s="8"/>
      <c r="H415" t="s">
        <v>543</v>
      </c>
      <c r="I415">
        <v>10.39</v>
      </c>
      <c r="J415" s="227">
        <f t="shared" si="43"/>
        <v>-1.516587677725123E-2</v>
      </c>
      <c r="K415" s="5">
        <f>J415-J1276</f>
        <v>-1.7301832692861188E-2</v>
      </c>
      <c r="M415" s="240" t="s">
        <v>541</v>
      </c>
      <c r="N415">
        <v>4409.59</v>
      </c>
      <c r="O415" s="227">
        <f t="shared" si="44"/>
        <v>4.7576622743357166E-3</v>
      </c>
      <c r="P415" s="5">
        <f>O415-O1278</f>
        <v>5.1234194752488886E-3</v>
      </c>
      <c r="Q415" s="8">
        <f t="shared" si="48"/>
        <v>2.6249427119359597E-5</v>
      </c>
      <c r="S415" t="s">
        <v>541</v>
      </c>
      <c r="T415">
        <v>3.42</v>
      </c>
      <c r="U415" s="29">
        <f t="shared" si="45"/>
        <v>1.1834319526627279E-2</v>
      </c>
      <c r="V415" s="5">
        <f>U415-V1274</f>
        <v>1.0098128750920241E-2</v>
      </c>
      <c r="X415" s="1">
        <v>44992</v>
      </c>
      <c r="Y415">
        <v>3</v>
      </c>
      <c r="Z415" s="48">
        <f t="shared" si="46"/>
        <v>0</v>
      </c>
      <c r="AA415" s="5">
        <f>Z415-Y1274</f>
        <v>-4.2173194692741341E-3</v>
      </c>
      <c r="AD415" t="s">
        <v>541</v>
      </c>
      <c r="AE415">
        <v>73.260000000000005</v>
      </c>
      <c r="AF415" s="29">
        <f t="shared" si="47"/>
        <v>3.5616438356165236E-3</v>
      </c>
    </row>
    <row r="416" spans="1:32">
      <c r="A416" s="220">
        <v>45266</v>
      </c>
      <c r="B416" s="222">
        <v>41.74</v>
      </c>
      <c r="C416" s="227">
        <f t="shared" si="42"/>
        <v>7.969089591886247E-3</v>
      </c>
      <c r="D416" s="5">
        <f>C416-C1275</f>
        <v>7.8910440223273585E-3</v>
      </c>
      <c r="F416" s="8"/>
      <c r="H416" t="s">
        <v>544</v>
      </c>
      <c r="I416">
        <v>10.69</v>
      </c>
      <c r="J416" s="227">
        <f t="shared" si="43"/>
        <v>2.887391722810384E-2</v>
      </c>
      <c r="K416" s="5">
        <f>J416-J1276</f>
        <v>2.6737961312493883E-2</v>
      </c>
      <c r="M416" s="240" t="s">
        <v>542</v>
      </c>
      <c r="N416">
        <v>4425.84</v>
      </c>
      <c r="O416" s="227">
        <f t="shared" si="44"/>
        <v>3.6851498665408933E-3</v>
      </c>
      <c r="P416" s="5">
        <f>O416-O1278</f>
        <v>4.0509070674540652E-3</v>
      </c>
      <c r="Q416" s="8">
        <f t="shared" si="48"/>
        <v>1.6409848069149294E-5</v>
      </c>
      <c r="S416" t="s">
        <v>542</v>
      </c>
      <c r="T416">
        <v>3.44</v>
      </c>
      <c r="U416" s="29">
        <f t="shared" si="45"/>
        <v>5.8479532163742132E-3</v>
      </c>
      <c r="V416" s="5">
        <f>U416-V1274</f>
        <v>4.1117624406671752E-3</v>
      </c>
      <c r="X416" t="s">
        <v>532</v>
      </c>
      <c r="Y416">
        <v>3</v>
      </c>
      <c r="Z416" s="48">
        <f t="shared" si="46"/>
        <v>0</v>
      </c>
      <c r="AA416" s="5">
        <f>Z416-Y1274</f>
        <v>-4.2173194692741341E-3</v>
      </c>
      <c r="AD416" t="s">
        <v>542</v>
      </c>
      <c r="AE416">
        <v>71.760000000000005</v>
      </c>
      <c r="AF416" s="29">
        <f t="shared" si="47"/>
        <v>-2.0475020475020478E-2</v>
      </c>
    </row>
    <row r="417" spans="1:32">
      <c r="A417" s="220">
        <v>45175</v>
      </c>
      <c r="B417" s="222">
        <v>40.99</v>
      </c>
      <c r="C417" s="227">
        <f t="shared" si="42"/>
        <v>-1.7968375658840463E-2</v>
      </c>
      <c r="D417" s="5">
        <f>C417-C1275</f>
        <v>-1.8046421228399352E-2</v>
      </c>
      <c r="F417" s="8"/>
      <c r="H417" s="1">
        <v>45266</v>
      </c>
      <c r="I417">
        <v>10.45</v>
      </c>
      <c r="J417" s="227">
        <f t="shared" si="43"/>
        <v>-2.2450888681010306E-2</v>
      </c>
      <c r="K417" s="5">
        <f>J417-J1276</f>
        <v>-2.4586844596620264E-2</v>
      </c>
      <c r="M417" s="240" t="s">
        <v>543</v>
      </c>
      <c r="N417">
        <v>4372.59</v>
      </c>
      <c r="O417" s="227">
        <f t="shared" si="44"/>
        <v>-1.2031614337617236E-2</v>
      </c>
      <c r="P417" s="5">
        <f>O417-O1278</f>
        <v>-1.1665857136704065E-2</v>
      </c>
      <c r="Q417" s="8">
        <f t="shared" si="48"/>
        <v>1.3609222273398917E-4</v>
      </c>
      <c r="S417" t="s">
        <v>543</v>
      </c>
      <c r="T417">
        <v>3.4</v>
      </c>
      <c r="U417" s="29">
        <f t="shared" si="45"/>
        <v>-1.1627906976744207E-2</v>
      </c>
      <c r="V417" s="5">
        <f>U417-V1274</f>
        <v>-1.3364097752451246E-2</v>
      </c>
      <c r="X417" t="s">
        <v>533</v>
      </c>
      <c r="Y417">
        <v>3</v>
      </c>
      <c r="Z417" s="48">
        <f t="shared" si="46"/>
        <v>0</v>
      </c>
      <c r="AA417" s="5">
        <f>Z417-Y1274</f>
        <v>-4.2173194692741341E-3</v>
      </c>
      <c r="AD417" t="s">
        <v>543</v>
      </c>
      <c r="AE417">
        <v>71.5</v>
      </c>
      <c r="AF417" s="29">
        <f t="shared" si="47"/>
        <v>-3.6231884057971175E-3</v>
      </c>
    </row>
    <row r="418" spans="1:32">
      <c r="A418" s="220">
        <v>45144</v>
      </c>
      <c r="B418" s="222">
        <v>40.26</v>
      </c>
      <c r="C418" s="227">
        <f t="shared" si="42"/>
        <v>-1.7809221761405314E-2</v>
      </c>
      <c r="D418" s="5">
        <f>C418-C1275</f>
        <v>-1.7887267330964202E-2</v>
      </c>
      <c r="F418" s="8"/>
      <c r="H418" s="1">
        <v>45175</v>
      </c>
      <c r="I418">
        <v>10.45</v>
      </c>
      <c r="J418" s="227">
        <f t="shared" si="43"/>
        <v>0</v>
      </c>
      <c r="K418" s="5">
        <f>J418-J1276</f>
        <v>-2.1359559156099578E-3</v>
      </c>
      <c r="M418" s="240" t="s">
        <v>544</v>
      </c>
      <c r="N418">
        <v>4369.01</v>
      </c>
      <c r="O418" s="227">
        <f t="shared" si="44"/>
        <v>-8.1873672125676311E-4</v>
      </c>
      <c r="P418" s="5">
        <f>O418-O1278</f>
        <v>-4.5297952034359157E-4</v>
      </c>
      <c r="Q418" s="8">
        <f t="shared" si="48"/>
        <v>2.0519044585071029E-7</v>
      </c>
      <c r="S418" t="s">
        <v>544</v>
      </c>
      <c r="T418">
        <v>3.45</v>
      </c>
      <c r="U418" s="29">
        <f t="shared" si="45"/>
        <v>1.4705882352941346E-2</v>
      </c>
      <c r="V418" s="5">
        <f>U418-V1274</f>
        <v>1.2969691577234307E-2</v>
      </c>
      <c r="X418" t="s">
        <v>534</v>
      </c>
      <c r="Y418">
        <v>3</v>
      </c>
      <c r="Z418" s="48">
        <f t="shared" si="46"/>
        <v>0</v>
      </c>
      <c r="AA418" s="5">
        <f>Z418-Y1274</f>
        <v>-4.2173194692741341E-3</v>
      </c>
      <c r="AD418" t="s">
        <v>544</v>
      </c>
      <c r="AE418">
        <v>73.16</v>
      </c>
      <c r="AF418" s="29">
        <f t="shared" si="47"/>
        <v>2.321678321678311E-2</v>
      </c>
    </row>
    <row r="419" spans="1:32">
      <c r="A419" s="220">
        <v>45113</v>
      </c>
      <c r="B419" s="222">
        <v>38.99</v>
      </c>
      <c r="C419" s="227">
        <f t="shared" si="42"/>
        <v>-3.1544957774465865E-2</v>
      </c>
      <c r="D419" s="5">
        <f>C419-C1275</f>
        <v>-3.1623003344024757E-2</v>
      </c>
      <c r="F419" s="8"/>
      <c r="H419" s="1">
        <v>45144</v>
      </c>
      <c r="I419">
        <v>10.6</v>
      </c>
      <c r="J419" s="227">
        <f t="shared" si="43"/>
        <v>1.4354066985645897E-2</v>
      </c>
      <c r="K419" s="5">
        <f>J419-J1276</f>
        <v>1.2218111070035939E-2</v>
      </c>
      <c r="M419" s="241">
        <v>45266</v>
      </c>
      <c r="N419">
        <v>4338.93</v>
      </c>
      <c r="O419" s="227">
        <f t="shared" si="44"/>
        <v>-6.8848549213665899E-3</v>
      </c>
      <c r="P419" s="5">
        <f>O419-O1278</f>
        <v>-6.519097720453418E-3</v>
      </c>
      <c r="Q419" s="8">
        <f t="shared" si="48"/>
        <v>4.2498635088820948E-5</v>
      </c>
      <c r="S419" s="1">
        <v>45266</v>
      </c>
      <c r="T419">
        <v>3.44</v>
      </c>
      <c r="U419" s="29">
        <f t="shared" si="45"/>
        <v>-2.8985507246377384E-3</v>
      </c>
      <c r="V419" s="5">
        <f>U419-V1274</f>
        <v>-4.6347415003447764E-3</v>
      </c>
      <c r="X419" t="s">
        <v>535</v>
      </c>
      <c r="Y419">
        <v>2.99</v>
      </c>
      <c r="Z419" s="48">
        <f t="shared" si="46"/>
        <v>-3.3333333333332993E-3</v>
      </c>
      <c r="AA419" s="5">
        <f>Z419-Y1274</f>
        <v>-7.5506528026074334E-3</v>
      </c>
      <c r="AD419" s="1">
        <v>45266</v>
      </c>
      <c r="AE419">
        <v>72.37</v>
      </c>
      <c r="AF419" s="29">
        <f t="shared" si="47"/>
        <v>-1.0798250410059995E-2</v>
      </c>
    </row>
    <row r="420" spans="1:32">
      <c r="A420" s="220">
        <v>45083</v>
      </c>
      <c r="B420" s="222">
        <v>40.25</v>
      </c>
      <c r="C420" s="227">
        <f t="shared" si="42"/>
        <v>3.2315978456014305E-2</v>
      </c>
      <c r="D420" s="5">
        <f>C420-C1275</f>
        <v>3.2237932886455413E-2</v>
      </c>
      <c r="F420" s="8"/>
      <c r="H420" s="1">
        <v>45113</v>
      </c>
      <c r="I420">
        <v>10.3</v>
      </c>
      <c r="J420" s="227">
        <f t="shared" si="43"/>
        <v>-2.8301886792452713E-2</v>
      </c>
      <c r="K420" s="5">
        <f>J420-J1276</f>
        <v>-3.0437842708062671E-2</v>
      </c>
      <c r="M420" s="241">
        <v>45175</v>
      </c>
      <c r="N420">
        <v>4298.8599999999997</v>
      </c>
      <c r="O420" s="227">
        <f t="shared" si="44"/>
        <v>-9.2349957247525039E-3</v>
      </c>
      <c r="P420" s="5">
        <f>O420-O1278</f>
        <v>-8.8692385238393328E-3</v>
      </c>
      <c r="Q420" s="8">
        <f t="shared" si="48"/>
        <v>7.8663391992755708E-5</v>
      </c>
      <c r="S420" s="1">
        <v>45175</v>
      </c>
      <c r="T420">
        <v>3.44</v>
      </c>
      <c r="U420" s="29">
        <f t="shared" si="45"/>
        <v>0</v>
      </c>
      <c r="V420" s="5">
        <f>U420-V1274</f>
        <v>-1.736190775707038E-3</v>
      </c>
      <c r="X420" t="s">
        <v>536</v>
      </c>
      <c r="Y420">
        <v>2.95</v>
      </c>
      <c r="Z420" s="48">
        <f t="shared" si="46"/>
        <v>-1.3377926421404673E-2</v>
      </c>
      <c r="AA420" s="5">
        <f>Z420-Y1274</f>
        <v>-1.7595245890678807E-2</v>
      </c>
      <c r="AD420" s="1">
        <v>45175</v>
      </c>
      <c r="AE420">
        <v>71.78</v>
      </c>
      <c r="AF420" s="29">
        <f t="shared" si="47"/>
        <v>-8.152549398922293E-3</v>
      </c>
    </row>
    <row r="421" spans="1:32">
      <c r="A421" s="220">
        <v>45052</v>
      </c>
      <c r="B421" s="222">
        <v>40.42</v>
      </c>
      <c r="C421" s="227">
        <f t="shared" si="42"/>
        <v>4.2236024844721776E-3</v>
      </c>
      <c r="D421" s="5">
        <f>C421-C1275</f>
        <v>4.1455569149132883E-3</v>
      </c>
      <c r="F421" s="8"/>
      <c r="H421" s="1">
        <v>45083</v>
      </c>
      <c r="I421">
        <v>10.34</v>
      </c>
      <c r="J421" s="227">
        <f t="shared" si="43"/>
        <v>3.8834951456310218E-3</v>
      </c>
      <c r="K421" s="5">
        <f>J421-J1276</f>
        <v>1.747539230021064E-3</v>
      </c>
      <c r="M421" s="241">
        <v>45144</v>
      </c>
      <c r="N421">
        <v>4293.93</v>
      </c>
      <c r="O421" s="227">
        <f t="shared" si="44"/>
        <v>-1.1468156674093732E-3</v>
      </c>
      <c r="P421" s="5">
        <f>O421-O1278</f>
        <v>-7.8105846649620175E-4</v>
      </c>
      <c r="Q421" s="8">
        <f t="shared" si="48"/>
        <v>6.1005232808539835E-7</v>
      </c>
      <c r="S421" s="1">
        <v>45144</v>
      </c>
      <c r="T421">
        <v>3.4</v>
      </c>
      <c r="U421" s="29">
        <f t="shared" si="45"/>
        <v>-1.1627906976744207E-2</v>
      </c>
      <c r="V421" s="5">
        <f>U421-V1274</f>
        <v>-1.3364097752451246E-2</v>
      </c>
      <c r="X421" t="s">
        <v>537</v>
      </c>
      <c r="Y421">
        <v>2.77</v>
      </c>
      <c r="Z421" s="48">
        <f t="shared" si="46"/>
        <v>-6.101694915254241E-2</v>
      </c>
      <c r="AA421" s="5">
        <f>Z421-Y1274</f>
        <v>-6.5234268621816541E-2</v>
      </c>
      <c r="AD421" s="1">
        <v>45144</v>
      </c>
      <c r="AE421">
        <v>69.97</v>
      </c>
      <c r="AF421" s="29">
        <f t="shared" si="47"/>
        <v>-2.5215937587071635E-2</v>
      </c>
    </row>
    <row r="422" spans="1:32">
      <c r="A422" s="220">
        <v>44963</v>
      </c>
      <c r="B422" s="222">
        <v>39.729999999999997</v>
      </c>
      <c r="C422" s="227">
        <f t="shared" si="42"/>
        <v>-1.7070757050964946E-2</v>
      </c>
      <c r="D422" s="5">
        <f>C422-C1275</f>
        <v>-1.7148802620523835E-2</v>
      </c>
      <c r="F422" s="8"/>
      <c r="H422" s="1">
        <v>45052</v>
      </c>
      <c r="I422">
        <v>9.7200000000000006</v>
      </c>
      <c r="J422" s="227">
        <f t="shared" si="43"/>
        <v>-5.9961315280464111E-2</v>
      </c>
      <c r="K422" s="5">
        <f>J422-J1276</f>
        <v>-6.2097271196074069E-2</v>
      </c>
      <c r="M422" s="241">
        <v>45113</v>
      </c>
      <c r="N422">
        <v>4267.5200000000004</v>
      </c>
      <c r="O422" s="227">
        <f t="shared" si="44"/>
        <v>-6.1505427428951709E-3</v>
      </c>
      <c r="P422" s="5">
        <f>O422-O1278</f>
        <v>-5.784785541981999E-3</v>
      </c>
      <c r="Q422" s="8">
        <f t="shared" si="48"/>
        <v>3.3463743766723972E-5</v>
      </c>
      <c r="S422" s="1">
        <v>45113</v>
      </c>
      <c r="T422">
        <v>3.24</v>
      </c>
      <c r="U422" s="29">
        <f t="shared" si="45"/>
        <v>-4.7058823529411709E-2</v>
      </c>
      <c r="V422" s="5">
        <f>U422-V1274</f>
        <v>-4.8795014305118747E-2</v>
      </c>
      <c r="X422" t="s">
        <v>538</v>
      </c>
      <c r="Y422">
        <v>2.88</v>
      </c>
      <c r="Z422" s="48">
        <f t="shared" si="46"/>
        <v>3.971119133573997E-2</v>
      </c>
      <c r="AA422" s="5">
        <f>Z422-Y1274</f>
        <v>3.549387186646584E-2</v>
      </c>
      <c r="AD422" s="1">
        <v>45113</v>
      </c>
      <c r="AE422">
        <v>70.150000000000006</v>
      </c>
      <c r="AF422" s="29">
        <f t="shared" si="47"/>
        <v>2.57253108475064E-3</v>
      </c>
    </row>
    <row r="423" spans="1:32">
      <c r="A423" s="220">
        <v>44932</v>
      </c>
      <c r="B423" s="222">
        <v>38.479999999999997</v>
      </c>
      <c r="C423" s="227">
        <f t="shared" si="42"/>
        <v>-3.1462371004278844E-2</v>
      </c>
      <c r="D423" s="5">
        <f>C423-C1275</f>
        <v>-3.1540416573837736E-2</v>
      </c>
      <c r="F423" s="8"/>
      <c r="H423" s="1">
        <v>44963</v>
      </c>
      <c r="I423">
        <v>9.58</v>
      </c>
      <c r="J423" s="227">
        <f t="shared" si="43"/>
        <v>-1.440329218107006E-2</v>
      </c>
      <c r="K423" s="5">
        <f>J423-J1276</f>
        <v>-1.6539248096680018E-2</v>
      </c>
      <c r="M423" s="241">
        <v>45083</v>
      </c>
      <c r="N423">
        <v>4283.8500000000004</v>
      </c>
      <c r="O423" s="227">
        <f t="shared" si="44"/>
        <v>3.8265784343132214E-3</v>
      </c>
      <c r="P423" s="5">
        <f>O423-O1278</f>
        <v>4.1923356352263933E-3</v>
      </c>
      <c r="Q423" s="8">
        <f t="shared" si="48"/>
        <v>1.7575678078389086E-5</v>
      </c>
      <c r="S423" s="1">
        <v>45083</v>
      </c>
      <c r="T423">
        <v>3.23</v>
      </c>
      <c r="U423" s="29">
        <f t="shared" si="45"/>
        <v>-3.0864197530865445E-3</v>
      </c>
      <c r="V423" s="5">
        <f>U423-V1274</f>
        <v>-4.8226105287935825E-3</v>
      </c>
      <c r="X423" t="s">
        <v>539</v>
      </c>
      <c r="Y423">
        <v>2.92</v>
      </c>
      <c r="Z423" s="48">
        <f t="shared" si="46"/>
        <v>1.388888888888884E-2</v>
      </c>
      <c r="AA423" s="5">
        <f>Z423-Y1274</f>
        <v>9.6715694196147055E-3</v>
      </c>
      <c r="AD423" s="1">
        <v>45083</v>
      </c>
      <c r="AE423">
        <v>71.19</v>
      </c>
      <c r="AF423" s="29">
        <f t="shared" si="47"/>
        <v>1.4825374198146779E-2</v>
      </c>
    </row>
    <row r="424" spans="1:32">
      <c r="A424" s="3" t="s">
        <v>545</v>
      </c>
      <c r="B424" s="222">
        <v>37.93</v>
      </c>
      <c r="C424" s="227">
        <f t="shared" si="42"/>
        <v>-1.4293139293139245E-2</v>
      </c>
      <c r="D424" s="5">
        <f>C424-C1275</f>
        <v>-1.4371184862698134E-2</v>
      </c>
      <c r="F424" s="8"/>
      <c r="H424" s="1">
        <v>44932</v>
      </c>
      <c r="I424">
        <v>9.36</v>
      </c>
      <c r="J424" s="227">
        <f t="shared" si="43"/>
        <v>-2.2964509394572064E-2</v>
      </c>
      <c r="K424" s="5">
        <f>J424-J1276</f>
        <v>-2.5100465310182021E-2</v>
      </c>
      <c r="M424" s="241">
        <v>45052</v>
      </c>
      <c r="N424">
        <v>4273.79</v>
      </c>
      <c r="O424" s="227">
        <f t="shared" si="44"/>
        <v>-2.3483548677009081E-3</v>
      </c>
      <c r="P424" s="5">
        <f>O424-O1278</f>
        <v>-1.9825976667877366E-3</v>
      </c>
      <c r="Q424" s="8">
        <f t="shared" si="48"/>
        <v>3.9306935083521769E-6</v>
      </c>
      <c r="S424" s="1">
        <v>45052</v>
      </c>
      <c r="T424">
        <v>3.11</v>
      </c>
      <c r="U424" s="29">
        <f t="shared" si="45"/>
        <v>-3.7151702786377694E-2</v>
      </c>
      <c r="V424" s="5">
        <f>U424-V1274</f>
        <v>-3.8887893562084733E-2</v>
      </c>
      <c r="X424" t="s">
        <v>540</v>
      </c>
      <c r="Y424">
        <v>2.96</v>
      </c>
      <c r="Z424" s="48">
        <f t="shared" si="46"/>
        <v>1.3698630136986356E-2</v>
      </c>
      <c r="AA424" s="5">
        <f>Z424-Y1274</f>
        <v>9.4813106677122221E-3</v>
      </c>
      <c r="AD424" s="1">
        <v>45052</v>
      </c>
      <c r="AE424">
        <v>69.349999999999994</v>
      </c>
      <c r="AF424" s="29">
        <f t="shared" si="47"/>
        <v>-2.584632673128251E-2</v>
      </c>
    </row>
    <row r="425" spans="1:32">
      <c r="A425" s="3" t="s">
        <v>546</v>
      </c>
      <c r="B425" s="222">
        <v>37.56</v>
      </c>
      <c r="C425" s="227">
        <f t="shared" si="42"/>
        <v>-9.754811494858906E-3</v>
      </c>
      <c r="D425" s="5">
        <f>C425-C1275</f>
        <v>-9.8328570644177944E-3</v>
      </c>
      <c r="E425" s="1"/>
      <c r="F425" s="8"/>
      <c r="H425" t="s">
        <v>545</v>
      </c>
      <c r="I425">
        <v>9.02</v>
      </c>
      <c r="J425" s="227">
        <f t="shared" si="43"/>
        <v>-3.6324786324786307E-2</v>
      </c>
      <c r="K425" s="5">
        <f>J425-J1276</f>
        <v>-3.8460742240396265E-2</v>
      </c>
      <c r="M425" s="241">
        <v>44963</v>
      </c>
      <c r="N425">
        <v>4282.37</v>
      </c>
      <c r="O425" s="227">
        <f t="shared" si="44"/>
        <v>2.0075857728152346E-3</v>
      </c>
      <c r="P425" s="5">
        <f>O425-O1278</f>
        <v>2.3733429737284061E-3</v>
      </c>
      <c r="Q425" s="8">
        <f t="shared" si="48"/>
        <v>5.6327568709459936E-6</v>
      </c>
      <c r="S425" s="1">
        <v>44963</v>
      </c>
      <c r="T425">
        <v>3.02</v>
      </c>
      <c r="U425" s="29">
        <f t="shared" si="45"/>
        <v>-2.8938906752411508E-2</v>
      </c>
      <c r="V425" s="5">
        <f>U425-V1274</f>
        <v>-3.0675097528118547E-2</v>
      </c>
      <c r="X425" t="s">
        <v>541</v>
      </c>
      <c r="Y425">
        <v>2.97</v>
      </c>
      <c r="Z425" s="48">
        <f t="shared" si="46"/>
        <v>3.3783783783785104E-3</v>
      </c>
      <c r="AA425" s="5">
        <f>Z425-Y1274</f>
        <v>-8.3894109089562366E-4</v>
      </c>
      <c r="AD425" s="1">
        <v>44963</v>
      </c>
      <c r="AE425">
        <v>67.88</v>
      </c>
      <c r="AF425" s="29">
        <f t="shared" si="47"/>
        <v>-2.1196827685652453E-2</v>
      </c>
    </row>
    <row r="426" spans="1:32">
      <c r="A426" s="3" t="s">
        <v>547</v>
      </c>
      <c r="B426" s="222">
        <v>38.450000000000003</v>
      </c>
      <c r="C426" s="227">
        <f t="shared" si="42"/>
        <v>2.3695420660276856E-2</v>
      </c>
      <c r="D426" s="5">
        <f>C426-C1275</f>
        <v>2.3617375090717967E-2</v>
      </c>
      <c r="E426" s="1"/>
      <c r="F426" s="8"/>
      <c r="H426" t="s">
        <v>546</v>
      </c>
      <c r="I426">
        <v>8.93</v>
      </c>
      <c r="J426" s="227">
        <f t="shared" si="43"/>
        <v>-9.9778270509978118E-3</v>
      </c>
      <c r="K426" s="5">
        <f>J426-J1276</f>
        <v>-1.211378296660777E-2</v>
      </c>
      <c r="M426" s="241">
        <v>44932</v>
      </c>
      <c r="N426">
        <v>4221.0200000000004</v>
      </c>
      <c r="O426" s="227">
        <f t="shared" si="44"/>
        <v>-1.4326179195165212E-2</v>
      </c>
      <c r="P426" s="5">
        <f>O426-O1278</f>
        <v>-1.3960421994252041E-2</v>
      </c>
      <c r="Q426" s="8">
        <f t="shared" si="48"/>
        <v>1.9489338225759612E-4</v>
      </c>
      <c r="S426" s="1">
        <v>44932</v>
      </c>
      <c r="T426">
        <v>2.98</v>
      </c>
      <c r="U426" s="29">
        <f t="shared" si="45"/>
        <v>-1.3245033112582738E-2</v>
      </c>
      <c r="V426" s="5">
        <f>U426-V1274</f>
        <v>-1.4981223888289777E-2</v>
      </c>
      <c r="X426" t="s">
        <v>542</v>
      </c>
      <c r="Y426">
        <v>3</v>
      </c>
      <c r="Z426" s="48">
        <f t="shared" si="46"/>
        <v>1.0101010101009944E-2</v>
      </c>
      <c r="AA426" s="5">
        <f>Z426-Y1274</f>
        <v>5.8836906317358099E-3</v>
      </c>
      <c r="AD426" s="1">
        <v>44932</v>
      </c>
      <c r="AE426">
        <v>67.569999999999993</v>
      </c>
      <c r="AF426" s="29">
        <f t="shared" si="47"/>
        <v>-4.5668827342368878E-3</v>
      </c>
    </row>
    <row r="427" spans="1:32">
      <c r="A427" s="3" t="s">
        <v>548</v>
      </c>
      <c r="B427" s="222">
        <v>37.950000000000003</v>
      </c>
      <c r="C427" s="227">
        <f t="shared" si="42"/>
        <v>-1.3003901170351106E-2</v>
      </c>
      <c r="D427" s="5">
        <f>C427-C1275</f>
        <v>-1.3081946739909995E-2</v>
      </c>
      <c r="E427" s="1"/>
      <c r="F427" s="8"/>
      <c r="H427" t="s">
        <v>547</v>
      </c>
      <c r="I427">
        <v>8.3800000000000008</v>
      </c>
      <c r="J427" s="227">
        <f t="shared" si="43"/>
        <v>-6.1590145576707611E-2</v>
      </c>
      <c r="K427" s="5">
        <f>J427-J1276</f>
        <v>-6.3726101492317569E-2</v>
      </c>
      <c r="M427" s="240" t="s">
        <v>545</v>
      </c>
      <c r="N427">
        <v>4179.83</v>
      </c>
      <c r="O427" s="227">
        <f t="shared" si="44"/>
        <v>-9.7583048647010839E-3</v>
      </c>
      <c r="P427" s="5">
        <f>O427-O1278</f>
        <v>-9.3925476637879129E-3</v>
      </c>
      <c r="Q427" s="8">
        <f t="shared" si="48"/>
        <v>8.8219951616527783E-5</v>
      </c>
      <c r="S427" t="s">
        <v>545</v>
      </c>
      <c r="T427">
        <v>2.98</v>
      </c>
      <c r="U427" s="29">
        <f t="shared" si="45"/>
        <v>0</v>
      </c>
      <c r="V427" s="5">
        <f>U427-V1274</f>
        <v>-1.736190775707038E-3</v>
      </c>
      <c r="X427" t="s">
        <v>543</v>
      </c>
      <c r="Y427">
        <v>2.88</v>
      </c>
      <c r="Z427" s="48">
        <f t="shared" si="46"/>
        <v>-4.0000000000000036E-2</v>
      </c>
      <c r="AA427" s="5">
        <f>Z427-Y1274</f>
        <v>-4.4217319469274166E-2</v>
      </c>
      <c r="AD427" t="s">
        <v>545</v>
      </c>
      <c r="AE427">
        <v>65.290000000000006</v>
      </c>
      <c r="AF427" s="29">
        <f t="shared" si="47"/>
        <v>-3.3742785259730512E-2</v>
      </c>
    </row>
    <row r="428" spans="1:32">
      <c r="A428" s="3" t="s">
        <v>549</v>
      </c>
      <c r="B428" s="222">
        <v>37.96</v>
      </c>
      <c r="C428" s="227">
        <f t="shared" si="42"/>
        <v>2.6350461133062275E-4</v>
      </c>
      <c r="D428" s="5">
        <f>C428-C1275</f>
        <v>1.8545904177173355E-4</v>
      </c>
      <c r="E428" s="1"/>
      <c r="F428" s="8"/>
      <c r="H428" t="s">
        <v>548</v>
      </c>
      <c r="I428">
        <v>8.14</v>
      </c>
      <c r="J428" s="227">
        <f t="shared" si="43"/>
        <v>-2.863961813842486E-2</v>
      </c>
      <c r="K428" s="5">
        <f>J428-J1276</f>
        <v>-3.0775574054034818E-2</v>
      </c>
      <c r="M428" s="240" t="s">
        <v>546</v>
      </c>
      <c r="N428">
        <v>4205.5200000000004</v>
      </c>
      <c r="O428" s="227">
        <f t="shared" si="44"/>
        <v>6.1461829787337052E-3</v>
      </c>
      <c r="P428" s="5">
        <f>O428-O1278</f>
        <v>6.5119401796468772E-3</v>
      </c>
      <c r="Q428" s="8">
        <f t="shared" si="48"/>
        <v>4.2405364903299402E-5</v>
      </c>
      <c r="S428" t="s">
        <v>546</v>
      </c>
      <c r="T428">
        <v>2.92</v>
      </c>
      <c r="U428" s="29">
        <f t="shared" si="45"/>
        <v>-2.0134228187919434E-2</v>
      </c>
      <c r="V428" s="5">
        <f>U428-V1274</f>
        <v>-2.1870418963626473E-2</v>
      </c>
      <c r="X428" t="s">
        <v>544</v>
      </c>
      <c r="Y428">
        <v>2.97</v>
      </c>
      <c r="Z428" s="48">
        <f t="shared" si="46"/>
        <v>3.125E-2</v>
      </c>
      <c r="AA428" s="5">
        <f>Z428-Y1274</f>
        <v>2.7032680530725866E-2</v>
      </c>
      <c r="AD428" t="s">
        <v>546</v>
      </c>
      <c r="AE428">
        <v>64.94</v>
      </c>
      <c r="AF428" s="29">
        <f t="shared" si="47"/>
        <v>-5.3606984224231491E-3</v>
      </c>
    </row>
    <row r="429" spans="1:32">
      <c r="A429" s="3" t="s">
        <v>550</v>
      </c>
      <c r="B429" s="222">
        <v>38.659999999999997</v>
      </c>
      <c r="C429" s="227">
        <f t="shared" si="42"/>
        <v>1.8440463645942984E-2</v>
      </c>
      <c r="D429" s="5">
        <f>C429-C1275</f>
        <v>1.8362418076384095E-2</v>
      </c>
      <c r="E429" s="1"/>
      <c r="F429" s="8"/>
      <c r="H429" t="s">
        <v>549</v>
      </c>
      <c r="I429">
        <v>7.99</v>
      </c>
      <c r="J429" s="227">
        <f t="shared" si="43"/>
        <v>-1.8427518427518441E-2</v>
      </c>
      <c r="K429" s="5">
        <f>J429-J1276</f>
        <v>-2.0563474343128399E-2</v>
      </c>
      <c r="M429" s="240" t="s">
        <v>547</v>
      </c>
      <c r="N429">
        <v>4205.45</v>
      </c>
      <c r="O429" s="227">
        <f t="shared" si="44"/>
        <v>-1.6644790656217268E-5</v>
      </c>
      <c r="P429" s="5">
        <f>O429-O1278</f>
        <v>3.4911241025695428E-4</v>
      </c>
      <c r="Q429" s="8">
        <f t="shared" si="48"/>
        <v>1.2187947499541997E-7</v>
      </c>
      <c r="S429" t="s">
        <v>547</v>
      </c>
      <c r="T429">
        <v>3.04</v>
      </c>
      <c r="U429" s="29">
        <f t="shared" si="45"/>
        <v>4.1095890410958846E-2</v>
      </c>
      <c r="V429" s="5">
        <f>U429-V1274</f>
        <v>3.9359699635251807E-2</v>
      </c>
      <c r="X429" s="1">
        <v>45266</v>
      </c>
      <c r="Y429">
        <v>2.95</v>
      </c>
      <c r="Z429" s="48">
        <f t="shared" si="46"/>
        <v>-6.7340067340067034E-3</v>
      </c>
      <c r="AA429" s="5">
        <f>Z429-Y1274</f>
        <v>-1.0951326203280837E-2</v>
      </c>
      <c r="AD429" t="s">
        <v>547</v>
      </c>
      <c r="AE429">
        <v>67.44</v>
      </c>
      <c r="AF429" s="29">
        <f t="shared" si="47"/>
        <v>3.8497074222359151E-2</v>
      </c>
    </row>
    <row r="430" spans="1:32">
      <c r="A430" s="3" t="s">
        <v>551</v>
      </c>
      <c r="B430" s="222">
        <v>39.17</v>
      </c>
      <c r="C430" s="227">
        <f t="shared" si="42"/>
        <v>1.3191929643042055E-2</v>
      </c>
      <c r="D430" s="5">
        <f>C430-C1275</f>
        <v>1.3113884073483167E-2</v>
      </c>
      <c r="E430" s="1"/>
      <c r="F430" s="8"/>
      <c r="H430" t="s">
        <v>550</v>
      </c>
      <c r="I430">
        <v>8.11</v>
      </c>
      <c r="J430" s="227">
        <f t="shared" si="43"/>
        <v>1.5018773466833446E-2</v>
      </c>
      <c r="K430" s="5">
        <f>J430-J1276</f>
        <v>1.2882817551223488E-2</v>
      </c>
      <c r="M430" s="240" t="s">
        <v>548</v>
      </c>
      <c r="N430">
        <v>4151.28</v>
      </c>
      <c r="O430" s="227">
        <f t="shared" si="44"/>
        <v>-1.2880904540536697E-2</v>
      </c>
      <c r="P430" s="5">
        <f>O430-O1278</f>
        <v>-1.2515147339623526E-2</v>
      </c>
      <c r="Q430" s="8">
        <f t="shared" si="48"/>
        <v>1.5662891293248584E-4</v>
      </c>
      <c r="S430" t="s">
        <v>548</v>
      </c>
      <c r="T430">
        <v>3</v>
      </c>
      <c r="U430" s="29">
        <f t="shared" si="45"/>
        <v>-1.3157894736842146E-2</v>
      </c>
      <c r="V430" s="5">
        <f>U430-V1274</f>
        <v>-1.4894085512549185E-2</v>
      </c>
      <c r="X430" s="1">
        <v>45175</v>
      </c>
      <c r="Y430">
        <v>2.95</v>
      </c>
      <c r="Z430" s="48">
        <f t="shared" si="46"/>
        <v>0</v>
      </c>
      <c r="AA430" s="5">
        <f>Z430-Y1274</f>
        <v>-4.2173194692741341E-3</v>
      </c>
      <c r="AD430" t="s">
        <v>548</v>
      </c>
      <c r="AE430">
        <v>66.5</v>
      </c>
      <c r="AF430" s="29">
        <f t="shared" si="47"/>
        <v>-1.393831553973901E-2</v>
      </c>
    </row>
    <row r="431" spans="1:32">
      <c r="A431" s="3" t="s">
        <v>552</v>
      </c>
      <c r="B431" s="222">
        <v>39.18</v>
      </c>
      <c r="C431" s="227">
        <f t="shared" si="42"/>
        <v>2.5529742149599244E-4</v>
      </c>
      <c r="D431" s="5">
        <f>C431-C1275</f>
        <v>1.7725185193710323E-4</v>
      </c>
      <c r="E431" s="1"/>
      <c r="F431" s="8"/>
      <c r="H431" t="s">
        <v>551</v>
      </c>
      <c r="I431">
        <v>8.1</v>
      </c>
      <c r="J431" s="227">
        <f t="shared" si="43"/>
        <v>-1.2330456226880004E-3</v>
      </c>
      <c r="K431" s="5">
        <f>J431-J1276</f>
        <v>-3.3690015382979582E-3</v>
      </c>
      <c r="M431" s="240" t="s">
        <v>549</v>
      </c>
      <c r="N431">
        <v>4115.24</v>
      </c>
      <c r="O431" s="227">
        <f t="shared" si="44"/>
        <v>-8.6816596326916295E-3</v>
      </c>
      <c r="P431" s="5">
        <f>O431-O1278</f>
        <v>-8.3159024317784585E-3</v>
      </c>
      <c r="Q431" s="8">
        <f t="shared" si="48"/>
        <v>6.9154233254858878E-5</v>
      </c>
      <c r="S431" t="s">
        <v>549</v>
      </c>
      <c r="T431">
        <v>3.05</v>
      </c>
      <c r="U431" s="29">
        <f t="shared" si="45"/>
        <v>1.6666666666666607E-2</v>
      </c>
      <c r="V431" s="5">
        <f>U431-V1274</f>
        <v>1.4930475890959569E-2</v>
      </c>
      <c r="X431" s="1">
        <v>45144</v>
      </c>
      <c r="Y431">
        <v>2.95</v>
      </c>
      <c r="Z431" s="48">
        <f t="shared" si="46"/>
        <v>0</v>
      </c>
      <c r="AA431" s="5">
        <f>Z431-Y1274</f>
        <v>-4.2173194692741341E-3</v>
      </c>
      <c r="AD431" t="s">
        <v>549</v>
      </c>
      <c r="AE431">
        <v>66</v>
      </c>
      <c r="AF431" s="29">
        <f t="shared" si="47"/>
        <v>-7.5187969924812581E-3</v>
      </c>
    </row>
    <row r="432" spans="1:32">
      <c r="A432" s="3" t="s">
        <v>553</v>
      </c>
      <c r="B432" s="222">
        <v>39.25</v>
      </c>
      <c r="C432" s="227">
        <f t="shared" si="42"/>
        <v>1.7866258295049509E-3</v>
      </c>
      <c r="D432" s="5">
        <f>C432-C1275</f>
        <v>1.7085802599460615E-3</v>
      </c>
      <c r="E432" s="1"/>
      <c r="F432" s="8"/>
      <c r="H432" t="s">
        <v>552</v>
      </c>
      <c r="I432">
        <v>8.11</v>
      </c>
      <c r="J432" s="227">
        <f t="shared" si="43"/>
        <v>1.2345679012344402E-3</v>
      </c>
      <c r="K432" s="5">
        <f>J432-J1276</f>
        <v>-9.0138801437551763E-4</v>
      </c>
      <c r="M432" s="240" t="s">
        <v>550</v>
      </c>
      <c r="N432">
        <v>4145.58</v>
      </c>
      <c r="O432" s="227">
        <f t="shared" si="44"/>
        <v>7.372595522982861E-3</v>
      </c>
      <c r="P432" s="5">
        <f>O432-O1278</f>
        <v>7.738352723896033E-3</v>
      </c>
      <c r="Q432" s="8">
        <f t="shared" si="48"/>
        <v>5.9882102879429151E-5</v>
      </c>
      <c r="S432" t="s">
        <v>550</v>
      </c>
      <c r="T432">
        <v>3.01</v>
      </c>
      <c r="U432" s="29">
        <f t="shared" si="45"/>
        <v>-1.3114754098360715E-2</v>
      </c>
      <c r="V432" s="5">
        <f>U432-V1274</f>
        <v>-1.4850944874067754E-2</v>
      </c>
      <c r="X432" s="1">
        <v>45113</v>
      </c>
      <c r="Y432">
        <v>2.89</v>
      </c>
      <c r="Z432" s="48">
        <f t="shared" si="46"/>
        <v>-2.033898305084747E-2</v>
      </c>
      <c r="AA432" s="5">
        <f>Z432-Y1274</f>
        <v>-2.4556302520121604E-2</v>
      </c>
      <c r="AD432" t="s">
        <v>550</v>
      </c>
      <c r="AE432">
        <v>66.03</v>
      </c>
      <c r="AF432" s="29">
        <f t="shared" si="47"/>
        <v>4.5454545454548523E-4</v>
      </c>
    </row>
    <row r="433" spans="1:32">
      <c r="A433" s="3" t="s">
        <v>554</v>
      </c>
      <c r="B433" s="222">
        <v>37.840000000000003</v>
      </c>
      <c r="C433" s="227">
        <f t="shared" si="42"/>
        <v>-3.5923566878980795E-2</v>
      </c>
      <c r="D433" s="5">
        <f>C433-C1275</f>
        <v>-3.6001612448539687E-2</v>
      </c>
      <c r="E433" s="1"/>
      <c r="F433" s="8"/>
      <c r="H433" t="s">
        <v>553</v>
      </c>
      <c r="I433">
        <v>8.34</v>
      </c>
      <c r="J433" s="227">
        <f t="shared" si="43"/>
        <v>2.8360049321825009E-2</v>
      </c>
      <c r="K433" s="5">
        <f>J433-J1276</f>
        <v>2.6224093406215052E-2</v>
      </c>
      <c r="M433" s="240" t="s">
        <v>551</v>
      </c>
      <c r="N433">
        <v>4192.63</v>
      </c>
      <c r="O433" s="227">
        <f t="shared" si="44"/>
        <v>1.1349437231943371E-2</v>
      </c>
      <c r="P433" s="5">
        <f>O433-O1278</f>
        <v>1.1715194432856542E-2</v>
      </c>
      <c r="Q433" s="8">
        <f t="shared" si="48"/>
        <v>1.3724578059963292E-4</v>
      </c>
      <c r="S433" t="s">
        <v>551</v>
      </c>
      <c r="T433">
        <v>3.06</v>
      </c>
      <c r="U433" s="29">
        <f t="shared" si="45"/>
        <v>1.6611295681063121E-2</v>
      </c>
      <c r="V433" s="5">
        <f>U433-V1274</f>
        <v>1.4875104905356082E-2</v>
      </c>
      <c r="X433" s="1">
        <v>45083</v>
      </c>
      <c r="Y433">
        <v>2.97</v>
      </c>
      <c r="Z433" s="48">
        <f t="shared" si="46"/>
        <v>2.7681660899653959E-2</v>
      </c>
      <c r="AA433" s="5">
        <f>Z433-Y1274</f>
        <v>2.3464341430379825E-2</v>
      </c>
      <c r="AD433" t="s">
        <v>551</v>
      </c>
      <c r="AE433">
        <v>65.63</v>
      </c>
      <c r="AF433" s="29">
        <f t="shared" si="47"/>
        <v>-6.0578524912918708E-3</v>
      </c>
    </row>
    <row r="434" spans="1:32">
      <c r="A434" s="3" t="s">
        <v>555</v>
      </c>
      <c r="B434" s="222">
        <v>37.44</v>
      </c>
      <c r="C434" s="227">
        <f t="shared" si="42"/>
        <v>-1.0570824524313016E-2</v>
      </c>
      <c r="D434" s="5">
        <f>C434-C1275</f>
        <v>-1.0648870093871905E-2</v>
      </c>
      <c r="E434" s="1"/>
      <c r="F434" s="8"/>
      <c r="H434" t="s">
        <v>554</v>
      </c>
      <c r="I434">
        <v>8.36</v>
      </c>
      <c r="J434" s="227">
        <f t="shared" si="43"/>
        <v>2.3980815347721673E-3</v>
      </c>
      <c r="K434" s="5">
        <f>J434-J1276</f>
        <v>2.6212561916220956E-4</v>
      </c>
      <c r="M434" s="240" t="s">
        <v>552</v>
      </c>
      <c r="N434">
        <v>4191.9799999999996</v>
      </c>
      <c r="O434" s="227">
        <f t="shared" si="44"/>
        <v>-1.5503395243576801E-4</v>
      </c>
      <c r="P434" s="5">
        <f>O434-O1278</f>
        <v>2.1072324847740354E-4</v>
      </c>
      <c r="Q434" s="8">
        <f t="shared" si="48"/>
        <v>4.4404287448869553E-8</v>
      </c>
      <c r="S434" t="s">
        <v>552</v>
      </c>
      <c r="T434">
        <v>2.7549999999999999</v>
      </c>
      <c r="U434" s="29">
        <f t="shared" si="45"/>
        <v>-9.9673202614379175E-2</v>
      </c>
      <c r="V434" s="5">
        <f>U434-V1274</f>
        <v>-0.10140939339008621</v>
      </c>
      <c r="X434" s="1">
        <v>45052</v>
      </c>
      <c r="Y434">
        <v>2.91</v>
      </c>
      <c r="Z434" s="48">
        <f t="shared" si="46"/>
        <v>-2.0202020202020221E-2</v>
      </c>
      <c r="AA434" s="5">
        <f>Z434-Y1274</f>
        <v>-2.4419339671294355E-2</v>
      </c>
      <c r="AD434" t="s">
        <v>552</v>
      </c>
      <c r="AE434">
        <v>66.98</v>
      </c>
      <c r="AF434" s="29">
        <f t="shared" si="47"/>
        <v>2.0569861343897822E-2</v>
      </c>
    </row>
    <row r="435" spans="1:32">
      <c r="A435" s="3" t="s">
        <v>556</v>
      </c>
      <c r="B435" s="222">
        <v>38.14</v>
      </c>
      <c r="C435" s="227">
        <f t="shared" si="42"/>
        <v>1.8696581196581352E-2</v>
      </c>
      <c r="D435" s="5">
        <f>C435-C1275</f>
        <v>1.8618535627022464E-2</v>
      </c>
      <c r="F435" s="8"/>
      <c r="H435" t="s">
        <v>555</v>
      </c>
      <c r="I435">
        <v>8.24</v>
      </c>
      <c r="J435" s="227">
        <f t="shared" si="43"/>
        <v>-1.4354066985645786E-2</v>
      </c>
      <c r="K435" s="5">
        <f>J435-J1276</f>
        <v>-1.6490022901255744E-2</v>
      </c>
      <c r="M435" s="240" t="s">
        <v>553</v>
      </c>
      <c r="N435">
        <v>4198.05</v>
      </c>
      <c r="O435" s="227">
        <f t="shared" si="44"/>
        <v>1.4480030916179665E-3</v>
      </c>
      <c r="P435" s="5">
        <f>O435-O1278</f>
        <v>1.813760292531138E-3</v>
      </c>
      <c r="Q435" s="8">
        <f t="shared" si="48"/>
        <v>3.2897263987626391E-6</v>
      </c>
      <c r="S435" t="s">
        <v>553</v>
      </c>
      <c r="T435">
        <v>2.7450000000000001</v>
      </c>
      <c r="U435" s="29">
        <f t="shared" si="45"/>
        <v>-3.6297640653356611E-3</v>
      </c>
      <c r="V435" s="5">
        <f>U435-V1274</f>
        <v>-5.3659548410426991E-3</v>
      </c>
      <c r="X435" s="1">
        <v>44963</v>
      </c>
      <c r="Y435">
        <v>2.79</v>
      </c>
      <c r="Z435" s="48">
        <f t="shared" si="46"/>
        <v>-4.1237113402061931E-2</v>
      </c>
      <c r="AA435" s="5">
        <f>Z435-Y1274</f>
        <v>-4.5454432871336062E-2</v>
      </c>
      <c r="AD435" t="s">
        <v>553</v>
      </c>
      <c r="AE435">
        <v>66.97</v>
      </c>
      <c r="AF435" s="29">
        <f t="shared" si="47"/>
        <v>-1.4929829799947836E-4</v>
      </c>
    </row>
    <row r="436" spans="1:32">
      <c r="A436" s="220">
        <v>45265</v>
      </c>
      <c r="B436" s="222">
        <v>38.450000000000003</v>
      </c>
      <c r="C436" s="227">
        <f t="shared" si="42"/>
        <v>8.1279496591506462E-3</v>
      </c>
      <c r="D436" s="5">
        <f>C436-C1275</f>
        <v>8.0499040895917577E-3</v>
      </c>
      <c r="F436" s="8"/>
      <c r="H436" t="s">
        <v>556</v>
      </c>
      <c r="I436">
        <v>8.5399999999999991</v>
      </c>
      <c r="J436" s="227">
        <f t="shared" si="43"/>
        <v>3.6407766990291135E-2</v>
      </c>
      <c r="K436" s="5">
        <f>J436-J1276</f>
        <v>3.4271811074681177E-2</v>
      </c>
      <c r="M436" s="240" t="s">
        <v>554</v>
      </c>
      <c r="N436">
        <v>4158.7700000000004</v>
      </c>
      <c r="O436" s="227">
        <f t="shared" si="44"/>
        <v>-9.3567251461987855E-3</v>
      </c>
      <c r="P436" s="5">
        <f>O436-O1278</f>
        <v>-8.9909679452856144E-3</v>
      </c>
      <c r="Q436" s="8">
        <f t="shared" si="48"/>
        <v>8.083750459315342E-5</v>
      </c>
      <c r="S436" t="s">
        <v>554</v>
      </c>
      <c r="T436">
        <v>3.22</v>
      </c>
      <c r="U436" s="29">
        <f t="shared" si="45"/>
        <v>0.17304189435336981</v>
      </c>
      <c r="V436" s="5">
        <f>U436-V1274</f>
        <v>0.17130570357766278</v>
      </c>
      <c r="X436" s="1">
        <v>44932</v>
      </c>
      <c r="Y436">
        <v>2.84</v>
      </c>
      <c r="Z436" s="48">
        <f t="shared" si="46"/>
        <v>1.7921146953404854E-2</v>
      </c>
      <c r="AA436" s="5">
        <f>Z436-Y1274</f>
        <v>1.370382748413072E-2</v>
      </c>
      <c r="AD436" t="s">
        <v>554</v>
      </c>
      <c r="AE436">
        <v>65.22</v>
      </c>
      <c r="AF436" s="29">
        <f t="shared" si="47"/>
        <v>-2.6131103479169804E-2</v>
      </c>
    </row>
    <row r="437" spans="1:32">
      <c r="A437" s="220">
        <v>45235</v>
      </c>
      <c r="B437" s="222">
        <v>38.42</v>
      </c>
      <c r="C437" s="227">
        <f t="shared" si="42"/>
        <v>-7.8023407022109748E-4</v>
      </c>
      <c r="D437" s="5">
        <f>C437-C1275</f>
        <v>-8.5827963977998668E-4</v>
      </c>
      <c r="F437" s="8"/>
      <c r="H437" s="1">
        <v>45265</v>
      </c>
      <c r="I437">
        <v>8.19</v>
      </c>
      <c r="J437" s="227">
        <f t="shared" si="43"/>
        <v>-4.0983606557376984E-2</v>
      </c>
      <c r="K437" s="5">
        <f>J437-J1276</f>
        <v>-4.3119562472986941E-2</v>
      </c>
      <c r="M437" s="240" t="s">
        <v>555</v>
      </c>
      <c r="N437">
        <v>4109.8999999999996</v>
      </c>
      <c r="O437" s="227">
        <f t="shared" si="44"/>
        <v>-1.1751070629056337E-2</v>
      </c>
      <c r="P437" s="5">
        <f>O437-O1278</f>
        <v>-1.1385313428143166E-2</v>
      </c>
      <c r="Q437" s="8">
        <f t="shared" si="48"/>
        <v>1.2962536185705709E-4</v>
      </c>
      <c r="S437" t="s">
        <v>555</v>
      </c>
      <c r="T437">
        <v>3.16</v>
      </c>
      <c r="U437" s="29">
        <f t="shared" si="45"/>
        <v>-1.8633540372670843E-2</v>
      </c>
      <c r="V437" s="5">
        <f>U437-V1274</f>
        <v>-2.0369731148377881E-2</v>
      </c>
      <c r="X437" t="s">
        <v>545</v>
      </c>
      <c r="Y437">
        <v>2.56</v>
      </c>
      <c r="Z437" s="48">
        <f t="shared" si="46"/>
        <v>-9.8591549295774628E-2</v>
      </c>
      <c r="AA437" s="5">
        <f>Z437-Y1274</f>
        <v>-0.10280886876504876</v>
      </c>
      <c r="AD437" t="s">
        <v>555</v>
      </c>
      <c r="AE437">
        <v>64.180000000000007</v>
      </c>
      <c r="AF437" s="29">
        <f t="shared" si="47"/>
        <v>-1.5946028825513547E-2</v>
      </c>
    </row>
    <row r="438" spans="1:32">
      <c r="A438" s="220">
        <v>45204</v>
      </c>
      <c r="B438" s="222">
        <v>38.79</v>
      </c>
      <c r="C438" s="227">
        <f t="shared" si="42"/>
        <v>9.6304008328995661E-3</v>
      </c>
      <c r="D438" s="5">
        <f>C438-C1275</f>
        <v>9.5523552633406776E-3</v>
      </c>
      <c r="F438" s="8"/>
      <c r="H438" s="1">
        <v>45235</v>
      </c>
      <c r="I438">
        <v>8.41</v>
      </c>
      <c r="J438" s="227">
        <f t="shared" si="43"/>
        <v>2.6862026862026989E-2</v>
      </c>
      <c r="K438" s="5">
        <f>J438-J1276</f>
        <v>2.4726070946417031E-2</v>
      </c>
      <c r="M438" s="240" t="s">
        <v>556</v>
      </c>
      <c r="N438">
        <v>4136.28</v>
      </c>
      <c r="O438" s="227">
        <f t="shared" si="44"/>
        <v>6.418647655660692E-3</v>
      </c>
      <c r="P438" s="5">
        <f>O438-O1278</f>
        <v>6.7844048565738639E-3</v>
      </c>
      <c r="Q438" s="8">
        <f t="shared" si="48"/>
        <v>4.6028149257903028E-5</v>
      </c>
      <c r="S438" t="s">
        <v>556</v>
      </c>
      <c r="T438">
        <v>3.28</v>
      </c>
      <c r="U438" s="29">
        <f t="shared" si="45"/>
        <v>3.7974683544303778E-2</v>
      </c>
      <c r="V438" s="5">
        <f>U438-V1274</f>
        <v>3.6238492768596739E-2</v>
      </c>
      <c r="X438" t="s">
        <v>546</v>
      </c>
      <c r="Y438">
        <v>2.5</v>
      </c>
      <c r="Z438" s="48">
        <f t="shared" si="46"/>
        <v>-2.34375E-2</v>
      </c>
      <c r="AA438" s="5">
        <f>Z438-Y1274</f>
        <v>-2.7654819469274134E-2</v>
      </c>
      <c r="AD438" t="s">
        <v>556</v>
      </c>
      <c r="AE438">
        <v>66.2</v>
      </c>
      <c r="AF438" s="29">
        <f t="shared" si="47"/>
        <v>3.1473979432845134E-2</v>
      </c>
    </row>
    <row r="439" spans="1:32">
      <c r="A439" s="220">
        <v>45174</v>
      </c>
      <c r="B439" s="222">
        <v>38.19</v>
      </c>
      <c r="C439" s="227">
        <f t="shared" si="42"/>
        <v>-1.5467904098994678E-2</v>
      </c>
      <c r="D439" s="5">
        <f>C439-C1275</f>
        <v>-1.5545949668553567E-2</v>
      </c>
      <c r="F439" s="8"/>
      <c r="H439" s="1">
        <v>45204</v>
      </c>
      <c r="I439">
        <v>8.86</v>
      </c>
      <c r="J439" s="227">
        <f t="shared" si="43"/>
        <v>5.3507728894173434E-2</v>
      </c>
      <c r="K439" s="5">
        <f>J439-J1276</f>
        <v>5.1371772978563476E-2</v>
      </c>
      <c r="M439" s="241">
        <v>45265</v>
      </c>
      <c r="N439">
        <v>4124.08</v>
      </c>
      <c r="O439" s="227">
        <f t="shared" si="44"/>
        <v>-2.949510187898241E-3</v>
      </c>
      <c r="P439" s="5">
        <f>O439-O1278</f>
        <v>-2.5837529869850696E-3</v>
      </c>
      <c r="Q439" s="8">
        <f t="shared" si="48"/>
        <v>6.6757794977542686E-6</v>
      </c>
      <c r="S439" s="1">
        <v>45265</v>
      </c>
      <c r="T439">
        <v>3.17</v>
      </c>
      <c r="U439" s="29">
        <f t="shared" si="45"/>
        <v>-3.3536585365853577E-2</v>
      </c>
      <c r="V439" s="5">
        <f>U439-V1274</f>
        <v>-3.5272776141560616E-2</v>
      </c>
      <c r="X439" t="s">
        <v>547</v>
      </c>
      <c r="Y439">
        <v>2.64</v>
      </c>
      <c r="Z439" s="48">
        <f t="shared" si="46"/>
        <v>5.600000000000005E-2</v>
      </c>
      <c r="AA439" s="5">
        <f>Z439-Y1274</f>
        <v>5.1782680530725919E-2</v>
      </c>
      <c r="AD439" s="1">
        <v>45265</v>
      </c>
      <c r="AE439">
        <v>65.87</v>
      </c>
      <c r="AF439" s="29">
        <f t="shared" si="47"/>
        <v>-4.9848942598187396E-3</v>
      </c>
    </row>
    <row r="440" spans="1:32">
      <c r="A440" s="220">
        <v>45143</v>
      </c>
      <c r="B440" s="222">
        <v>38.83</v>
      </c>
      <c r="C440" s="227">
        <f t="shared" si="42"/>
        <v>1.6758313694684501E-2</v>
      </c>
      <c r="D440" s="5">
        <f>C440-C1275</f>
        <v>1.6680268125125613E-2</v>
      </c>
      <c r="F440" s="8"/>
      <c r="H440" s="1">
        <v>45174</v>
      </c>
      <c r="I440">
        <v>8.6199999999999992</v>
      </c>
      <c r="J440" s="227">
        <f t="shared" si="43"/>
        <v>-2.7088036117381531E-2</v>
      </c>
      <c r="K440" s="5">
        <f>J440-J1276</f>
        <v>-2.9223992032991489E-2</v>
      </c>
      <c r="M440" s="241">
        <v>45235</v>
      </c>
      <c r="N440">
        <v>4130.62</v>
      </c>
      <c r="O440" s="227">
        <f t="shared" si="44"/>
        <v>1.5858082287443231E-3</v>
      </c>
      <c r="P440" s="5">
        <f>O440-O1278</f>
        <v>1.9515654296574946E-3</v>
      </c>
      <c r="Q440" s="8">
        <f t="shared" si="48"/>
        <v>3.8086076262342416E-6</v>
      </c>
      <c r="S440" s="1">
        <v>45235</v>
      </c>
      <c r="T440">
        <v>3.21</v>
      </c>
      <c r="U440" s="29">
        <f t="shared" si="45"/>
        <v>1.2618296529968376E-2</v>
      </c>
      <c r="V440" s="5">
        <f>U440-V1274</f>
        <v>1.0882105754261337E-2</v>
      </c>
      <c r="X440" t="s">
        <v>548</v>
      </c>
      <c r="Y440">
        <v>2.66</v>
      </c>
      <c r="Z440" s="48">
        <f t="shared" si="46"/>
        <v>7.575757575757569E-3</v>
      </c>
      <c r="AA440" s="5">
        <f>Z440-Y1274</f>
        <v>3.358438106483435E-3</v>
      </c>
      <c r="AD440" s="1">
        <v>45235</v>
      </c>
      <c r="AE440">
        <v>67.22</v>
      </c>
      <c r="AF440" s="29">
        <f t="shared" si="47"/>
        <v>2.0494914224988614E-2</v>
      </c>
    </row>
    <row r="441" spans="1:32">
      <c r="A441" s="220">
        <v>45051</v>
      </c>
      <c r="B441" s="222">
        <v>37.75</v>
      </c>
      <c r="C441" s="227">
        <f t="shared" si="42"/>
        <v>-2.7813546227143937E-2</v>
      </c>
      <c r="D441" s="5">
        <f>C441-C1275</f>
        <v>-2.7891591796702826E-2</v>
      </c>
      <c r="F441" s="8"/>
      <c r="H441" s="1">
        <v>45143</v>
      </c>
      <c r="I441">
        <v>8.5399999999999991</v>
      </c>
      <c r="J441" s="227">
        <f t="shared" si="43"/>
        <v>-9.2807424593968069E-3</v>
      </c>
      <c r="K441" s="5">
        <f>J441-J1276</f>
        <v>-1.1416698375006765E-2</v>
      </c>
      <c r="M441" s="241">
        <v>45204</v>
      </c>
      <c r="N441">
        <v>4137.6400000000003</v>
      </c>
      <c r="O441" s="227">
        <f t="shared" si="44"/>
        <v>1.6995027380879435E-3</v>
      </c>
      <c r="P441" s="5">
        <f>O441-O1278</f>
        <v>2.065259939001115E-3</v>
      </c>
      <c r="Q441" s="8">
        <f t="shared" si="48"/>
        <v>4.2652986156428889E-6</v>
      </c>
      <c r="S441" s="1">
        <v>45204</v>
      </c>
      <c r="T441">
        <v>3.19</v>
      </c>
      <c r="U441" s="29">
        <f t="shared" si="45"/>
        <v>-6.230529595015577E-3</v>
      </c>
      <c r="V441" s="5">
        <f>U441-V1274</f>
        <v>-7.9667203707226159E-3</v>
      </c>
      <c r="X441" t="s">
        <v>549</v>
      </c>
      <c r="Y441">
        <v>2.79</v>
      </c>
      <c r="Z441" s="48">
        <f t="shared" si="46"/>
        <v>4.8872180451127845E-2</v>
      </c>
      <c r="AA441" s="5">
        <f>Z441-Y1274</f>
        <v>4.4654860981853714E-2</v>
      </c>
      <c r="AD441" s="1">
        <v>45204</v>
      </c>
      <c r="AE441">
        <v>68.760000000000005</v>
      </c>
      <c r="AF441" s="29">
        <f t="shared" si="47"/>
        <v>2.2909848259446752E-2</v>
      </c>
    </row>
    <row r="442" spans="1:32">
      <c r="A442" s="220">
        <v>45021</v>
      </c>
      <c r="B442" s="222">
        <v>37.49</v>
      </c>
      <c r="C442" s="227">
        <f t="shared" si="42"/>
        <v>-6.8874172185430238E-3</v>
      </c>
      <c r="D442" s="5">
        <f>C442-C1275</f>
        <v>-6.9654627881019131E-3</v>
      </c>
      <c r="F442" s="8"/>
      <c r="H442" s="1">
        <v>45051</v>
      </c>
      <c r="I442">
        <v>8.6300000000000008</v>
      </c>
      <c r="J442" s="227">
        <f t="shared" si="43"/>
        <v>1.0538641686182793E-2</v>
      </c>
      <c r="K442" s="5">
        <f>J442-J1276</f>
        <v>8.4026857705728347E-3</v>
      </c>
      <c r="M442" s="241">
        <v>45174</v>
      </c>
      <c r="N442">
        <v>4119.17</v>
      </c>
      <c r="O442" s="227">
        <f t="shared" si="44"/>
        <v>-4.4638972941097865E-3</v>
      </c>
      <c r="P442" s="5">
        <f>O442-O1278</f>
        <v>-4.0981400931966146E-3</v>
      </c>
      <c r="Q442" s="8">
        <f t="shared" si="48"/>
        <v>1.6794752223465556E-5</v>
      </c>
      <c r="S442" s="1">
        <v>45174</v>
      </c>
      <c r="T442">
        <v>3.19</v>
      </c>
      <c r="U442" s="29">
        <f t="shared" si="45"/>
        <v>0</v>
      </c>
      <c r="V442" s="5">
        <f>U442-V1274</f>
        <v>-1.736190775707038E-3</v>
      </c>
      <c r="X442" t="s">
        <v>550</v>
      </c>
      <c r="Y442">
        <v>2.99</v>
      </c>
      <c r="Z442" s="48">
        <f t="shared" si="46"/>
        <v>7.1684587813620082E-2</v>
      </c>
      <c r="AA442" s="5">
        <f>Z442-Y1274</f>
        <v>6.7467268344345951E-2</v>
      </c>
      <c r="AD442" s="1">
        <v>45174</v>
      </c>
      <c r="AE442">
        <v>67.3</v>
      </c>
      <c r="AF442" s="29">
        <f t="shared" si="47"/>
        <v>-2.1233275159976861E-2</v>
      </c>
    </row>
    <row r="443" spans="1:32">
      <c r="A443" s="220">
        <v>44990</v>
      </c>
      <c r="B443" s="222">
        <v>37.840000000000003</v>
      </c>
      <c r="C443" s="227">
        <f t="shared" si="42"/>
        <v>9.3358228861029069E-3</v>
      </c>
      <c r="D443" s="5">
        <f>C443-C1275</f>
        <v>9.2577773165440184E-3</v>
      </c>
      <c r="F443" s="8"/>
      <c r="H443" s="1">
        <v>45021</v>
      </c>
      <c r="I443">
        <v>10.69</v>
      </c>
      <c r="J443" s="227">
        <f t="shared" si="43"/>
        <v>0.23870220162224776</v>
      </c>
      <c r="K443" s="5">
        <f>J443-J1276</f>
        <v>0.23656624570663781</v>
      </c>
      <c r="M443" s="241">
        <v>45143</v>
      </c>
      <c r="N443">
        <v>4138.12</v>
      </c>
      <c r="O443" s="227">
        <f t="shared" si="44"/>
        <v>4.6004413510487563E-3</v>
      </c>
      <c r="P443" s="5">
        <f>O443-O1278</f>
        <v>4.9661985519619282E-3</v>
      </c>
      <c r="Q443" s="8">
        <f t="shared" si="48"/>
        <v>2.4663128057508754E-5</v>
      </c>
      <c r="S443" s="1">
        <v>45143</v>
      </c>
      <c r="T443">
        <v>3.34</v>
      </c>
      <c r="U443" s="29">
        <f t="shared" si="45"/>
        <v>4.7021943573667624E-2</v>
      </c>
      <c r="V443" s="5">
        <f>U443-V1274</f>
        <v>4.5285752797960585E-2</v>
      </c>
      <c r="X443" t="s">
        <v>551</v>
      </c>
      <c r="Y443">
        <v>3.03</v>
      </c>
      <c r="Z443" s="48">
        <f t="shared" si="46"/>
        <v>1.3377926421404451E-2</v>
      </c>
      <c r="AA443" s="5">
        <f>Z443-Y1274</f>
        <v>9.1606069521303173E-3</v>
      </c>
      <c r="AD443" s="1">
        <v>45143</v>
      </c>
      <c r="AE443">
        <v>66.77</v>
      </c>
      <c r="AF443" s="29">
        <f t="shared" si="47"/>
        <v>-7.875185735512602E-3</v>
      </c>
    </row>
    <row r="444" spans="1:32">
      <c r="A444" s="220">
        <v>44962</v>
      </c>
      <c r="B444" s="222">
        <v>36.520000000000003</v>
      </c>
      <c r="C444" s="227">
        <f t="shared" si="42"/>
        <v>-3.4883720930232509E-2</v>
      </c>
      <c r="D444" s="5">
        <f>C444-C1275</f>
        <v>-3.4961766499791401E-2</v>
      </c>
      <c r="F444" s="8"/>
      <c r="H444" s="1">
        <v>44990</v>
      </c>
      <c r="I444">
        <v>10.89</v>
      </c>
      <c r="J444" s="227">
        <f t="shared" si="43"/>
        <v>1.8709073900841977E-2</v>
      </c>
      <c r="K444" s="5">
        <f>J444-J1276</f>
        <v>1.6573117985232019E-2</v>
      </c>
      <c r="M444" s="241">
        <v>45051</v>
      </c>
      <c r="N444">
        <v>4136.25</v>
      </c>
      <c r="O444" s="227">
        <f t="shared" si="44"/>
        <v>-4.5189603008122248E-4</v>
      </c>
      <c r="P444" s="5">
        <f>O444-O1278</f>
        <v>-8.6138829168050932E-5</v>
      </c>
      <c r="Q444" s="8">
        <f t="shared" si="48"/>
        <v>7.4198978904426619E-9</v>
      </c>
      <c r="S444" s="1">
        <v>45051</v>
      </c>
      <c r="T444">
        <v>3.02</v>
      </c>
      <c r="U444" s="29">
        <f t="shared" si="45"/>
        <v>-9.5808383233532912E-2</v>
      </c>
      <c r="V444" s="5">
        <f>U444-V1274</f>
        <v>-9.7544574009239951E-2</v>
      </c>
      <c r="X444" t="s">
        <v>552</v>
      </c>
      <c r="Y444">
        <v>3.09</v>
      </c>
      <c r="Z444" s="48">
        <f t="shared" si="46"/>
        <v>1.980198019801982E-2</v>
      </c>
      <c r="AA444" s="5">
        <f>Z444-Y1274</f>
        <v>1.5584660728745686E-2</v>
      </c>
      <c r="AD444" s="1">
        <v>45051</v>
      </c>
      <c r="AE444">
        <v>62.9</v>
      </c>
      <c r="AF444" s="29">
        <f t="shared" si="47"/>
        <v>-5.796016174928853E-2</v>
      </c>
    </row>
    <row r="445" spans="1:32">
      <c r="A445" s="220">
        <v>44931</v>
      </c>
      <c r="B445" s="222">
        <v>32.74</v>
      </c>
      <c r="C445" s="227">
        <f t="shared" si="42"/>
        <v>-0.1035049288061336</v>
      </c>
      <c r="D445" s="5">
        <f>C445-C1275</f>
        <v>-0.10358297437569249</v>
      </c>
      <c r="F445" s="8"/>
      <c r="H445" s="1">
        <v>44962</v>
      </c>
      <c r="I445">
        <v>10.64</v>
      </c>
      <c r="J445" s="227">
        <f t="shared" si="43"/>
        <v>-2.2956841138659367E-2</v>
      </c>
      <c r="K445" s="5">
        <f>J445-J1276</f>
        <v>-2.5092797054269325E-2</v>
      </c>
      <c r="M445" s="241">
        <v>45021</v>
      </c>
      <c r="N445">
        <v>4061.22</v>
      </c>
      <c r="O445" s="227">
        <f t="shared" si="44"/>
        <v>-1.8139619220308267E-2</v>
      </c>
      <c r="P445" s="5">
        <f>O445-O1278</f>
        <v>-1.7773862019395095E-2</v>
      </c>
      <c r="Q445" s="8">
        <f t="shared" si="48"/>
        <v>3.1591017108449545E-4</v>
      </c>
      <c r="S445" s="1">
        <v>45021</v>
      </c>
      <c r="T445">
        <v>2.98</v>
      </c>
      <c r="U445" s="29">
        <f t="shared" si="45"/>
        <v>-1.3245033112582738E-2</v>
      </c>
      <c r="V445" s="5">
        <f>U445-V1274</f>
        <v>-1.4981223888289777E-2</v>
      </c>
      <c r="X445" t="s">
        <v>553</v>
      </c>
      <c r="Y445">
        <v>3.19</v>
      </c>
      <c r="Z445" s="48">
        <f t="shared" si="46"/>
        <v>3.2362459546925626E-2</v>
      </c>
      <c r="AA445" s="5">
        <f>Z445-Y1274</f>
        <v>2.8145140077651492E-2</v>
      </c>
      <c r="AD445" s="1">
        <v>45021</v>
      </c>
      <c r="AE445">
        <v>62.83</v>
      </c>
      <c r="AF445" s="29">
        <f t="shared" si="47"/>
        <v>-1.1128775834657878E-3</v>
      </c>
    </row>
    <row r="446" spans="1:32">
      <c r="A446" s="3" t="s">
        <v>557</v>
      </c>
      <c r="B446" s="222">
        <v>31.05</v>
      </c>
      <c r="C446" s="227">
        <f t="shared" si="42"/>
        <v>-5.1618814905314614E-2</v>
      </c>
      <c r="D446" s="5">
        <f>C446-C1275</f>
        <v>-5.1696860474873506E-2</v>
      </c>
      <c r="F446" s="8"/>
      <c r="H446" s="1">
        <v>44931</v>
      </c>
      <c r="I446">
        <v>10.59</v>
      </c>
      <c r="J446" s="227">
        <f t="shared" si="43"/>
        <v>-4.6992481203008696E-3</v>
      </c>
      <c r="K446" s="5">
        <f>J446-J1276</f>
        <v>-6.8352040359108274E-3</v>
      </c>
      <c r="M446" s="241">
        <v>44990</v>
      </c>
      <c r="N446">
        <v>4090.75</v>
      </c>
      <c r="O446" s="227">
        <f t="shared" si="44"/>
        <v>7.2712140686788107E-3</v>
      </c>
      <c r="P446" s="5">
        <f>O446-O1278</f>
        <v>7.6369712695919826E-3</v>
      </c>
      <c r="Q446" s="8">
        <f t="shared" si="48"/>
        <v>5.8323330172573381E-5</v>
      </c>
      <c r="S446" s="1">
        <v>44990</v>
      </c>
      <c r="T446">
        <v>2.87</v>
      </c>
      <c r="U446" s="29">
        <f t="shared" si="45"/>
        <v>-3.6912751677852351E-2</v>
      </c>
      <c r="V446" s="5">
        <f>U446-V1274</f>
        <v>-3.864894245355939E-2</v>
      </c>
      <c r="X446" t="s">
        <v>554</v>
      </c>
      <c r="Y446">
        <v>3.3</v>
      </c>
      <c r="Z446" s="48">
        <f t="shared" si="46"/>
        <v>3.4482758620689724E-2</v>
      </c>
      <c r="AA446" s="5">
        <f>Z446-Y1274</f>
        <v>3.026543915141559E-2</v>
      </c>
      <c r="AD446" s="1">
        <v>44990</v>
      </c>
      <c r="AE446">
        <v>62.36</v>
      </c>
      <c r="AF446" s="29">
        <f t="shared" si="47"/>
        <v>-7.4805029444532378E-3</v>
      </c>
    </row>
    <row r="447" spans="1:32">
      <c r="A447" s="3" t="s">
        <v>558</v>
      </c>
      <c r="B447" s="222">
        <v>29.7</v>
      </c>
      <c r="C447" s="227">
        <f t="shared" si="42"/>
        <v>-4.3478260869565299E-2</v>
      </c>
      <c r="D447" s="5">
        <f>C447-C1275</f>
        <v>-4.3556306439124191E-2</v>
      </c>
      <c r="E447" s="1"/>
      <c r="F447" s="8"/>
      <c r="H447" t="s">
        <v>557</v>
      </c>
      <c r="I447">
        <v>10.25</v>
      </c>
      <c r="J447" s="227">
        <f t="shared" si="43"/>
        <v>-3.2105760151085905E-2</v>
      </c>
      <c r="K447" s="5">
        <f>J447-J1276</f>
        <v>-3.4241716066695863E-2</v>
      </c>
      <c r="M447" s="241">
        <v>44962</v>
      </c>
      <c r="N447">
        <v>4119.58</v>
      </c>
      <c r="O447" s="227">
        <f t="shared" si="44"/>
        <v>7.047607406954759E-3</v>
      </c>
      <c r="P447" s="5">
        <f>O447-O1278</f>
        <v>7.4133646078679309E-3</v>
      </c>
      <c r="Q447" s="8">
        <f t="shared" si="48"/>
        <v>5.4957974809188844E-5</v>
      </c>
      <c r="S447" s="1">
        <v>44962</v>
      </c>
      <c r="T447">
        <v>2.94</v>
      </c>
      <c r="U447" s="29">
        <f t="shared" si="45"/>
        <v>2.4390243902439046E-2</v>
      </c>
      <c r="V447" s="5">
        <f>U447-V1274</f>
        <v>2.2654053126732007E-2</v>
      </c>
      <c r="X447" t="s">
        <v>555</v>
      </c>
      <c r="Y447">
        <v>3.21</v>
      </c>
      <c r="Z447" s="48">
        <f t="shared" si="46"/>
        <v>-2.7272727272727226E-2</v>
      </c>
      <c r="AA447" s="5">
        <f>Z447-Y1274</f>
        <v>-3.1490046742001357E-2</v>
      </c>
      <c r="AD447" s="1">
        <v>44962</v>
      </c>
      <c r="AE447">
        <v>61.62</v>
      </c>
      <c r="AF447" s="29">
        <f t="shared" si="47"/>
        <v>-1.1866581141757537E-2</v>
      </c>
    </row>
    <row r="448" spans="1:32">
      <c r="A448" s="3" t="s">
        <v>559</v>
      </c>
      <c r="B448" s="222">
        <v>29.68</v>
      </c>
      <c r="C448" s="227">
        <f t="shared" si="42"/>
        <v>-6.7340067340060372E-4</v>
      </c>
      <c r="D448" s="5">
        <f>C448-C1275</f>
        <v>-7.5144624295949293E-4</v>
      </c>
      <c r="E448" s="1"/>
      <c r="F448" s="8"/>
      <c r="H448" t="s">
        <v>558</v>
      </c>
      <c r="I448">
        <v>10.199999999999999</v>
      </c>
      <c r="J448" s="227">
        <f t="shared" si="43"/>
        <v>-4.8780487804879202E-3</v>
      </c>
      <c r="K448" s="5">
        <f>J448-J1276</f>
        <v>-7.014004696097878E-3</v>
      </c>
      <c r="M448" s="241">
        <v>44931</v>
      </c>
      <c r="N448">
        <v>4167.87</v>
      </c>
      <c r="O448" s="227">
        <f t="shared" si="44"/>
        <v>1.1722068754581816E-2</v>
      </c>
      <c r="P448" s="5">
        <f>O448-O1278</f>
        <v>1.2087825955494987E-2</v>
      </c>
      <c r="Q448" s="8">
        <f t="shared" si="48"/>
        <v>1.4611553633033829E-4</v>
      </c>
      <c r="S448" s="1">
        <v>44931</v>
      </c>
      <c r="T448">
        <v>2.94</v>
      </c>
      <c r="U448" s="29">
        <f t="shared" si="45"/>
        <v>0</v>
      </c>
      <c r="V448" s="5">
        <f>U448-V1274</f>
        <v>-1.736190775707038E-3</v>
      </c>
      <c r="X448" t="s">
        <v>556</v>
      </c>
      <c r="Y448">
        <v>3.26</v>
      </c>
      <c r="Z448" s="48">
        <f t="shared" si="46"/>
        <v>1.5576323987538832E-2</v>
      </c>
      <c r="AA448" s="5">
        <f>Z448-Y1274</f>
        <v>1.1359004518264697E-2</v>
      </c>
      <c r="AD448" s="1">
        <v>44931</v>
      </c>
      <c r="AE448">
        <v>62.2</v>
      </c>
      <c r="AF448" s="29">
        <f t="shared" si="47"/>
        <v>9.4125283998702791E-3</v>
      </c>
    </row>
    <row r="449" spans="1:32">
      <c r="A449" s="3" t="s">
        <v>560</v>
      </c>
      <c r="B449" s="222">
        <v>29.59</v>
      </c>
      <c r="C449" s="227">
        <f t="shared" si="42"/>
        <v>-3.0323450134770447E-3</v>
      </c>
      <c r="D449" s="5">
        <f>C449-C1275</f>
        <v>-3.110390583035934E-3</v>
      </c>
      <c r="E449" s="1"/>
      <c r="F449" s="8"/>
      <c r="H449" t="s">
        <v>559</v>
      </c>
      <c r="I449">
        <v>10.050000000000001</v>
      </c>
      <c r="J449" s="227">
        <f t="shared" si="43"/>
        <v>-1.4705882352941013E-2</v>
      </c>
      <c r="K449" s="5">
        <f>J449-J1276</f>
        <v>-1.6841838268550971E-2</v>
      </c>
      <c r="M449" s="240" t="s">
        <v>557</v>
      </c>
      <c r="N449">
        <v>4169.4799999999996</v>
      </c>
      <c r="O449" s="227">
        <f t="shared" si="44"/>
        <v>3.8628843989840789E-4</v>
      </c>
      <c r="P449" s="5">
        <f>O449-O1278</f>
        <v>7.5204564081157938E-4</v>
      </c>
      <c r="Q449" s="8">
        <f t="shared" si="48"/>
        <v>5.6557264586369908E-7</v>
      </c>
      <c r="S449" t="s">
        <v>557</v>
      </c>
      <c r="T449">
        <v>2.91</v>
      </c>
      <c r="U449" s="29">
        <f t="shared" si="45"/>
        <v>-1.0204081632652962E-2</v>
      </c>
      <c r="V449" s="5">
        <f>U449-V1274</f>
        <v>-1.194027240836E-2</v>
      </c>
      <c r="X449" s="1">
        <v>45265</v>
      </c>
      <c r="Y449">
        <v>3.26</v>
      </c>
      <c r="Z449" s="48">
        <f t="shared" si="46"/>
        <v>0</v>
      </c>
      <c r="AA449" s="5">
        <f>Z449-Y1274</f>
        <v>-4.2173194692741341E-3</v>
      </c>
      <c r="AD449" t="s">
        <v>557</v>
      </c>
      <c r="AE449">
        <v>61.19</v>
      </c>
      <c r="AF449" s="29">
        <f t="shared" si="47"/>
        <v>-1.6237942122186544E-2</v>
      </c>
    </row>
    <row r="450" spans="1:32">
      <c r="A450" s="3" t="s">
        <v>561</v>
      </c>
      <c r="B450" s="222">
        <v>30.68</v>
      </c>
      <c r="C450" s="227">
        <f t="shared" si="42"/>
        <v>3.6836769178776541E-2</v>
      </c>
      <c r="D450" s="5">
        <f>C450-C1275</f>
        <v>3.6758723609217649E-2</v>
      </c>
      <c r="E450" s="1"/>
      <c r="F450" s="8"/>
      <c r="H450" t="s">
        <v>560</v>
      </c>
      <c r="I450">
        <v>9.9600000000000009</v>
      </c>
      <c r="J450" s="227">
        <f t="shared" si="43"/>
        <v>-8.9552238805969964E-3</v>
      </c>
      <c r="K450" s="5">
        <f>J450-J1276</f>
        <v>-1.1091179796206954E-2</v>
      </c>
      <c r="M450" s="240" t="s">
        <v>558</v>
      </c>
      <c r="N450">
        <v>4135.3500000000004</v>
      </c>
      <c r="O450" s="227">
        <f t="shared" si="44"/>
        <v>-8.1856730335675421E-3</v>
      </c>
      <c r="P450" s="5">
        <f>O450-O1278</f>
        <v>-7.819915832654371E-3</v>
      </c>
      <c r="Q450" s="8">
        <f t="shared" si="48"/>
        <v>6.1151083629798505E-5</v>
      </c>
      <c r="S450" t="s">
        <v>558</v>
      </c>
      <c r="T450">
        <v>2.79</v>
      </c>
      <c r="U450" s="29">
        <f t="shared" si="45"/>
        <v>-4.1237113402061931E-2</v>
      </c>
      <c r="V450" s="5">
        <f>U450-V1274</f>
        <v>-4.297330417776897E-2</v>
      </c>
      <c r="X450" s="1">
        <v>45235</v>
      </c>
      <c r="Y450">
        <v>3.35</v>
      </c>
      <c r="Z450" s="48">
        <f t="shared" si="46"/>
        <v>2.7607361963190247E-2</v>
      </c>
      <c r="AA450" s="5">
        <f>Z450-Y1274</f>
        <v>2.3390042493916113E-2</v>
      </c>
      <c r="AD450" t="s">
        <v>558</v>
      </c>
      <c r="AE450">
        <v>58.42</v>
      </c>
      <c r="AF450" s="29">
        <f t="shared" si="47"/>
        <v>-4.5268834776924227E-2</v>
      </c>
    </row>
    <row r="451" spans="1:32">
      <c r="A451" s="3" t="s">
        <v>562</v>
      </c>
      <c r="B451" s="222">
        <v>30.83</v>
      </c>
      <c r="C451" s="227">
        <f t="shared" si="42"/>
        <v>4.889178617992096E-3</v>
      </c>
      <c r="D451" s="5">
        <f>C451-C1275</f>
        <v>4.8111330484332067E-3</v>
      </c>
      <c r="E451" s="1"/>
      <c r="F451" s="8"/>
      <c r="H451" t="s">
        <v>561</v>
      </c>
      <c r="I451">
        <v>10.220000000000001</v>
      </c>
      <c r="J451" s="227">
        <f t="shared" si="43"/>
        <v>2.6104417670682611E-2</v>
      </c>
      <c r="K451" s="5">
        <f>J451-J1276</f>
        <v>2.3968461755072654E-2</v>
      </c>
      <c r="M451" s="240" t="s">
        <v>559</v>
      </c>
      <c r="N451">
        <v>4055.99</v>
      </c>
      <c r="O451" s="227">
        <f t="shared" si="44"/>
        <v>-1.919063682638722E-2</v>
      </c>
      <c r="P451" s="5">
        <f>O451-O1278</f>
        <v>-1.8824879625474047E-2</v>
      </c>
      <c r="Q451" s="8">
        <f t="shared" si="48"/>
        <v>3.543760929135879E-4</v>
      </c>
      <c r="S451" t="s">
        <v>559</v>
      </c>
      <c r="T451">
        <v>2.76</v>
      </c>
      <c r="U451" s="29">
        <f t="shared" si="45"/>
        <v>-1.0752688172043112E-2</v>
      </c>
      <c r="V451" s="5">
        <f>U451-V1274</f>
        <v>-1.2488878947750151E-2</v>
      </c>
      <c r="X451" s="1">
        <v>45204</v>
      </c>
      <c r="Y451">
        <v>3.41</v>
      </c>
      <c r="Z451" s="48">
        <f t="shared" si="46"/>
        <v>1.7910447761193993E-2</v>
      </c>
      <c r="AA451" s="5">
        <f>Z451-Y1274</f>
        <v>1.3693128291919859E-2</v>
      </c>
      <c r="AD451" t="s">
        <v>559</v>
      </c>
      <c r="AE451">
        <v>57.5</v>
      </c>
      <c r="AF451" s="29">
        <f t="shared" si="47"/>
        <v>-1.5748031496063075E-2</v>
      </c>
    </row>
    <row r="452" spans="1:32">
      <c r="A452" s="3" t="s">
        <v>563</v>
      </c>
      <c r="B452" s="222">
        <v>31.5</v>
      </c>
      <c r="C452" s="227">
        <f t="shared" si="42"/>
        <v>2.1732079143691241E-2</v>
      </c>
      <c r="D452" s="5">
        <f>C452-C1275</f>
        <v>2.1654033574132352E-2</v>
      </c>
      <c r="E452" s="1"/>
      <c r="F452" s="8"/>
      <c r="H452" t="s">
        <v>562</v>
      </c>
      <c r="I452">
        <v>10.44</v>
      </c>
      <c r="J452" s="227">
        <f t="shared" si="43"/>
        <v>2.1526418786692592E-2</v>
      </c>
      <c r="K452" s="5">
        <f>J452-J1276</f>
        <v>1.9390462871082634E-2</v>
      </c>
      <c r="M452" s="240" t="s">
        <v>560</v>
      </c>
      <c r="N452">
        <v>4071.63</v>
      </c>
      <c r="O452" s="227">
        <f t="shared" si="44"/>
        <v>3.8560252860584399E-3</v>
      </c>
      <c r="P452" s="5">
        <f>O452-O1278</f>
        <v>4.2217824869716118E-3</v>
      </c>
      <c r="Q452" s="8">
        <f t="shared" si="48"/>
        <v>1.7823447367300206E-5</v>
      </c>
      <c r="S452" t="s">
        <v>560</v>
      </c>
      <c r="T452">
        <v>2.77</v>
      </c>
      <c r="U452" s="29">
        <f t="shared" si="45"/>
        <v>3.6231884057971175E-3</v>
      </c>
      <c r="V452" s="5">
        <f>U452-V1274</f>
        <v>1.8869976300900796E-3</v>
      </c>
      <c r="X452" s="1">
        <v>45174</v>
      </c>
      <c r="Y452">
        <v>3.31</v>
      </c>
      <c r="Z452" s="48">
        <f t="shared" si="46"/>
        <v>-2.9325513196480912E-2</v>
      </c>
      <c r="AA452" s="5">
        <f>Z452-Y1274</f>
        <v>-3.3542832665755043E-2</v>
      </c>
      <c r="AD452" t="s">
        <v>560</v>
      </c>
      <c r="AE452">
        <v>56.82</v>
      </c>
      <c r="AF452" s="29">
        <f t="shared" si="47"/>
        <v>-1.1826086956521764E-2</v>
      </c>
    </row>
    <row r="453" spans="1:32">
      <c r="A453" s="3" t="s">
        <v>564</v>
      </c>
      <c r="B453" s="222">
        <v>32.04</v>
      </c>
      <c r="C453" s="227">
        <f t="shared" si="42"/>
        <v>1.7142857142857126E-2</v>
      </c>
      <c r="D453" s="5">
        <f>C453-C1275</f>
        <v>1.7064811573298238E-2</v>
      </c>
      <c r="E453" s="1"/>
      <c r="F453" s="8"/>
      <c r="H453" t="s">
        <v>563</v>
      </c>
      <c r="I453">
        <v>9.84</v>
      </c>
      <c r="J453" s="227">
        <f t="shared" si="43"/>
        <v>-5.7471264367816022E-2</v>
      </c>
      <c r="K453" s="5">
        <f>J453-J1276</f>
        <v>-5.960722028342598E-2</v>
      </c>
      <c r="M453" s="240" t="s">
        <v>561</v>
      </c>
      <c r="N453">
        <v>4137.04</v>
      </c>
      <c r="O453" s="227">
        <f t="shared" si="44"/>
        <v>1.606481924929315E-2</v>
      </c>
      <c r="P453" s="5">
        <f>O453-O1278</f>
        <v>1.6430576450206322E-2</v>
      </c>
      <c r="Q453" s="8">
        <f t="shared" si="48"/>
        <v>2.6996384248607457E-4</v>
      </c>
      <c r="S453" t="s">
        <v>561</v>
      </c>
      <c r="T453">
        <v>2.92</v>
      </c>
      <c r="U453" s="29">
        <f t="shared" si="45"/>
        <v>5.4151624548736343E-2</v>
      </c>
      <c r="V453" s="5">
        <f>U453-V1274</f>
        <v>5.2415433773029305E-2</v>
      </c>
      <c r="X453" s="1">
        <v>45143</v>
      </c>
      <c r="Y453">
        <v>3.5</v>
      </c>
      <c r="Z453" s="48">
        <f t="shared" si="46"/>
        <v>5.7401812688821829E-2</v>
      </c>
      <c r="AA453" s="5">
        <f>Z453-Y1274</f>
        <v>5.3184493219547699E-2</v>
      </c>
      <c r="AD453" t="s">
        <v>561</v>
      </c>
      <c r="AE453">
        <v>59.88</v>
      </c>
      <c r="AF453" s="29">
        <f t="shared" si="47"/>
        <v>5.3854276663146905E-2</v>
      </c>
    </row>
    <row r="454" spans="1:32">
      <c r="A454" s="3" t="s">
        <v>565</v>
      </c>
      <c r="B454" s="222">
        <v>31.73</v>
      </c>
      <c r="C454" s="227">
        <f t="shared" si="42"/>
        <v>-9.6754057428214413E-3</v>
      </c>
      <c r="D454" s="5">
        <f>C454-C1275</f>
        <v>-9.7534513123803297E-3</v>
      </c>
      <c r="F454" s="8"/>
      <c r="H454" t="s">
        <v>564</v>
      </c>
      <c r="I454">
        <v>10.27</v>
      </c>
      <c r="J454" s="227">
        <f t="shared" si="43"/>
        <v>4.3699186991869921E-2</v>
      </c>
      <c r="K454" s="5">
        <f>J454-J1276</f>
        <v>4.1563231076259963E-2</v>
      </c>
      <c r="M454" s="240" t="s">
        <v>562</v>
      </c>
      <c r="N454">
        <v>4133.5200000000004</v>
      </c>
      <c r="O454" s="227">
        <f t="shared" si="44"/>
        <v>-8.5084988300798692E-4</v>
      </c>
      <c r="P454" s="5">
        <f>O454-O1278</f>
        <v>-4.8509268209481537E-4</v>
      </c>
      <c r="Q454" s="8">
        <f t="shared" si="48"/>
        <v>2.3531491022194162E-7</v>
      </c>
      <c r="S454" t="s">
        <v>562</v>
      </c>
      <c r="T454">
        <v>2.93</v>
      </c>
      <c r="U454" s="29">
        <f t="shared" si="45"/>
        <v>3.4246575342467001E-3</v>
      </c>
      <c r="V454" s="5">
        <f>U454-V1274</f>
        <v>1.6884667585396621E-3</v>
      </c>
      <c r="X454" s="1">
        <v>45051</v>
      </c>
      <c r="Y454">
        <v>3.5</v>
      </c>
      <c r="Z454" s="48">
        <f t="shared" si="46"/>
        <v>0</v>
      </c>
      <c r="AA454" s="5">
        <f>Z454-Y1274</f>
        <v>-4.2173194692741341E-3</v>
      </c>
      <c r="AD454" t="s">
        <v>562</v>
      </c>
      <c r="AE454">
        <v>61.29</v>
      </c>
      <c r="AF454" s="29">
        <f t="shared" si="47"/>
        <v>2.3547094188376638E-2</v>
      </c>
    </row>
    <row r="455" spans="1:32">
      <c r="A455" s="3" t="s">
        <v>566</v>
      </c>
      <c r="B455" s="222">
        <v>32.08</v>
      </c>
      <c r="C455" s="227">
        <f t="shared" si="42"/>
        <v>1.1030570438071097E-2</v>
      </c>
      <c r="D455" s="5">
        <f>C455-C1275</f>
        <v>1.0952524868512208E-2</v>
      </c>
      <c r="F455" s="8"/>
      <c r="H455" t="s">
        <v>565</v>
      </c>
      <c r="I455">
        <v>10.31</v>
      </c>
      <c r="J455" s="227">
        <f t="shared" si="43"/>
        <v>3.894839337877487E-3</v>
      </c>
      <c r="K455" s="5">
        <f>J455-J1276</f>
        <v>1.7588834222675293E-3</v>
      </c>
      <c r="M455" s="240" t="s">
        <v>563</v>
      </c>
      <c r="N455">
        <v>4129.79</v>
      </c>
      <c r="O455" s="227">
        <f t="shared" si="44"/>
        <v>-9.0237860225683697E-4</v>
      </c>
      <c r="P455" s="5">
        <f>O455-O1278</f>
        <v>-5.3662140134366548E-4</v>
      </c>
      <c r="Q455" s="8">
        <f t="shared" si="48"/>
        <v>2.8796252838003928E-7</v>
      </c>
      <c r="S455" t="s">
        <v>563</v>
      </c>
      <c r="T455">
        <v>3.01</v>
      </c>
      <c r="U455" s="29">
        <f t="shared" si="45"/>
        <v>2.7303754266211566E-2</v>
      </c>
      <c r="V455" s="5">
        <f>U455-V1274</f>
        <v>2.5567563490504527E-2</v>
      </c>
      <c r="X455" s="1">
        <v>45021</v>
      </c>
      <c r="Y455">
        <v>3.43</v>
      </c>
      <c r="Z455" s="48">
        <f t="shared" si="46"/>
        <v>-1.9999999999999907E-2</v>
      </c>
      <c r="AA455" s="5">
        <f>Z455-Y1274</f>
        <v>-2.4217319469274041E-2</v>
      </c>
      <c r="AD455" t="s">
        <v>563</v>
      </c>
      <c r="AE455">
        <v>59.56</v>
      </c>
      <c r="AF455" s="29">
        <f t="shared" si="47"/>
        <v>-2.8226464349812352E-2</v>
      </c>
    </row>
    <row r="456" spans="1:32">
      <c r="A456" s="3" t="s">
        <v>567</v>
      </c>
      <c r="B456" s="222">
        <v>31.48</v>
      </c>
      <c r="C456" s="227">
        <f t="shared" si="42"/>
        <v>-1.8703241895261735E-2</v>
      </c>
      <c r="D456" s="5">
        <f>C456-C1275</f>
        <v>-1.8781287464820624E-2</v>
      </c>
      <c r="F456" s="8"/>
      <c r="H456" t="s">
        <v>566</v>
      </c>
      <c r="I456">
        <v>10.45</v>
      </c>
      <c r="J456" s="227">
        <f t="shared" si="43"/>
        <v>1.3579049466537318E-2</v>
      </c>
      <c r="K456" s="5">
        <f>J456-J1276</f>
        <v>1.1443093550927361E-2</v>
      </c>
      <c r="M456" s="240" t="s">
        <v>564</v>
      </c>
      <c r="N456">
        <v>4154.5200000000004</v>
      </c>
      <c r="O456" s="227">
        <f t="shared" si="44"/>
        <v>5.9881979471112512E-3</v>
      </c>
      <c r="P456" s="5">
        <f>O456-O1278</f>
        <v>6.3539551480244231E-3</v>
      </c>
      <c r="Q456" s="8">
        <f t="shared" si="48"/>
        <v>4.0372746023106069E-5</v>
      </c>
      <c r="S456" t="s">
        <v>564</v>
      </c>
      <c r="T456">
        <v>3.05</v>
      </c>
      <c r="U456" s="29">
        <f t="shared" si="45"/>
        <v>1.3289036544850585E-2</v>
      </c>
      <c r="V456" s="5">
        <f>U456-V1274</f>
        <v>1.1552845769143547E-2</v>
      </c>
      <c r="X456" s="1">
        <v>44990</v>
      </c>
      <c r="Y456">
        <v>3.52</v>
      </c>
      <c r="Z456" s="48">
        <f t="shared" si="46"/>
        <v>2.6239067055393583E-2</v>
      </c>
      <c r="AA456" s="5">
        <f>Z456-Y1274</f>
        <v>2.2021747586119449E-2</v>
      </c>
      <c r="AD456" t="s">
        <v>564</v>
      </c>
      <c r="AE456">
        <v>61.73</v>
      </c>
      <c r="AF456" s="29">
        <f t="shared" si="47"/>
        <v>3.643384822028195E-2</v>
      </c>
    </row>
    <row r="457" spans="1:32">
      <c r="A457" s="3" t="s">
        <v>568</v>
      </c>
      <c r="B457" s="222">
        <v>31.44</v>
      </c>
      <c r="C457" s="227">
        <f t="shared" si="42"/>
        <v>-1.2706480304954804E-3</v>
      </c>
      <c r="D457" s="5">
        <f>C457-C1275</f>
        <v>-1.3486936000543697E-3</v>
      </c>
      <c r="F457" s="8"/>
      <c r="H457" t="s">
        <v>567</v>
      </c>
      <c r="I457">
        <v>10.17</v>
      </c>
      <c r="J457" s="227">
        <f t="shared" si="43"/>
        <v>-2.6794258373205704E-2</v>
      </c>
      <c r="K457" s="5">
        <f>J457-J1276</f>
        <v>-2.8930214288815662E-2</v>
      </c>
      <c r="M457" s="240" t="s">
        <v>565</v>
      </c>
      <c r="N457">
        <v>4154.87</v>
      </c>
      <c r="O457" s="227">
        <f t="shared" si="44"/>
        <v>8.4245592751885923E-5</v>
      </c>
      <c r="P457" s="5">
        <f>O457-O1278</f>
        <v>4.5000279366505747E-4</v>
      </c>
      <c r="Q457" s="8">
        <f t="shared" si="48"/>
        <v>2.0250251430635629E-7</v>
      </c>
      <c r="S457" t="s">
        <v>565</v>
      </c>
      <c r="T457">
        <v>2.99</v>
      </c>
      <c r="U457" s="29">
        <f t="shared" si="45"/>
        <v>-1.967213114754085E-2</v>
      </c>
      <c r="V457" s="5">
        <f>U457-V1274</f>
        <v>-2.1408321923247889E-2</v>
      </c>
      <c r="X457" s="1">
        <v>44962</v>
      </c>
      <c r="Y457">
        <v>3.6</v>
      </c>
      <c r="Z457" s="48">
        <f t="shared" si="46"/>
        <v>2.2727272727272707E-2</v>
      </c>
      <c r="AA457" s="5">
        <f>Z457-Y1274</f>
        <v>1.8509953257998573E-2</v>
      </c>
      <c r="AD457" t="s">
        <v>565</v>
      </c>
      <c r="AE457">
        <v>62.39</v>
      </c>
      <c r="AF457" s="29">
        <f t="shared" si="47"/>
        <v>1.0691722015227612E-2</v>
      </c>
    </row>
    <row r="458" spans="1:32">
      <c r="A458" s="220">
        <v>45264</v>
      </c>
      <c r="B458" s="222">
        <v>30.59</v>
      </c>
      <c r="C458" s="227">
        <f t="shared" si="42"/>
        <v>-2.7035623409669252E-2</v>
      </c>
      <c r="D458" s="5">
        <f>C458-C1275</f>
        <v>-2.711366897922814E-2</v>
      </c>
      <c r="F458" s="8"/>
      <c r="H458" t="s">
        <v>568</v>
      </c>
      <c r="I458">
        <v>10</v>
      </c>
      <c r="J458" s="227">
        <f t="shared" si="43"/>
        <v>-1.671583087512285E-2</v>
      </c>
      <c r="K458" s="5">
        <f>J458-J1276</f>
        <v>-1.8851786790732808E-2</v>
      </c>
      <c r="M458" s="240" t="s">
        <v>566</v>
      </c>
      <c r="N458">
        <v>4151.32</v>
      </c>
      <c r="O458" s="227">
        <f t="shared" si="44"/>
        <v>-8.5441903116101336E-4</v>
      </c>
      <c r="P458" s="5">
        <f>O458-O1278</f>
        <v>-4.8866183024784187E-4</v>
      </c>
      <c r="Q458" s="8">
        <f t="shared" si="48"/>
        <v>2.3879038434117063E-7</v>
      </c>
      <c r="S458" t="s">
        <v>566</v>
      </c>
      <c r="T458">
        <v>2.97</v>
      </c>
      <c r="U458" s="29">
        <f t="shared" si="45"/>
        <v>-6.6889632107023367E-3</v>
      </c>
      <c r="V458" s="5">
        <f>U458-V1274</f>
        <v>-8.4251539864093755E-3</v>
      </c>
      <c r="X458" s="1">
        <v>44931</v>
      </c>
      <c r="Y458">
        <v>3.87</v>
      </c>
      <c r="Z458" s="48">
        <f t="shared" si="46"/>
        <v>7.4999999999999956E-2</v>
      </c>
      <c r="AA458" s="5">
        <f>Z458-Y1274</f>
        <v>7.0782680530725825E-2</v>
      </c>
      <c r="AD458" t="s">
        <v>566</v>
      </c>
      <c r="AE458">
        <v>60.62</v>
      </c>
      <c r="AF458" s="29">
        <f t="shared" si="47"/>
        <v>-2.8369931078698563E-2</v>
      </c>
    </row>
    <row r="459" spans="1:32">
      <c r="A459" s="220">
        <v>45234</v>
      </c>
      <c r="B459" s="222">
        <v>31.12</v>
      </c>
      <c r="C459" s="227">
        <f t="shared" si="42"/>
        <v>1.7325923504413199E-2</v>
      </c>
      <c r="D459" s="5">
        <f>C459-C1275</f>
        <v>1.724787793485431E-2</v>
      </c>
      <c r="F459" s="8"/>
      <c r="H459" s="1">
        <v>45264</v>
      </c>
      <c r="I459">
        <v>9.7799999999999994</v>
      </c>
      <c r="J459" s="227">
        <f t="shared" si="43"/>
        <v>-2.200000000000002E-2</v>
      </c>
      <c r="K459" s="5">
        <f>J459-J1276</f>
        <v>-2.4135955915609977E-2</v>
      </c>
      <c r="M459" s="240" t="s">
        <v>567</v>
      </c>
      <c r="N459">
        <v>4137.6400000000003</v>
      </c>
      <c r="O459" s="227">
        <f t="shared" si="44"/>
        <v>-3.2953373866624336E-3</v>
      </c>
      <c r="P459" s="5">
        <f>O459-O1278</f>
        <v>-2.9295801857492621E-3</v>
      </c>
      <c r="Q459" s="8">
        <f t="shared" si="48"/>
        <v>8.5824400647346815E-6</v>
      </c>
      <c r="S459" t="s">
        <v>567</v>
      </c>
      <c r="T459">
        <v>2.94</v>
      </c>
      <c r="U459" s="29">
        <f t="shared" si="45"/>
        <v>-1.0101010101010166E-2</v>
      </c>
      <c r="V459" s="5">
        <f>U459-V1274</f>
        <v>-1.1837200876717205E-2</v>
      </c>
      <c r="X459" t="s">
        <v>557</v>
      </c>
      <c r="Y459">
        <v>3.8</v>
      </c>
      <c r="Z459" s="48">
        <f t="shared" si="46"/>
        <v>-1.8087855297157729E-2</v>
      </c>
      <c r="AA459" s="5">
        <f>Z459-Y1274</f>
        <v>-2.2305174766431863E-2</v>
      </c>
      <c r="AD459" t="s">
        <v>567</v>
      </c>
      <c r="AE459">
        <v>61.72</v>
      </c>
      <c r="AF459" s="29">
        <f t="shared" si="47"/>
        <v>1.8145826459914138E-2</v>
      </c>
    </row>
    <row r="460" spans="1:32">
      <c r="A460" s="220">
        <v>45203</v>
      </c>
      <c r="B460" s="222">
        <v>31.74</v>
      </c>
      <c r="C460" s="227">
        <f t="shared" si="42"/>
        <v>1.9922879177377784E-2</v>
      </c>
      <c r="D460" s="5">
        <f>C460-C1275</f>
        <v>1.9844833607818895E-2</v>
      </c>
      <c r="F460" s="8"/>
      <c r="H460" s="1">
        <v>45234</v>
      </c>
      <c r="I460">
        <v>10.35</v>
      </c>
      <c r="J460" s="227">
        <f t="shared" si="43"/>
        <v>5.8282208588957163E-2</v>
      </c>
      <c r="K460" s="5">
        <f>J460-J1276</f>
        <v>5.6146252673347205E-2</v>
      </c>
      <c r="M460" s="240" t="s">
        <v>568</v>
      </c>
      <c r="N460">
        <v>4146.22</v>
      </c>
      <c r="O460" s="227">
        <f t="shared" si="44"/>
        <v>2.0736458464245544E-3</v>
      </c>
      <c r="P460" s="5">
        <f>O460-O1278</f>
        <v>2.4394030473377259E-3</v>
      </c>
      <c r="Q460" s="8">
        <f t="shared" si="48"/>
        <v>5.9506872273605836E-6</v>
      </c>
      <c r="S460" t="s">
        <v>568</v>
      </c>
      <c r="T460">
        <v>3.02</v>
      </c>
      <c r="U460" s="29">
        <f t="shared" si="45"/>
        <v>2.7210884353741527E-2</v>
      </c>
      <c r="V460" s="5">
        <f>U460-V1274</f>
        <v>2.5474693578034488E-2</v>
      </c>
      <c r="X460" t="s">
        <v>558</v>
      </c>
      <c r="Y460">
        <v>3.65</v>
      </c>
      <c r="Z460" s="48">
        <f t="shared" si="46"/>
        <v>-3.9473684210526327E-2</v>
      </c>
      <c r="AA460" s="5">
        <f>Z460-Y1274</f>
        <v>-4.3691003679800458E-2</v>
      </c>
      <c r="AD460" t="s">
        <v>568</v>
      </c>
      <c r="AE460">
        <v>61.45</v>
      </c>
      <c r="AF460" s="29">
        <f t="shared" si="47"/>
        <v>-4.3745949449124355E-3</v>
      </c>
    </row>
    <row r="461" spans="1:32">
      <c r="A461" s="220">
        <v>45081</v>
      </c>
      <c r="B461" s="222">
        <v>31.18</v>
      </c>
      <c r="C461" s="227">
        <f t="shared" si="42"/>
        <v>-1.7643352236924925E-2</v>
      </c>
      <c r="D461" s="5">
        <f>C461-C1275</f>
        <v>-1.7721397806483814E-2</v>
      </c>
      <c r="F461" s="8"/>
      <c r="H461" s="1">
        <v>45203</v>
      </c>
      <c r="I461">
        <v>9.91</v>
      </c>
      <c r="J461" s="227">
        <f t="shared" si="43"/>
        <v>-4.2512077294685979E-2</v>
      </c>
      <c r="K461" s="5">
        <f>J461-J1276</f>
        <v>-4.4648033210295937E-2</v>
      </c>
      <c r="M461" s="241">
        <v>45264</v>
      </c>
      <c r="N461">
        <v>4091.95</v>
      </c>
      <c r="O461" s="227">
        <f t="shared" si="44"/>
        <v>-1.3089030490422759E-2</v>
      </c>
      <c r="P461" s="5">
        <f>O461-O1278</f>
        <v>-1.2723273289509588E-2</v>
      </c>
      <c r="Q461" s="8">
        <f t="shared" si="48"/>
        <v>1.6188168319954815E-4</v>
      </c>
      <c r="S461" s="1">
        <v>45264</v>
      </c>
      <c r="T461">
        <v>2.99</v>
      </c>
      <c r="U461" s="29">
        <f t="shared" si="45"/>
        <v>-9.9337748344370258E-3</v>
      </c>
      <c r="V461" s="5">
        <f>U461-V1274</f>
        <v>-1.1669965610144065E-2</v>
      </c>
      <c r="X461" t="s">
        <v>559</v>
      </c>
      <c r="Y461">
        <v>3.27</v>
      </c>
      <c r="Z461" s="48">
        <f t="shared" si="46"/>
        <v>-0.10410958904109591</v>
      </c>
      <c r="AA461" s="5">
        <f>Z461-Y1274</f>
        <v>-0.10832690851037004</v>
      </c>
      <c r="AD461" s="1">
        <v>45264</v>
      </c>
      <c r="AE461">
        <v>60.1</v>
      </c>
      <c r="AF461" s="29">
        <f t="shared" si="47"/>
        <v>-2.1969080553295384E-2</v>
      </c>
    </row>
    <row r="462" spans="1:32">
      <c r="A462" s="220">
        <v>45050</v>
      </c>
      <c r="B462" s="222">
        <v>31.12</v>
      </c>
      <c r="C462" s="227">
        <f t="shared" si="42"/>
        <v>-1.9243104554200752E-3</v>
      </c>
      <c r="D462" s="5">
        <f>C462-C1275</f>
        <v>-2.0023560249789645E-3</v>
      </c>
      <c r="F462" s="8"/>
      <c r="H462" s="1">
        <v>45081</v>
      </c>
      <c r="I462">
        <v>9.43</v>
      </c>
      <c r="J462" s="227">
        <f t="shared" si="43"/>
        <v>-4.8435923309788187E-2</v>
      </c>
      <c r="K462" s="5">
        <f>J462-J1276</f>
        <v>-5.0571879225398145E-2</v>
      </c>
      <c r="M462" s="241">
        <v>45234</v>
      </c>
      <c r="N462">
        <v>4108.9399999999996</v>
      </c>
      <c r="O462" s="227">
        <f t="shared" si="44"/>
        <v>4.1520546438738037E-3</v>
      </c>
      <c r="P462" s="5">
        <f>O462-O1278</f>
        <v>4.5178118447869757E-3</v>
      </c>
      <c r="Q462" s="8">
        <f t="shared" si="48"/>
        <v>2.0410623864897496E-5</v>
      </c>
      <c r="S462" s="1">
        <v>45234</v>
      </c>
      <c r="T462">
        <v>2.98</v>
      </c>
      <c r="U462" s="29">
        <f t="shared" si="45"/>
        <v>-3.3444816053512794E-3</v>
      </c>
      <c r="V462" s="5">
        <f>U462-V1274</f>
        <v>-5.0806723810583173E-3</v>
      </c>
      <c r="X462" t="s">
        <v>560</v>
      </c>
      <c r="Y462">
        <v>3.19</v>
      </c>
      <c r="Z462" s="48">
        <f t="shared" si="46"/>
        <v>-2.4464831804281384E-2</v>
      </c>
      <c r="AA462" s="5">
        <f>Z462-Y1274</f>
        <v>-2.8682151273555518E-2</v>
      </c>
      <c r="AD462" s="1">
        <v>45234</v>
      </c>
      <c r="AE462">
        <v>62.92</v>
      </c>
      <c r="AF462" s="29">
        <f t="shared" si="47"/>
        <v>4.6921797004991772E-2</v>
      </c>
    </row>
    <row r="463" spans="1:32">
      <c r="A463" s="220">
        <v>45020</v>
      </c>
      <c r="B463" s="222">
        <v>31.39</v>
      </c>
      <c r="C463" s="227">
        <f t="shared" si="42"/>
        <v>8.6760925449871351E-3</v>
      </c>
      <c r="D463" s="5">
        <f>C463-C1275</f>
        <v>8.5980469754282467E-3</v>
      </c>
      <c r="F463" s="8"/>
      <c r="H463" s="1">
        <v>45050</v>
      </c>
      <c r="I463">
        <v>9.3800000000000008</v>
      </c>
      <c r="J463" s="227">
        <f t="shared" si="43"/>
        <v>-5.3022269353126816E-3</v>
      </c>
      <c r="K463" s="5">
        <f>J463-J1276</f>
        <v>-7.4381828509226394E-3</v>
      </c>
      <c r="M463" s="241">
        <v>45203</v>
      </c>
      <c r="N463">
        <v>4109.1099999999997</v>
      </c>
      <c r="O463" s="227">
        <f t="shared" si="44"/>
        <v>4.1373200874161853E-5</v>
      </c>
      <c r="P463" s="5">
        <f>O463-O1278</f>
        <v>4.071304017873334E-4</v>
      </c>
      <c r="Q463" s="8">
        <f t="shared" si="48"/>
        <v>1.6575516405951553E-7</v>
      </c>
      <c r="S463" s="1">
        <v>45203</v>
      </c>
      <c r="T463">
        <v>3.06</v>
      </c>
      <c r="U463" s="29">
        <f t="shared" si="45"/>
        <v>2.6845637583892579E-2</v>
      </c>
      <c r="V463" s="5">
        <f>U463-V1274</f>
        <v>2.510944680818554E-2</v>
      </c>
      <c r="X463" t="s">
        <v>561</v>
      </c>
      <c r="Y463">
        <v>3.22</v>
      </c>
      <c r="Z463" s="48">
        <f t="shared" si="46"/>
        <v>9.4043887147337024E-3</v>
      </c>
      <c r="AA463" s="5">
        <f>Z463-Y1274</f>
        <v>5.1870692454595684E-3</v>
      </c>
      <c r="AD463" s="1">
        <v>45203</v>
      </c>
      <c r="AE463">
        <v>61.58</v>
      </c>
      <c r="AF463" s="29">
        <f t="shared" si="47"/>
        <v>-2.1296884933248661E-2</v>
      </c>
    </row>
    <row r="464" spans="1:32">
      <c r="A464" s="220">
        <v>44989</v>
      </c>
      <c r="B464" s="222">
        <v>31.46</v>
      </c>
      <c r="C464" s="227">
        <f t="shared" si="42"/>
        <v>2.2300095571838874E-3</v>
      </c>
      <c r="D464" s="5">
        <f>C464-C1275</f>
        <v>2.1519639876249981E-3</v>
      </c>
      <c r="F464" s="8"/>
      <c r="H464" s="1">
        <v>45020</v>
      </c>
      <c r="I464">
        <v>9.5500000000000007</v>
      </c>
      <c r="J464" s="227">
        <f t="shared" si="43"/>
        <v>1.8123667377398789E-2</v>
      </c>
      <c r="K464" s="5">
        <f>J464-J1276</f>
        <v>1.5987711461788831E-2</v>
      </c>
      <c r="M464" s="241">
        <v>45081</v>
      </c>
      <c r="N464">
        <v>4105.0200000000004</v>
      </c>
      <c r="O464" s="227">
        <f t="shared" si="44"/>
        <v>-9.9534935788991863E-4</v>
      </c>
      <c r="P464" s="5">
        <f>O464-O1278</f>
        <v>-6.2959215697674714E-4</v>
      </c>
      <c r="Q464" s="8">
        <f t="shared" si="48"/>
        <v>3.96386284126633E-7</v>
      </c>
      <c r="S464" s="1">
        <v>45081</v>
      </c>
      <c r="T464">
        <v>3.03</v>
      </c>
      <c r="U464" s="29">
        <f t="shared" si="45"/>
        <v>-9.8039215686275272E-3</v>
      </c>
      <c r="V464" s="5">
        <f>U464-V1274</f>
        <v>-1.1540112344334566E-2</v>
      </c>
      <c r="X464" t="s">
        <v>562</v>
      </c>
      <c r="Y464">
        <v>3.45</v>
      </c>
      <c r="Z464" s="48">
        <f t="shared" si="46"/>
        <v>7.1428571428571397E-2</v>
      </c>
      <c r="AA464" s="5">
        <f>Z464-Y1274</f>
        <v>6.7211251959297266E-2</v>
      </c>
      <c r="AD464" s="1">
        <v>45081</v>
      </c>
      <c r="AE464">
        <v>60.68</v>
      </c>
      <c r="AF464" s="29">
        <f t="shared" si="47"/>
        <v>-1.4615134784020767E-2</v>
      </c>
    </row>
    <row r="465" spans="1:32">
      <c r="A465" s="3" t="s">
        <v>569</v>
      </c>
      <c r="B465" s="222">
        <v>31.7</v>
      </c>
      <c r="C465" s="227">
        <f t="shared" si="42"/>
        <v>7.6287349014620975E-3</v>
      </c>
      <c r="D465" s="5">
        <f>C465-C1275</f>
        <v>7.5506893319032082E-3</v>
      </c>
      <c r="F465" s="8"/>
      <c r="H465" s="1">
        <v>44989</v>
      </c>
      <c r="I465">
        <v>9.07</v>
      </c>
      <c r="J465" s="227">
        <f t="shared" si="43"/>
        <v>-5.026178010471205E-2</v>
      </c>
      <c r="K465" s="5">
        <f>J465-J1276</f>
        <v>-5.2397736020322008E-2</v>
      </c>
      <c r="M465" s="241">
        <v>45050</v>
      </c>
      <c r="N465">
        <v>4090.38</v>
      </c>
      <c r="O465" s="227">
        <f t="shared" si="44"/>
        <v>-3.5663650847012063E-3</v>
      </c>
      <c r="P465" s="5">
        <f>O465-O1278</f>
        <v>-3.2006078837880348E-3</v>
      </c>
      <c r="Q465" s="8">
        <f t="shared" si="48"/>
        <v>1.0243890825766123E-5</v>
      </c>
      <c r="S465" s="1">
        <v>45050</v>
      </c>
      <c r="T465">
        <v>3.12</v>
      </c>
      <c r="U465" s="29">
        <f t="shared" si="45"/>
        <v>2.9702970297029729E-2</v>
      </c>
      <c r="V465" s="5">
        <f>U465-V1274</f>
        <v>2.7966779521322691E-2</v>
      </c>
      <c r="X465" t="s">
        <v>563</v>
      </c>
      <c r="Y465">
        <v>3.49</v>
      </c>
      <c r="Z465" s="48">
        <f t="shared" si="46"/>
        <v>1.1594202898550732E-2</v>
      </c>
      <c r="AA465" s="5">
        <f>Z465-Y1274</f>
        <v>7.3768834292765977E-3</v>
      </c>
      <c r="AD465" s="1">
        <v>45050</v>
      </c>
      <c r="AE465">
        <v>60.86</v>
      </c>
      <c r="AF465" s="29">
        <f t="shared" si="47"/>
        <v>2.9663810151614456E-3</v>
      </c>
    </row>
    <row r="466" spans="1:32">
      <c r="A466" s="3" t="s">
        <v>570</v>
      </c>
      <c r="B466" s="222">
        <v>31.19</v>
      </c>
      <c r="C466" s="227">
        <f t="shared" ref="C466:C529" si="49">B466/B465-1</f>
        <v>-1.6088328075709701E-2</v>
      </c>
      <c r="D466" s="5">
        <f>C466-C1275</f>
        <v>-1.616637364526859E-2</v>
      </c>
      <c r="F466" s="8"/>
      <c r="H466" t="s">
        <v>569</v>
      </c>
      <c r="I466">
        <v>9.27</v>
      </c>
      <c r="J466" s="227">
        <f t="shared" si="43"/>
        <v>2.2050716648291058E-2</v>
      </c>
      <c r="K466" s="5">
        <f>J466-J1276</f>
        <v>1.99147607326811E-2</v>
      </c>
      <c r="M466" s="241">
        <v>45020</v>
      </c>
      <c r="N466">
        <v>4100.6000000000004</v>
      </c>
      <c r="O466" s="227">
        <f t="shared" si="44"/>
        <v>2.4985453674231106E-3</v>
      </c>
      <c r="P466" s="5">
        <f>O466-O1278</f>
        <v>2.8643025683362821E-3</v>
      </c>
      <c r="Q466" s="8">
        <f t="shared" si="48"/>
        <v>8.2042292029778216E-6</v>
      </c>
      <c r="S466" s="1">
        <v>45020</v>
      </c>
      <c r="T466">
        <v>3.15</v>
      </c>
      <c r="U466" s="29">
        <f t="shared" si="45"/>
        <v>9.6153846153845812E-3</v>
      </c>
      <c r="V466" s="5">
        <f>U466-V1274</f>
        <v>7.8791938396775424E-3</v>
      </c>
      <c r="X466" t="s">
        <v>564</v>
      </c>
      <c r="Y466">
        <v>3.42</v>
      </c>
      <c r="Z466" s="48">
        <f t="shared" si="46"/>
        <v>-2.0057306590257951E-2</v>
      </c>
      <c r="AA466" s="5">
        <f>Z466-Y1274</f>
        <v>-2.4274626059532085E-2</v>
      </c>
      <c r="AD466" s="1">
        <v>45020</v>
      </c>
      <c r="AE466">
        <v>63.34</v>
      </c>
      <c r="AF466" s="29">
        <f t="shared" si="47"/>
        <v>4.0749260598094139E-2</v>
      </c>
    </row>
    <row r="467" spans="1:32">
      <c r="A467" s="3" t="s">
        <v>571</v>
      </c>
      <c r="B467" s="222">
        <v>30.87</v>
      </c>
      <c r="C467" s="227">
        <f t="shared" si="49"/>
        <v>-1.0259698621353008E-2</v>
      </c>
      <c r="D467" s="5">
        <f>C467-C1275</f>
        <v>-1.0337744190911897E-2</v>
      </c>
      <c r="F467" s="8"/>
      <c r="H467" t="s">
        <v>570</v>
      </c>
      <c r="I467">
        <v>9.1</v>
      </c>
      <c r="J467" s="227">
        <f t="shared" si="43"/>
        <v>-1.8338727076591121E-2</v>
      </c>
      <c r="K467" s="5">
        <f>J467-J1276</f>
        <v>-2.0474682992201079E-2</v>
      </c>
      <c r="M467" s="241">
        <v>44989</v>
      </c>
      <c r="N467">
        <v>4124.51</v>
      </c>
      <c r="O467" s="227">
        <f t="shared" si="44"/>
        <v>5.8308540213627413E-3</v>
      </c>
      <c r="P467" s="5">
        <f>O467-O1278</f>
        <v>6.1966112222759133E-3</v>
      </c>
      <c r="Q467" s="8">
        <f t="shared" si="48"/>
        <v>3.8397990640035788E-5</v>
      </c>
      <c r="S467" s="1">
        <v>44989</v>
      </c>
      <c r="T467">
        <v>3.09</v>
      </c>
      <c r="U467" s="29">
        <f t="shared" si="45"/>
        <v>-1.9047619047619091E-2</v>
      </c>
      <c r="V467" s="5">
        <f>U467-V1274</f>
        <v>-2.078380982332613E-2</v>
      </c>
      <c r="X467" t="s">
        <v>565</v>
      </c>
      <c r="Y467">
        <v>3.43</v>
      </c>
      <c r="Z467" s="48">
        <f t="shared" si="46"/>
        <v>2.9239766081872176E-3</v>
      </c>
      <c r="AA467" s="5">
        <f>Z467-Y1274</f>
        <v>-1.2933428610869165E-3</v>
      </c>
      <c r="AD467" s="1">
        <v>44989</v>
      </c>
      <c r="AE467">
        <v>63.94</v>
      </c>
      <c r="AF467" s="29">
        <f t="shared" si="47"/>
        <v>9.4726870855699197E-3</v>
      </c>
    </row>
    <row r="468" spans="1:32">
      <c r="A468" s="3" t="s">
        <v>572</v>
      </c>
      <c r="B468" s="222">
        <v>30.07</v>
      </c>
      <c r="C468" s="227">
        <f t="shared" si="49"/>
        <v>-2.5915127955944306E-2</v>
      </c>
      <c r="D468" s="5">
        <f>C468-C1275</f>
        <v>-2.5993173525503194E-2</v>
      </c>
      <c r="F468" s="8"/>
      <c r="H468" t="s">
        <v>571</v>
      </c>
      <c r="I468">
        <v>8.98</v>
      </c>
      <c r="J468" s="227">
        <f t="shared" ref="J468:J531" si="50">I468/I467-1</f>
        <v>-1.318681318681314E-2</v>
      </c>
      <c r="K468" s="5">
        <f>J468-J1276</f>
        <v>-1.5322769102423098E-2</v>
      </c>
      <c r="M468" s="240" t="s">
        <v>569</v>
      </c>
      <c r="N468">
        <v>4109.3100000000004</v>
      </c>
      <c r="O468" s="227">
        <f t="shared" si="44"/>
        <v>-3.685286252185116E-3</v>
      </c>
      <c r="P468" s="5">
        <f>O468-O1278</f>
        <v>-3.3195290512719445E-3</v>
      </c>
      <c r="Q468" s="8">
        <f t="shared" si="48"/>
        <v>1.1019273122238415E-5</v>
      </c>
      <c r="S468" t="s">
        <v>569</v>
      </c>
      <c r="T468">
        <v>3.01</v>
      </c>
      <c r="U468" s="29">
        <f t="shared" si="45"/>
        <v>-2.5889967637540479E-2</v>
      </c>
      <c r="V468" s="5">
        <f>U468-V1274</f>
        <v>-2.7626158413247517E-2</v>
      </c>
      <c r="X468" t="s">
        <v>566</v>
      </c>
      <c r="Y468">
        <v>3.49</v>
      </c>
      <c r="Z468" s="48">
        <f t="shared" si="46"/>
        <v>1.7492711370262315E-2</v>
      </c>
      <c r="AA468" s="5">
        <f>Z468-Y1274</f>
        <v>1.3275391900988181E-2</v>
      </c>
      <c r="AD468" t="s">
        <v>569</v>
      </c>
      <c r="AE468">
        <v>63.56</v>
      </c>
      <c r="AF468" s="29">
        <f t="shared" si="47"/>
        <v>-5.9430716296526853E-3</v>
      </c>
    </row>
    <row r="469" spans="1:32">
      <c r="A469" s="3" t="s">
        <v>573</v>
      </c>
      <c r="B469" s="222">
        <v>30.62</v>
      </c>
      <c r="C469" s="227">
        <f t="shared" si="49"/>
        <v>1.8290655138011314E-2</v>
      </c>
      <c r="D469" s="5">
        <f>C469-C1275</f>
        <v>1.8212609568452425E-2</v>
      </c>
      <c r="E469" s="1"/>
      <c r="F469" s="8"/>
      <c r="H469" t="s">
        <v>572</v>
      </c>
      <c r="I469">
        <v>8.8699999999999992</v>
      </c>
      <c r="J469" s="227">
        <f t="shared" si="50"/>
        <v>-1.2249443207127064E-2</v>
      </c>
      <c r="K469" s="5">
        <f>J469-J1276</f>
        <v>-1.4385399122737022E-2</v>
      </c>
      <c r="M469" s="240" t="s">
        <v>570</v>
      </c>
      <c r="N469">
        <v>4050.83</v>
      </c>
      <c r="O469" s="227">
        <f t="shared" si="44"/>
        <v>-1.4231099624998023E-2</v>
      </c>
      <c r="P469" s="5">
        <f>O469-O1278</f>
        <v>-1.3865342424084852E-2</v>
      </c>
      <c r="Q469" s="8">
        <f t="shared" si="48"/>
        <v>1.9224772053712719E-4</v>
      </c>
      <c r="S469" t="s">
        <v>570</v>
      </c>
      <c r="T469">
        <v>2.85</v>
      </c>
      <c r="U469" s="29">
        <f t="shared" si="45"/>
        <v>-5.3156146179401897E-2</v>
      </c>
      <c r="V469" s="5">
        <f>U469-V1274</f>
        <v>-5.4892336955108936E-2</v>
      </c>
      <c r="X469" t="s">
        <v>567</v>
      </c>
      <c r="Y469">
        <v>3.61</v>
      </c>
      <c r="Z469" s="48">
        <f t="shared" si="46"/>
        <v>3.4383954154727725E-2</v>
      </c>
      <c r="AA469" s="5">
        <f>Z469-Y1274</f>
        <v>3.0166634685453591E-2</v>
      </c>
      <c r="AD469" t="s">
        <v>570</v>
      </c>
      <c r="AE469">
        <v>61.78</v>
      </c>
      <c r="AF469" s="29">
        <f t="shared" si="47"/>
        <v>-2.8005034612964108E-2</v>
      </c>
    </row>
    <row r="470" spans="1:32">
      <c r="A470" s="3" t="s">
        <v>574</v>
      </c>
      <c r="B470" s="222">
        <v>30.75</v>
      </c>
      <c r="C470" s="227">
        <f t="shared" si="49"/>
        <v>4.2455911169170246E-3</v>
      </c>
      <c r="D470" s="5">
        <f>C470-C1275</f>
        <v>4.1675455473581353E-3</v>
      </c>
      <c r="E470" s="1"/>
      <c r="F470" s="8"/>
      <c r="H470" t="s">
        <v>573</v>
      </c>
      <c r="I470">
        <v>9.6</v>
      </c>
      <c r="J470" s="227">
        <f t="shared" si="50"/>
        <v>8.2299887260428362E-2</v>
      </c>
      <c r="K470" s="5">
        <f>J470-J1276</f>
        <v>8.0163931344818404E-2</v>
      </c>
      <c r="M470" s="240" t="s">
        <v>571</v>
      </c>
      <c r="N470">
        <v>4027.81</v>
      </c>
      <c r="O470" s="227">
        <f t="shared" ref="O470:O533" si="51">N470/N469-1</f>
        <v>-5.6827859969438288E-3</v>
      </c>
      <c r="P470" s="5">
        <f>O470-O1278</f>
        <v>-5.3170287960306569E-3</v>
      </c>
      <c r="Q470" s="8">
        <f t="shared" si="48"/>
        <v>2.8270795217819215E-5</v>
      </c>
      <c r="S470" t="s">
        <v>571</v>
      </c>
      <c r="T470">
        <v>3.02</v>
      </c>
      <c r="U470" s="29">
        <f t="shared" ref="U470:U533" si="52">T470/T469-1</f>
        <v>5.9649122807017507E-2</v>
      </c>
      <c r="V470" s="5">
        <f>U470-V1274</f>
        <v>5.7912932031310468E-2</v>
      </c>
      <c r="X470" t="s">
        <v>568</v>
      </c>
      <c r="Y470">
        <v>3.63</v>
      </c>
      <c r="Z470" s="48">
        <f t="shared" ref="Z470:Z533" si="53">Y470/Y469-1</f>
        <v>5.5401662049860967E-3</v>
      </c>
      <c r="AA470" s="5">
        <f>Z470-Y1274</f>
        <v>1.3228467357119626E-3</v>
      </c>
      <c r="AD470" t="s">
        <v>571</v>
      </c>
      <c r="AE470">
        <v>59.86</v>
      </c>
      <c r="AF470" s="29">
        <f t="shared" ref="AF470:AF533" si="54">AE470/AE469-1</f>
        <v>-3.1078018776303007E-2</v>
      </c>
    </row>
    <row r="471" spans="1:32">
      <c r="A471" s="3" t="s">
        <v>575</v>
      </c>
      <c r="B471" s="222">
        <v>31.18</v>
      </c>
      <c r="C471" s="227">
        <f t="shared" si="49"/>
        <v>1.3983739837398312E-2</v>
      </c>
      <c r="D471" s="5">
        <f>C471-C1275</f>
        <v>1.3905694267839424E-2</v>
      </c>
      <c r="E471" s="1"/>
      <c r="F471" s="8"/>
      <c r="H471" t="s">
        <v>574</v>
      </c>
      <c r="I471">
        <v>9.8699999999999992</v>
      </c>
      <c r="J471" s="227">
        <f t="shared" si="50"/>
        <v>2.8124999999999956E-2</v>
      </c>
      <c r="K471" s="5">
        <f>J471-J1276</f>
        <v>2.5989044084389998E-2</v>
      </c>
      <c r="M471" s="240" t="s">
        <v>572</v>
      </c>
      <c r="N471">
        <v>3971.27</v>
      </c>
      <c r="O471" s="227">
        <f t="shared" si="51"/>
        <v>-1.4037404942139786E-2</v>
      </c>
      <c r="P471" s="5">
        <f>O471-O1278</f>
        <v>-1.3671647741226615E-2</v>
      </c>
      <c r="Q471" s="8">
        <f t="shared" ref="Q471:Q534" si="55">P471*P471</f>
        <v>1.8691395196018682E-4</v>
      </c>
      <c r="S471" t="s">
        <v>572</v>
      </c>
      <c r="T471">
        <v>2.85</v>
      </c>
      <c r="U471" s="29">
        <f t="shared" si="52"/>
        <v>-5.6291390728476776E-2</v>
      </c>
      <c r="V471" s="5">
        <f>U471-V1274</f>
        <v>-5.8027581504183814E-2</v>
      </c>
      <c r="X471" s="1">
        <v>45264</v>
      </c>
      <c r="Y471">
        <v>3.66</v>
      </c>
      <c r="Z471" s="48">
        <f t="shared" si="53"/>
        <v>8.2644628099173278E-3</v>
      </c>
      <c r="AA471" s="5">
        <f>Z471-Y1274</f>
        <v>4.0471433406431938E-3</v>
      </c>
      <c r="AD471" t="s">
        <v>572</v>
      </c>
      <c r="AE471">
        <v>59.04</v>
      </c>
      <c r="AF471" s="29">
        <f t="shared" si="54"/>
        <v>-1.3698630136986356E-2</v>
      </c>
    </row>
    <row r="472" spans="1:32">
      <c r="A472" s="3" t="s">
        <v>576</v>
      </c>
      <c r="B472" s="222">
        <v>31.52</v>
      </c>
      <c r="C472" s="227">
        <f t="shared" si="49"/>
        <v>1.0904425914047389E-2</v>
      </c>
      <c r="D472" s="5">
        <f>C472-C1275</f>
        <v>1.08263803444885E-2</v>
      </c>
      <c r="E472" s="1"/>
      <c r="F472" s="8"/>
      <c r="H472" t="s">
        <v>575</v>
      </c>
      <c r="I472">
        <v>9.83</v>
      </c>
      <c r="J472" s="227">
        <f t="shared" si="50"/>
        <v>-4.0526849037486601E-3</v>
      </c>
      <c r="K472" s="5">
        <f>J472-J1276</f>
        <v>-6.1886408193586179E-3</v>
      </c>
      <c r="M472" s="240" t="s">
        <v>573</v>
      </c>
      <c r="N472">
        <v>3977.53</v>
      </c>
      <c r="O472" s="227">
        <f t="shared" si="51"/>
        <v>1.5763219322786348E-3</v>
      </c>
      <c r="P472" s="5">
        <f>O472-O1278</f>
        <v>1.9420791331918063E-3</v>
      </c>
      <c r="Q472" s="8">
        <f t="shared" si="55"/>
        <v>3.7716713595790379E-6</v>
      </c>
      <c r="S472" t="s">
        <v>573</v>
      </c>
      <c r="T472">
        <v>2.77</v>
      </c>
      <c r="U472" s="29">
        <f t="shared" si="52"/>
        <v>-2.8070175438596467E-2</v>
      </c>
      <c r="V472" s="5">
        <f>U472-V1274</f>
        <v>-2.9806366214303506E-2</v>
      </c>
      <c r="X472" s="1">
        <v>45234</v>
      </c>
      <c r="Y472">
        <v>3.75</v>
      </c>
      <c r="Z472" s="48">
        <f t="shared" si="53"/>
        <v>2.4590163934426146E-2</v>
      </c>
      <c r="AA472" s="5">
        <f>Z472-Y1274</f>
        <v>2.0372844465152012E-2</v>
      </c>
      <c r="AD472" t="s">
        <v>573</v>
      </c>
      <c r="AE472">
        <v>59.9</v>
      </c>
      <c r="AF472" s="29">
        <f t="shared" si="54"/>
        <v>1.4566395663956566E-2</v>
      </c>
    </row>
    <row r="473" spans="1:32">
      <c r="A473" s="3" t="s">
        <v>577</v>
      </c>
      <c r="B473" s="222">
        <v>32.86</v>
      </c>
      <c r="C473" s="227">
        <f t="shared" si="49"/>
        <v>4.2512690355329896E-2</v>
      </c>
      <c r="D473" s="5">
        <f>C473-C1275</f>
        <v>4.2434644785771004E-2</v>
      </c>
      <c r="E473" s="1"/>
      <c r="F473" s="8"/>
      <c r="H473" t="s">
        <v>576</v>
      </c>
      <c r="I473">
        <v>9.9600000000000009</v>
      </c>
      <c r="J473" s="227">
        <f t="shared" si="50"/>
        <v>1.322482197355046E-2</v>
      </c>
      <c r="K473" s="5">
        <f>J473-J1276</f>
        <v>1.1088866057940502E-2</v>
      </c>
      <c r="M473" s="240" t="s">
        <v>574</v>
      </c>
      <c r="N473">
        <v>3970.99</v>
      </c>
      <c r="O473" s="227">
        <f t="shared" si="51"/>
        <v>-1.6442364985306268E-3</v>
      </c>
      <c r="P473" s="5">
        <f>O473-O1278</f>
        <v>-1.2784792976174553E-3</v>
      </c>
      <c r="Q473" s="8">
        <f t="shared" si="55"/>
        <v>1.634509314436422E-6</v>
      </c>
      <c r="S473" t="s">
        <v>574</v>
      </c>
      <c r="T473">
        <v>2.68</v>
      </c>
      <c r="U473" s="29">
        <f t="shared" si="52"/>
        <v>-3.2490974729241784E-2</v>
      </c>
      <c r="V473" s="5">
        <f>U473-V1274</f>
        <v>-3.4227165504948823E-2</v>
      </c>
      <c r="X473" s="1">
        <v>45203</v>
      </c>
      <c r="Y473">
        <v>3.84</v>
      </c>
      <c r="Z473" s="48">
        <f t="shared" si="53"/>
        <v>2.4000000000000021E-2</v>
      </c>
      <c r="AA473" s="5">
        <f>Z473-Y1274</f>
        <v>1.9782680530725887E-2</v>
      </c>
      <c r="AD473" t="s">
        <v>574</v>
      </c>
      <c r="AE473">
        <v>60.67</v>
      </c>
      <c r="AF473" s="29">
        <f t="shared" si="54"/>
        <v>1.285475792988322E-2</v>
      </c>
    </row>
    <row r="474" spans="1:32">
      <c r="A474" s="3" t="s">
        <v>578</v>
      </c>
      <c r="B474" s="222">
        <v>31.93</v>
      </c>
      <c r="C474" s="227">
        <f t="shared" si="49"/>
        <v>-2.8301886792452824E-2</v>
      </c>
      <c r="D474" s="5">
        <f>C474-C1275</f>
        <v>-2.8379932362011712E-2</v>
      </c>
      <c r="E474" s="1"/>
      <c r="F474" s="8"/>
      <c r="H474" t="s">
        <v>577</v>
      </c>
      <c r="I474">
        <v>10.46</v>
      </c>
      <c r="J474" s="227">
        <f t="shared" si="50"/>
        <v>5.0200803212851364E-2</v>
      </c>
      <c r="K474" s="5">
        <f>J474-J1276</f>
        <v>4.8064847297241406E-2</v>
      </c>
      <c r="M474" s="240" t="s">
        <v>575</v>
      </c>
      <c r="N474">
        <v>3948.72</v>
      </c>
      <c r="O474" s="227">
        <f t="shared" si="51"/>
        <v>-5.6081732766891657E-3</v>
      </c>
      <c r="P474" s="5">
        <f>O474-O1278</f>
        <v>-5.2424160757759937E-3</v>
      </c>
      <c r="Q474" s="8">
        <f t="shared" si="55"/>
        <v>2.748292631155457E-5</v>
      </c>
      <c r="S474" t="s">
        <v>575</v>
      </c>
      <c r="T474">
        <v>2.75</v>
      </c>
      <c r="U474" s="29">
        <f t="shared" si="52"/>
        <v>2.6119402985074647E-2</v>
      </c>
      <c r="V474" s="5">
        <f>U474-V1274</f>
        <v>2.4383212209367608E-2</v>
      </c>
      <c r="X474" s="1">
        <v>45081</v>
      </c>
      <c r="Y474">
        <v>3.89</v>
      </c>
      <c r="Z474" s="48">
        <f t="shared" si="53"/>
        <v>1.3020833333333481E-2</v>
      </c>
      <c r="AA474" s="5">
        <f>Z474-Y1274</f>
        <v>8.8035138640593473E-3</v>
      </c>
      <c r="AD474" t="s">
        <v>575</v>
      </c>
      <c r="AE474">
        <v>60.31</v>
      </c>
      <c r="AF474" s="29">
        <f t="shared" si="54"/>
        <v>-5.9337399044008254E-3</v>
      </c>
    </row>
    <row r="475" spans="1:32">
      <c r="A475" s="3" t="s">
        <v>579</v>
      </c>
      <c r="B475" s="222">
        <v>31.78</v>
      </c>
      <c r="C475" s="227">
        <f t="shared" si="49"/>
        <v>-4.6977763858440102E-3</v>
      </c>
      <c r="D475" s="5">
        <f>C475-C1275</f>
        <v>-4.7758219554028996E-3</v>
      </c>
      <c r="E475" s="1"/>
      <c r="F475" s="8"/>
      <c r="H475" t="s">
        <v>578</v>
      </c>
      <c r="I475">
        <v>9.93</v>
      </c>
      <c r="J475" s="227">
        <f t="shared" si="50"/>
        <v>-5.0669216061185574E-2</v>
      </c>
      <c r="K475" s="5">
        <f>J475-J1276</f>
        <v>-5.2805171976795531E-2</v>
      </c>
      <c r="M475" s="240" t="s">
        <v>576</v>
      </c>
      <c r="N475">
        <v>3936.97</v>
      </c>
      <c r="O475" s="227">
        <f t="shared" si="51"/>
        <v>-2.9756478048582613E-3</v>
      </c>
      <c r="P475" s="5">
        <f>O475-O1278</f>
        <v>-2.6098906039450898E-3</v>
      </c>
      <c r="Q475" s="8">
        <f t="shared" si="55"/>
        <v>6.8115289645608658E-6</v>
      </c>
      <c r="S475" t="s">
        <v>576</v>
      </c>
      <c r="T475">
        <v>2.78</v>
      </c>
      <c r="U475" s="29">
        <f t="shared" si="52"/>
        <v>1.0909090909090757E-2</v>
      </c>
      <c r="V475" s="5">
        <f>U475-V1274</f>
        <v>9.1729001333837185E-3</v>
      </c>
      <c r="X475" s="1">
        <v>45050</v>
      </c>
      <c r="Y475">
        <v>3.7</v>
      </c>
      <c r="Z475" s="48">
        <f t="shared" si="53"/>
        <v>-4.8843187660668419E-2</v>
      </c>
      <c r="AA475" s="5">
        <f>Z475-Y1274</f>
        <v>-5.306050712994255E-2</v>
      </c>
      <c r="AD475" t="s">
        <v>576</v>
      </c>
      <c r="AE475">
        <v>59.12</v>
      </c>
      <c r="AF475" s="29">
        <f t="shared" si="54"/>
        <v>-1.973138782954742E-2</v>
      </c>
    </row>
    <row r="476" spans="1:32">
      <c r="A476" s="3" t="s">
        <v>580</v>
      </c>
      <c r="B476" s="222">
        <v>32.729999999999997</v>
      </c>
      <c r="C476" s="227">
        <f t="shared" si="49"/>
        <v>2.9893014474512203E-2</v>
      </c>
      <c r="D476" s="5">
        <f>C476-C1275</f>
        <v>2.9814968904953314E-2</v>
      </c>
      <c r="E476" s="1"/>
      <c r="F476" s="8"/>
      <c r="H476" t="s">
        <v>579</v>
      </c>
      <c r="I476">
        <v>10.06</v>
      </c>
      <c r="J476" s="227">
        <f t="shared" si="50"/>
        <v>1.3091641490433181E-2</v>
      </c>
      <c r="K476" s="5">
        <f>J476-J1276</f>
        <v>1.0955685574823223E-2</v>
      </c>
      <c r="M476" s="240" t="s">
        <v>577</v>
      </c>
      <c r="N476">
        <v>4002.87</v>
      </c>
      <c r="O476" s="227">
        <f t="shared" si="51"/>
        <v>1.673876102688121E-2</v>
      </c>
      <c r="P476" s="5">
        <f>O476-O1278</f>
        <v>1.7104518227794383E-2</v>
      </c>
      <c r="Q476" s="8">
        <f t="shared" si="55"/>
        <v>2.9256454380495033E-4</v>
      </c>
      <c r="S476" t="s">
        <v>577</v>
      </c>
      <c r="T476">
        <v>2.87</v>
      </c>
      <c r="U476" s="29">
        <f t="shared" si="52"/>
        <v>3.2374100719424481E-2</v>
      </c>
      <c r="V476" s="5">
        <f>U476-V1274</f>
        <v>3.0637909943717442E-2</v>
      </c>
      <c r="X476" s="1">
        <v>45020</v>
      </c>
      <c r="Y476">
        <v>3.7</v>
      </c>
      <c r="Z476" s="48">
        <f t="shared" si="53"/>
        <v>0</v>
      </c>
      <c r="AA476" s="5">
        <f>Z476-Y1274</f>
        <v>-4.2173194692741341E-3</v>
      </c>
      <c r="AD476" t="s">
        <v>577</v>
      </c>
      <c r="AE476">
        <v>60.37</v>
      </c>
      <c r="AF476" s="29">
        <f t="shared" si="54"/>
        <v>2.1143437077131289E-2</v>
      </c>
    </row>
    <row r="477" spans="1:32">
      <c r="A477" s="3" t="s">
        <v>581</v>
      </c>
      <c r="B477" s="222">
        <v>31.97</v>
      </c>
      <c r="C477" s="227">
        <f t="shared" si="49"/>
        <v>-2.3220287198288947E-2</v>
      </c>
      <c r="D477" s="5">
        <f>C477-C1275</f>
        <v>-2.3298332767847835E-2</v>
      </c>
      <c r="F477" s="8"/>
      <c r="H477" t="s">
        <v>580</v>
      </c>
      <c r="I477">
        <v>9.6</v>
      </c>
      <c r="J477" s="227">
        <f t="shared" si="50"/>
        <v>-4.5725646123260466E-2</v>
      </c>
      <c r="K477" s="5">
        <f>J477-J1276</f>
        <v>-4.7861602038870424E-2</v>
      </c>
      <c r="M477" s="240" t="s">
        <v>578</v>
      </c>
      <c r="N477">
        <v>3951.57</v>
      </c>
      <c r="O477" s="227">
        <f t="shared" si="51"/>
        <v>-1.2815804660156305E-2</v>
      </c>
      <c r="P477" s="5">
        <f>O477-O1278</f>
        <v>-1.2450047459243134E-2</v>
      </c>
      <c r="Q477" s="8">
        <f t="shared" si="55"/>
        <v>1.550036817374064E-4</v>
      </c>
      <c r="S477" t="s">
        <v>578</v>
      </c>
      <c r="T477">
        <v>2.79</v>
      </c>
      <c r="U477" s="29">
        <f t="shared" si="52"/>
        <v>-2.7874564459930307E-2</v>
      </c>
      <c r="V477" s="5">
        <f>U477-V1274</f>
        <v>-2.9610755235637345E-2</v>
      </c>
      <c r="X477" s="1">
        <v>44989</v>
      </c>
      <c r="Y477">
        <v>3.82</v>
      </c>
      <c r="Z477" s="48">
        <f t="shared" si="53"/>
        <v>3.2432432432432323E-2</v>
      </c>
      <c r="AA477" s="5">
        <f>Z477-Y1274</f>
        <v>2.8215112963158189E-2</v>
      </c>
      <c r="AD477" t="s">
        <v>578</v>
      </c>
      <c r="AE477">
        <v>59.32</v>
      </c>
      <c r="AF477" s="29">
        <f t="shared" si="54"/>
        <v>-1.7392744740765242E-2</v>
      </c>
    </row>
    <row r="478" spans="1:32">
      <c r="A478" s="3" t="s">
        <v>582</v>
      </c>
      <c r="B478" s="222">
        <v>32.36</v>
      </c>
      <c r="C478" s="227">
        <f t="shared" si="49"/>
        <v>1.2198936502971547E-2</v>
      </c>
      <c r="D478" s="5">
        <f>C478-C1275</f>
        <v>1.2120890933412658E-2</v>
      </c>
      <c r="F478" s="8"/>
      <c r="H478" t="s">
        <v>581</v>
      </c>
      <c r="I478">
        <v>8.99</v>
      </c>
      <c r="J478" s="227">
        <f t="shared" si="50"/>
        <v>-6.3541666666666607E-2</v>
      </c>
      <c r="K478" s="5">
        <f>J478-J1276</f>
        <v>-6.5677622582276565E-2</v>
      </c>
      <c r="M478" s="240" t="s">
        <v>579</v>
      </c>
      <c r="N478">
        <v>3916.64</v>
      </c>
      <c r="O478" s="227">
        <f t="shared" si="51"/>
        <v>-8.8395245434094161E-3</v>
      </c>
      <c r="P478" s="5">
        <f>O478-O1278</f>
        <v>-8.473767342496245E-3</v>
      </c>
      <c r="Q478" s="8">
        <f t="shared" si="55"/>
        <v>7.1804732974755874E-5</v>
      </c>
      <c r="S478" t="s">
        <v>579</v>
      </c>
      <c r="T478">
        <v>2.86</v>
      </c>
      <c r="U478" s="29">
        <f t="shared" si="52"/>
        <v>2.5089605734766929E-2</v>
      </c>
      <c r="V478" s="5">
        <f>U478-V1274</f>
        <v>2.335341495905989E-2</v>
      </c>
      <c r="X478" t="s">
        <v>569</v>
      </c>
      <c r="Y478">
        <v>3.8</v>
      </c>
      <c r="Z478" s="48">
        <f t="shared" si="53"/>
        <v>-5.2356020942407877E-3</v>
      </c>
      <c r="AA478" s="5">
        <f>Z478-Y1274</f>
        <v>-9.4529215635149218E-3</v>
      </c>
      <c r="AD478" t="s">
        <v>579</v>
      </c>
      <c r="AE478">
        <v>59.64</v>
      </c>
      <c r="AF478" s="29">
        <f t="shared" si="54"/>
        <v>5.3944706675657095E-3</v>
      </c>
    </row>
    <row r="479" spans="1:32">
      <c r="A479" s="3" t="s">
        <v>583</v>
      </c>
      <c r="B479" s="222">
        <v>30.82</v>
      </c>
      <c r="C479" s="227">
        <f t="shared" si="49"/>
        <v>-4.7589616810877589E-2</v>
      </c>
      <c r="D479" s="5">
        <f>C479-C1275</f>
        <v>-4.766766238043648E-2</v>
      </c>
      <c r="F479" s="8"/>
      <c r="H479" t="s">
        <v>582</v>
      </c>
      <c r="I479">
        <v>8.51</v>
      </c>
      <c r="J479" s="227">
        <f t="shared" si="50"/>
        <v>-5.339265850945496E-2</v>
      </c>
      <c r="K479" s="5">
        <f>J479-J1276</f>
        <v>-5.5528614425064918E-2</v>
      </c>
      <c r="M479" s="240" t="s">
        <v>580</v>
      </c>
      <c r="N479">
        <v>3960.28</v>
      </c>
      <c r="O479" s="227">
        <f t="shared" si="51"/>
        <v>1.114220352138573E-2</v>
      </c>
      <c r="P479" s="5">
        <f>O479-O1278</f>
        <v>1.1507960722298901E-2</v>
      </c>
      <c r="Q479" s="8">
        <f t="shared" si="55"/>
        <v>1.3243315998597423E-4</v>
      </c>
      <c r="S479" t="s">
        <v>580</v>
      </c>
      <c r="T479">
        <v>2.84</v>
      </c>
      <c r="U479" s="29">
        <f t="shared" si="52"/>
        <v>-6.9930069930069783E-3</v>
      </c>
      <c r="V479" s="5">
        <f>U479-V1274</f>
        <v>-8.7291977687140171E-3</v>
      </c>
      <c r="X479" t="s">
        <v>570</v>
      </c>
      <c r="Y479">
        <v>3.95</v>
      </c>
      <c r="Z479" s="48">
        <f t="shared" si="53"/>
        <v>3.9473684210526327E-2</v>
      </c>
      <c r="AA479" s="5">
        <f>Z479-Y1274</f>
        <v>3.5256364741252197E-2</v>
      </c>
      <c r="AD479" t="s">
        <v>580</v>
      </c>
      <c r="AE479">
        <v>60.73</v>
      </c>
      <c r="AF479" s="29">
        <f t="shared" si="54"/>
        <v>1.827632461435269E-2</v>
      </c>
    </row>
    <row r="480" spans="1:32">
      <c r="A480" s="220">
        <v>45202</v>
      </c>
      <c r="B480" s="222">
        <v>31.11</v>
      </c>
      <c r="C480" s="227">
        <f t="shared" si="49"/>
        <v>9.4094743672938908E-3</v>
      </c>
      <c r="D480" s="5">
        <f>C480-C1275</f>
        <v>9.3314287977350023E-3</v>
      </c>
      <c r="F480" s="8"/>
      <c r="H480" t="s">
        <v>583</v>
      </c>
      <c r="I480">
        <v>8.4600000000000009</v>
      </c>
      <c r="J480" s="227">
        <f t="shared" si="50"/>
        <v>-5.8754406580492358E-3</v>
      </c>
      <c r="K480" s="5">
        <f>J480-J1276</f>
        <v>-8.0113965736591936E-3</v>
      </c>
      <c r="M480" s="240" t="s">
        <v>581</v>
      </c>
      <c r="N480">
        <v>3891.93</v>
      </c>
      <c r="O480" s="227">
        <f t="shared" si="51"/>
        <v>-1.7258880685204203E-2</v>
      </c>
      <c r="P480" s="5">
        <f>O480-O1278</f>
        <v>-1.689312348429103E-2</v>
      </c>
      <c r="Q480" s="8">
        <f t="shared" si="55"/>
        <v>2.8537762105550511E-4</v>
      </c>
      <c r="S480" t="s">
        <v>581</v>
      </c>
      <c r="T480">
        <v>2.85</v>
      </c>
      <c r="U480" s="29">
        <f t="shared" si="52"/>
        <v>3.5211267605634866E-3</v>
      </c>
      <c r="V480" s="5">
        <f>U480-V1274</f>
        <v>1.7849359848564486E-3</v>
      </c>
      <c r="X480" t="s">
        <v>571</v>
      </c>
      <c r="Y480">
        <v>3.97</v>
      </c>
      <c r="Z480" s="48">
        <f t="shared" si="53"/>
        <v>5.0632911392405333E-3</v>
      </c>
      <c r="AA480" s="5">
        <f>Z480-Y1274</f>
        <v>8.4597166996639925E-4</v>
      </c>
      <c r="AD480" t="s">
        <v>581</v>
      </c>
      <c r="AE480">
        <v>58.47</v>
      </c>
      <c r="AF480" s="29">
        <f t="shared" si="54"/>
        <v>-3.7213897579450039E-2</v>
      </c>
    </row>
    <row r="481" spans="1:32">
      <c r="A481" s="220">
        <v>45172</v>
      </c>
      <c r="B481" s="222">
        <v>32.32</v>
      </c>
      <c r="C481" s="227">
        <f t="shared" si="49"/>
        <v>3.8894246223079465E-2</v>
      </c>
      <c r="D481" s="5">
        <f>C481-C1275</f>
        <v>3.8816200653520573E-2</v>
      </c>
      <c r="F481" s="8"/>
      <c r="H481" s="1">
        <v>45202</v>
      </c>
      <c r="I481">
        <v>8.7100000000000009</v>
      </c>
      <c r="J481" s="227">
        <f t="shared" si="50"/>
        <v>2.9550827423167947E-2</v>
      </c>
      <c r="K481" s="5">
        <f>J481-J1276</f>
        <v>2.7414871507557989E-2</v>
      </c>
      <c r="M481" s="240" t="s">
        <v>582</v>
      </c>
      <c r="N481">
        <v>3919.29</v>
      </c>
      <c r="O481" s="227">
        <f t="shared" si="51"/>
        <v>7.0299311652572971E-3</v>
      </c>
      <c r="P481" s="5">
        <f>O481-O1278</f>
        <v>7.395688366170469E-3</v>
      </c>
      <c r="Q481" s="8">
        <f t="shared" si="55"/>
        <v>5.4696206409509222E-5</v>
      </c>
      <c r="S481" t="s">
        <v>582</v>
      </c>
      <c r="T481">
        <v>2.91</v>
      </c>
      <c r="U481" s="29">
        <f t="shared" si="52"/>
        <v>2.1052631578947434E-2</v>
      </c>
      <c r="V481" s="5">
        <f>U481-V1274</f>
        <v>1.9316440803240395E-2</v>
      </c>
      <c r="X481" t="s">
        <v>572</v>
      </c>
      <c r="Y481">
        <v>3.98</v>
      </c>
      <c r="Z481" s="48">
        <f t="shared" si="53"/>
        <v>2.5188916876572875E-3</v>
      </c>
      <c r="AA481" s="5">
        <f>Z481-Y1274</f>
        <v>-1.6984277816168465E-3</v>
      </c>
      <c r="AD481" t="s">
        <v>582</v>
      </c>
      <c r="AE481">
        <v>56.99</v>
      </c>
      <c r="AF481" s="29">
        <f t="shared" si="54"/>
        <v>-2.5312125876517766E-2</v>
      </c>
    </row>
    <row r="482" spans="1:32">
      <c r="A482" s="220">
        <v>45141</v>
      </c>
      <c r="B482" s="222">
        <v>34.01</v>
      </c>
      <c r="C482" s="227">
        <f t="shared" si="49"/>
        <v>5.2289603960395947E-2</v>
      </c>
      <c r="D482" s="5">
        <f>C482-C1275</f>
        <v>5.2211558390837055E-2</v>
      </c>
      <c r="F482" s="8"/>
      <c r="H482" s="1">
        <v>45172</v>
      </c>
      <c r="I482">
        <v>8.92</v>
      </c>
      <c r="J482" s="227">
        <f t="shared" si="50"/>
        <v>2.4110218140068751E-2</v>
      </c>
      <c r="K482" s="5">
        <f>J482-J1276</f>
        <v>2.1974262224458793E-2</v>
      </c>
      <c r="M482" s="240" t="s">
        <v>583</v>
      </c>
      <c r="N482">
        <v>3855.76</v>
      </c>
      <c r="O482" s="227">
        <f t="shared" si="51"/>
        <v>-1.6209568569817479E-2</v>
      </c>
      <c r="P482" s="5">
        <f>O482-O1278</f>
        <v>-1.5843811368904306E-2</v>
      </c>
      <c r="Q482" s="8">
        <f t="shared" si="55"/>
        <v>2.5102635869342132E-4</v>
      </c>
      <c r="S482" t="s">
        <v>583</v>
      </c>
      <c r="T482">
        <v>2.86</v>
      </c>
      <c r="U482" s="29">
        <f t="shared" si="52"/>
        <v>-1.718213058419249E-2</v>
      </c>
      <c r="V482" s="5">
        <f>U482-V1274</f>
        <v>-1.8918321359899529E-2</v>
      </c>
      <c r="X482" t="s">
        <v>573</v>
      </c>
      <c r="Y482">
        <v>3.76</v>
      </c>
      <c r="Z482" s="48">
        <f t="shared" si="53"/>
        <v>-5.5276381909547756E-2</v>
      </c>
      <c r="AA482" s="5">
        <f>Z482-Y1274</f>
        <v>-5.9493701378821887E-2</v>
      </c>
      <c r="AD482" t="s">
        <v>583</v>
      </c>
      <c r="AE482">
        <v>53.8</v>
      </c>
      <c r="AF482" s="29">
        <f t="shared" si="54"/>
        <v>-5.5974732409194705E-2</v>
      </c>
    </row>
    <row r="483" spans="1:32">
      <c r="A483" s="220">
        <v>45110</v>
      </c>
      <c r="B483" s="222">
        <v>34.14</v>
      </c>
      <c r="C483" s="227">
        <f t="shared" si="49"/>
        <v>3.8224051749486954E-3</v>
      </c>
      <c r="D483" s="5">
        <f>C483-C1275</f>
        <v>3.744359605389806E-3</v>
      </c>
      <c r="F483" s="8"/>
      <c r="H483" s="1">
        <v>45141</v>
      </c>
      <c r="I483">
        <v>9.8000000000000007</v>
      </c>
      <c r="J483" s="227">
        <f t="shared" si="50"/>
        <v>9.8654708520179435E-2</v>
      </c>
      <c r="K483" s="5">
        <f>J483-J1276</f>
        <v>9.6518752604569477E-2</v>
      </c>
      <c r="M483" s="241">
        <v>45202</v>
      </c>
      <c r="N483">
        <v>3861.59</v>
      </c>
      <c r="O483" s="227">
        <f t="shared" si="51"/>
        <v>1.5120235699317419E-3</v>
      </c>
      <c r="P483" s="5">
        <f>O483-O1278</f>
        <v>1.8777807708449134E-3</v>
      </c>
      <c r="Q483" s="8">
        <f t="shared" si="55"/>
        <v>3.5260606233549174E-6</v>
      </c>
      <c r="S483" s="1">
        <v>45202</v>
      </c>
      <c r="T483">
        <v>2.85</v>
      </c>
      <c r="U483" s="29">
        <f t="shared" si="52"/>
        <v>-3.4965034965034336E-3</v>
      </c>
      <c r="V483" s="5">
        <f>U483-V1274</f>
        <v>-5.2326942722104716E-3</v>
      </c>
      <c r="X483" t="s">
        <v>574</v>
      </c>
      <c r="Y483">
        <v>3.65</v>
      </c>
      <c r="Z483" s="48">
        <f t="shared" si="53"/>
        <v>-2.9255319148936088E-2</v>
      </c>
      <c r="AA483" s="5">
        <f>Z483-Y1274</f>
        <v>-3.3472638618210218E-2</v>
      </c>
      <c r="AD483" s="1">
        <v>45202</v>
      </c>
      <c r="AE483">
        <v>53.23</v>
      </c>
      <c r="AF483" s="29">
        <f t="shared" si="54"/>
        <v>-1.0594795539033419E-2</v>
      </c>
    </row>
    <row r="484" spans="1:32">
      <c r="A484" s="220">
        <v>45080</v>
      </c>
      <c r="B484" s="222">
        <v>33.880000000000003</v>
      </c>
      <c r="C484" s="227">
        <f t="shared" si="49"/>
        <v>-7.6157000585822532E-3</v>
      </c>
      <c r="D484" s="5">
        <f>C484-C1275</f>
        <v>-7.6937456281411425E-3</v>
      </c>
      <c r="F484" s="8"/>
      <c r="H484" s="1">
        <v>45110</v>
      </c>
      <c r="I484">
        <v>9.8800000000000008</v>
      </c>
      <c r="J484" s="227">
        <f t="shared" si="50"/>
        <v>8.1632653061225469E-3</v>
      </c>
      <c r="K484" s="5">
        <f>J484-J1276</f>
        <v>6.0273093905125891E-3</v>
      </c>
      <c r="M484" s="241">
        <v>45172</v>
      </c>
      <c r="N484">
        <v>3918.32</v>
      </c>
      <c r="O484" s="227">
        <f t="shared" si="51"/>
        <v>1.4690839783612519E-2</v>
      </c>
      <c r="P484" s="5">
        <f>O484-O1278</f>
        <v>1.505659698452569E-2</v>
      </c>
      <c r="Q484" s="8">
        <f t="shared" si="55"/>
        <v>2.2670111275442811E-4</v>
      </c>
      <c r="S484" s="1">
        <v>45172</v>
      </c>
      <c r="T484">
        <v>2.99</v>
      </c>
      <c r="U484" s="29">
        <f t="shared" si="52"/>
        <v>4.9122807017544012E-2</v>
      </c>
      <c r="V484" s="5">
        <f>U484-V1274</f>
        <v>4.7386616241836974E-2</v>
      </c>
      <c r="X484" t="s">
        <v>575</v>
      </c>
      <c r="Y484">
        <v>3.71</v>
      </c>
      <c r="Z484" s="48">
        <f t="shared" si="53"/>
        <v>1.6438356164383494E-2</v>
      </c>
      <c r="AA484" s="5">
        <f>Z484-Y1274</f>
        <v>1.222103669510936E-2</v>
      </c>
      <c r="AD484" s="1">
        <v>45172</v>
      </c>
      <c r="AE484">
        <v>55.28</v>
      </c>
      <c r="AF484" s="29">
        <f t="shared" si="54"/>
        <v>3.8512117227127662E-2</v>
      </c>
    </row>
    <row r="485" spans="1:32">
      <c r="A485" s="220">
        <v>44988</v>
      </c>
      <c r="B485" s="222">
        <v>34.57</v>
      </c>
      <c r="C485" s="227">
        <f t="shared" si="49"/>
        <v>2.0365997638724931E-2</v>
      </c>
      <c r="D485" s="5">
        <f>C485-C1275</f>
        <v>2.0287952069166042E-2</v>
      </c>
      <c r="F485" s="8"/>
      <c r="H485" s="1">
        <v>45080</v>
      </c>
      <c r="I485">
        <v>9.75</v>
      </c>
      <c r="J485" s="227">
        <f t="shared" si="50"/>
        <v>-1.3157894736842146E-2</v>
      </c>
      <c r="K485" s="5">
        <f>J485-J1276</f>
        <v>-1.5293850652452104E-2</v>
      </c>
      <c r="M485" s="241">
        <v>45141</v>
      </c>
      <c r="N485">
        <v>3992.01</v>
      </c>
      <c r="O485" s="227">
        <f t="shared" si="51"/>
        <v>1.8806529328896149E-2</v>
      </c>
      <c r="P485" s="5">
        <f>O485-O1278</f>
        <v>1.9172286529809322E-2</v>
      </c>
      <c r="Q485" s="8">
        <f t="shared" si="55"/>
        <v>3.6757657078110797E-4</v>
      </c>
      <c r="S485" s="1">
        <v>45141</v>
      </c>
      <c r="T485">
        <v>3.16</v>
      </c>
      <c r="U485" s="29">
        <f t="shared" si="52"/>
        <v>5.6856187290969862E-2</v>
      </c>
      <c r="V485" s="5">
        <f>U485-V1274</f>
        <v>5.5119996515262823E-2</v>
      </c>
      <c r="X485" t="s">
        <v>576</v>
      </c>
      <c r="Y485">
        <v>3.65</v>
      </c>
      <c r="Z485" s="48">
        <f t="shared" si="53"/>
        <v>-1.6172506738544534E-2</v>
      </c>
      <c r="AA485" s="5">
        <f>Z485-Y1274</f>
        <v>-2.0389826207818668E-2</v>
      </c>
      <c r="AD485" s="1">
        <v>45141</v>
      </c>
      <c r="AE485">
        <v>58.2</v>
      </c>
      <c r="AF485" s="29">
        <f t="shared" si="54"/>
        <v>5.2821997105644058E-2</v>
      </c>
    </row>
    <row r="486" spans="1:32">
      <c r="A486" s="220">
        <v>44960</v>
      </c>
      <c r="B486" s="222">
        <v>33.69</v>
      </c>
      <c r="C486" s="227">
        <f t="shared" si="49"/>
        <v>-2.5455597338733038E-2</v>
      </c>
      <c r="D486" s="5">
        <f>C486-C1275</f>
        <v>-2.5533642908291927E-2</v>
      </c>
      <c r="F486" s="8"/>
      <c r="H486" s="1">
        <v>44988</v>
      </c>
      <c r="I486">
        <v>10.119999999999999</v>
      </c>
      <c r="J486" s="227">
        <f t="shared" si="50"/>
        <v>3.7948717948717903E-2</v>
      </c>
      <c r="K486" s="5">
        <f>J486-J1276</f>
        <v>3.5812762033107945E-2</v>
      </c>
      <c r="M486" s="241">
        <v>45110</v>
      </c>
      <c r="N486">
        <v>3986.37</v>
      </c>
      <c r="O486" s="227">
        <f t="shared" si="51"/>
        <v>-1.4128221121690876E-3</v>
      </c>
      <c r="P486" s="5">
        <f>O486-O1278</f>
        <v>-1.0470649112559161E-3</v>
      </c>
      <c r="Q486" s="8">
        <f t="shared" si="55"/>
        <v>1.0963449283833594E-6</v>
      </c>
      <c r="S486" s="1">
        <v>45110</v>
      </c>
      <c r="T486">
        <v>3.11</v>
      </c>
      <c r="U486" s="29">
        <f t="shared" si="52"/>
        <v>-1.5822784810126667E-2</v>
      </c>
      <c r="V486" s="5">
        <f>U486-V1274</f>
        <v>-1.7558975585833705E-2</v>
      </c>
      <c r="X486" t="s">
        <v>577</v>
      </c>
      <c r="Y486">
        <v>3.65</v>
      </c>
      <c r="Z486" s="48">
        <f t="shared" si="53"/>
        <v>0</v>
      </c>
      <c r="AA486" s="5">
        <f>Z486-Y1274</f>
        <v>-4.2173194692741341E-3</v>
      </c>
      <c r="AD486" s="1">
        <v>45110</v>
      </c>
      <c r="AE486">
        <v>58.16</v>
      </c>
      <c r="AF486" s="29">
        <f t="shared" si="54"/>
        <v>-6.8728522336780618E-4</v>
      </c>
    </row>
    <row r="487" spans="1:32">
      <c r="A487" s="220">
        <v>44929</v>
      </c>
      <c r="B487" s="222">
        <v>32.99</v>
      </c>
      <c r="C487" s="227">
        <f t="shared" si="49"/>
        <v>-2.0777678836449875E-2</v>
      </c>
      <c r="D487" s="5">
        <f>C487-C1275</f>
        <v>-2.0855724406008764E-2</v>
      </c>
      <c r="F487" s="8"/>
      <c r="H487" s="1">
        <v>44960</v>
      </c>
      <c r="I487">
        <v>9.7799999999999994</v>
      </c>
      <c r="J487" s="227">
        <f t="shared" si="50"/>
        <v>-3.359683794466406E-2</v>
      </c>
      <c r="K487" s="5">
        <f>J487-J1276</f>
        <v>-3.5732793860274017E-2</v>
      </c>
      <c r="M487" s="241">
        <v>45080</v>
      </c>
      <c r="N487">
        <v>4048.42</v>
      </c>
      <c r="O487" s="227">
        <f t="shared" si="51"/>
        <v>1.5565539576105625E-2</v>
      </c>
      <c r="P487" s="5">
        <f>O487-O1278</f>
        <v>1.5931296777018798E-2</v>
      </c>
      <c r="Q487" s="8">
        <f t="shared" si="55"/>
        <v>2.5380621699744955E-4</v>
      </c>
      <c r="S487" s="1">
        <v>45080</v>
      </c>
      <c r="T487">
        <v>3.14</v>
      </c>
      <c r="U487" s="29">
        <f t="shared" si="52"/>
        <v>9.6463022508039842E-3</v>
      </c>
      <c r="V487" s="5">
        <f>U487-V1274</f>
        <v>7.9101114750969453E-3</v>
      </c>
      <c r="X487" t="s">
        <v>578</v>
      </c>
      <c r="Y487">
        <v>3.43</v>
      </c>
      <c r="Z487" s="48">
        <f t="shared" si="53"/>
        <v>-6.02739726027397E-2</v>
      </c>
      <c r="AA487" s="5">
        <f>Z487-Y1274</f>
        <v>-6.4491292072013831E-2</v>
      </c>
      <c r="AD487" s="1">
        <v>45080</v>
      </c>
      <c r="AE487">
        <v>55.95</v>
      </c>
      <c r="AF487" s="29">
        <f t="shared" si="54"/>
        <v>-3.7998624484181454E-2</v>
      </c>
    </row>
    <row r="488" spans="1:32">
      <c r="A488" s="3" t="s">
        <v>584</v>
      </c>
      <c r="B488" s="222">
        <v>33.26</v>
      </c>
      <c r="C488" s="227">
        <f t="shared" si="49"/>
        <v>8.1842982722035718E-3</v>
      </c>
      <c r="D488" s="5">
        <f>C488-C1275</f>
        <v>8.1062527026446833E-3</v>
      </c>
      <c r="E488" s="1"/>
      <c r="F488" s="8"/>
      <c r="H488" s="1">
        <v>44929</v>
      </c>
      <c r="I488">
        <v>9.9</v>
      </c>
      <c r="J488" s="227">
        <f t="shared" si="50"/>
        <v>1.22699386503069E-2</v>
      </c>
      <c r="K488" s="5">
        <f>J488-J1276</f>
        <v>1.0133982734696942E-2</v>
      </c>
      <c r="M488" s="241">
        <v>44988</v>
      </c>
      <c r="N488">
        <v>4045.64</v>
      </c>
      <c r="O488" s="227">
        <f t="shared" si="51"/>
        <v>-6.8668764604462584E-4</v>
      </c>
      <c r="P488" s="5">
        <f>O488-O1278</f>
        <v>-3.209304451314543E-4</v>
      </c>
      <c r="Q488" s="8">
        <f t="shared" si="55"/>
        <v>1.029963506122734E-7</v>
      </c>
      <c r="S488" s="1">
        <v>44988</v>
      </c>
      <c r="T488">
        <v>3.28</v>
      </c>
      <c r="U488" s="29">
        <f t="shared" si="52"/>
        <v>4.4585987261146487E-2</v>
      </c>
      <c r="V488" s="5">
        <f>U488-V1274</f>
        <v>4.2849796485439448E-2</v>
      </c>
      <c r="X488" t="s">
        <v>579</v>
      </c>
      <c r="Y488">
        <v>3.51</v>
      </c>
      <c r="Z488" s="48">
        <f t="shared" si="53"/>
        <v>2.3323615160349753E-2</v>
      </c>
      <c r="AA488" s="5">
        <f>Z488-Y1274</f>
        <v>1.9106295691075619E-2</v>
      </c>
      <c r="AD488" s="1">
        <v>44988</v>
      </c>
      <c r="AE488">
        <v>57.34</v>
      </c>
      <c r="AF488" s="29">
        <f t="shared" si="54"/>
        <v>2.4843610366398483E-2</v>
      </c>
    </row>
    <row r="489" spans="1:32">
      <c r="A489" s="3" t="s">
        <v>585</v>
      </c>
      <c r="B489" s="222">
        <v>33.549999999999997</v>
      </c>
      <c r="C489" s="227">
        <f t="shared" si="49"/>
        <v>8.7191822008418907E-3</v>
      </c>
      <c r="D489" s="5">
        <f>C489-C1275</f>
        <v>8.6411366312830022E-3</v>
      </c>
      <c r="E489" s="1"/>
      <c r="F489" s="8"/>
      <c r="H489" t="s">
        <v>584</v>
      </c>
      <c r="I489">
        <v>10</v>
      </c>
      <c r="J489" s="227">
        <f t="shared" si="50"/>
        <v>1.0101010101010166E-2</v>
      </c>
      <c r="K489" s="5">
        <f>J489-J1276</f>
        <v>7.9650541854002083E-3</v>
      </c>
      <c r="M489" s="241">
        <v>44960</v>
      </c>
      <c r="N489">
        <v>3981.35</v>
      </c>
      <c r="O489" s="227">
        <f t="shared" si="51"/>
        <v>-1.5891181617741612E-2</v>
      </c>
      <c r="P489" s="5">
        <f>O489-O1278</f>
        <v>-1.5525424416828441E-2</v>
      </c>
      <c r="Q489" s="8">
        <f t="shared" si="55"/>
        <v>2.4103880332265273E-4</v>
      </c>
      <c r="S489" s="1">
        <v>44960</v>
      </c>
      <c r="T489">
        <v>3.2</v>
      </c>
      <c r="U489" s="29">
        <f t="shared" si="52"/>
        <v>-2.4390243902438935E-2</v>
      </c>
      <c r="V489" s="5">
        <f>U489-V1274</f>
        <v>-2.6126434678145974E-2</v>
      </c>
      <c r="X489" t="s">
        <v>580</v>
      </c>
      <c r="Y489">
        <v>3.6</v>
      </c>
      <c r="Z489" s="48">
        <f t="shared" si="53"/>
        <v>2.5641025641025772E-2</v>
      </c>
      <c r="AA489" s="5">
        <f>Z489-Y1274</f>
        <v>2.1423706171751638E-2</v>
      </c>
      <c r="AD489" s="1">
        <v>44960</v>
      </c>
      <c r="AE489">
        <v>55.28</v>
      </c>
      <c r="AF489" s="29">
        <f t="shared" si="54"/>
        <v>-3.5926055109871013E-2</v>
      </c>
    </row>
    <row r="490" spans="1:32">
      <c r="A490" s="3" t="s">
        <v>586</v>
      </c>
      <c r="B490" s="222">
        <v>33.4</v>
      </c>
      <c r="C490" s="227">
        <f t="shared" si="49"/>
        <v>-4.4709388971683195E-3</v>
      </c>
      <c r="D490" s="5">
        <f>C490-C1275</f>
        <v>-4.5489844667272088E-3</v>
      </c>
      <c r="E490" s="1"/>
      <c r="F490" s="8"/>
      <c r="H490" t="s">
        <v>585</v>
      </c>
      <c r="I490">
        <v>10</v>
      </c>
      <c r="J490" s="227">
        <f t="shared" si="50"/>
        <v>0</v>
      </c>
      <c r="K490" s="5">
        <f>J490-J1276</f>
        <v>-2.1359559156099578E-3</v>
      </c>
      <c r="M490" s="241">
        <v>44929</v>
      </c>
      <c r="N490">
        <v>3951.39</v>
      </c>
      <c r="O490" s="227">
        <f t="shared" si="51"/>
        <v>-7.5250857121328396E-3</v>
      </c>
      <c r="P490" s="5">
        <f>O490-O1278</f>
        <v>-7.1593285112196677E-3</v>
      </c>
      <c r="Q490" s="8">
        <f t="shared" si="55"/>
        <v>5.1255984731562822E-5</v>
      </c>
      <c r="S490" s="1">
        <v>44929</v>
      </c>
      <c r="T490">
        <v>3.1</v>
      </c>
      <c r="U490" s="29">
        <f t="shared" si="52"/>
        <v>-3.125E-2</v>
      </c>
      <c r="V490" s="5">
        <f>U490-V1274</f>
        <v>-3.2986190775707039E-2</v>
      </c>
      <c r="X490" t="s">
        <v>581</v>
      </c>
      <c r="Y490">
        <v>3.63</v>
      </c>
      <c r="Z490" s="48">
        <f t="shared" si="53"/>
        <v>8.3333333333333037E-3</v>
      </c>
      <c r="AA490" s="5">
        <f>Z490-Y1274</f>
        <v>4.1160138640591697E-3</v>
      </c>
      <c r="AD490" s="1">
        <v>44929</v>
      </c>
      <c r="AE490">
        <v>53.92</v>
      </c>
      <c r="AF490" s="29">
        <f t="shared" si="54"/>
        <v>-2.4602026049204029E-2</v>
      </c>
    </row>
    <row r="491" spans="1:32">
      <c r="A491" s="3" t="s">
        <v>587</v>
      </c>
      <c r="B491" s="222">
        <v>34.47</v>
      </c>
      <c r="C491" s="227">
        <f t="shared" si="49"/>
        <v>3.2035928143712589E-2</v>
      </c>
      <c r="D491" s="5">
        <f>C491-C1275</f>
        <v>3.1957882574153697E-2</v>
      </c>
      <c r="E491" s="1"/>
      <c r="F491" s="8"/>
      <c r="H491" t="s">
        <v>586</v>
      </c>
      <c r="I491">
        <v>10.199999999999999</v>
      </c>
      <c r="J491" s="227">
        <f t="shared" si="50"/>
        <v>2.0000000000000018E-2</v>
      </c>
      <c r="K491" s="5">
        <f>J491-J1276</f>
        <v>1.786404408439006E-2</v>
      </c>
      <c r="M491" s="240" t="s">
        <v>584</v>
      </c>
      <c r="N491">
        <v>3970.15</v>
      </c>
      <c r="O491" s="227">
        <f t="shared" si="51"/>
        <v>4.7476963802610683E-3</v>
      </c>
      <c r="P491" s="5">
        <f>O491-O1278</f>
        <v>5.1134535811742403E-3</v>
      </c>
      <c r="Q491" s="8">
        <f t="shared" si="55"/>
        <v>2.6147407526823663E-5</v>
      </c>
      <c r="S491" t="s">
        <v>584</v>
      </c>
      <c r="T491">
        <v>3.21</v>
      </c>
      <c r="U491" s="29">
        <f t="shared" si="52"/>
        <v>3.548387096774186E-2</v>
      </c>
      <c r="V491" s="5">
        <f>U491-V1274</f>
        <v>3.3747680192034821E-2</v>
      </c>
      <c r="X491" t="s">
        <v>582</v>
      </c>
      <c r="Y491">
        <v>3.73</v>
      </c>
      <c r="Z491" s="48">
        <f t="shared" si="53"/>
        <v>2.7548209366391241E-2</v>
      </c>
      <c r="AA491" s="5">
        <f>Z491-Y1274</f>
        <v>2.3330889897117107E-2</v>
      </c>
      <c r="AD491" t="s">
        <v>584</v>
      </c>
      <c r="AE491">
        <v>54.66</v>
      </c>
      <c r="AF491" s="29">
        <f t="shared" si="54"/>
        <v>1.3724035608308593E-2</v>
      </c>
    </row>
    <row r="492" spans="1:32">
      <c r="A492" s="3" t="s">
        <v>588</v>
      </c>
      <c r="B492" s="222">
        <v>34.54</v>
      </c>
      <c r="C492" s="227">
        <f t="shared" si="49"/>
        <v>2.0307513780097874E-3</v>
      </c>
      <c r="D492" s="5">
        <f>C492-C1275</f>
        <v>1.9527058084508981E-3</v>
      </c>
      <c r="E492" s="1"/>
      <c r="F492" s="8"/>
      <c r="H492" t="s">
        <v>587</v>
      </c>
      <c r="I492">
        <v>10.57</v>
      </c>
      <c r="J492" s="227">
        <f t="shared" si="50"/>
        <v>3.6274509803921662E-2</v>
      </c>
      <c r="K492" s="5">
        <f>J492-J1276</f>
        <v>3.4138553888311704E-2</v>
      </c>
      <c r="M492" s="240" t="s">
        <v>585</v>
      </c>
      <c r="N492">
        <v>3982.24</v>
      </c>
      <c r="O492" s="227">
        <f t="shared" si="51"/>
        <v>3.0452249914989515E-3</v>
      </c>
      <c r="P492" s="5">
        <f>O492-O1278</f>
        <v>3.410982192412123E-3</v>
      </c>
      <c r="Q492" s="8">
        <f t="shared" si="55"/>
        <v>1.1634799516952613E-5</v>
      </c>
      <c r="S492" t="s">
        <v>585</v>
      </c>
      <c r="T492">
        <v>3.17</v>
      </c>
      <c r="U492" s="29">
        <f t="shared" si="52"/>
        <v>-1.2461059190031154E-2</v>
      </c>
      <c r="V492" s="5">
        <f>U492-V1274</f>
        <v>-1.4197249965738193E-2</v>
      </c>
      <c r="X492" t="s">
        <v>583</v>
      </c>
      <c r="Y492">
        <v>4.01</v>
      </c>
      <c r="Z492" s="48">
        <f t="shared" si="53"/>
        <v>7.5067024128686377E-2</v>
      </c>
      <c r="AA492" s="5">
        <f>Z492-Y1274</f>
        <v>7.0849704659412246E-2</v>
      </c>
      <c r="AD492" t="s">
        <v>585</v>
      </c>
      <c r="AE492">
        <v>54.19</v>
      </c>
      <c r="AF492" s="29">
        <f t="shared" si="54"/>
        <v>-8.598609586534911E-3</v>
      </c>
    </row>
    <row r="493" spans="1:32">
      <c r="A493" s="3" t="s">
        <v>589</v>
      </c>
      <c r="B493" s="222">
        <v>34.200000000000003</v>
      </c>
      <c r="C493" s="227">
        <f t="shared" si="49"/>
        <v>-9.8436595251880643E-3</v>
      </c>
      <c r="D493" s="5">
        <f>C493-C1275</f>
        <v>-9.9217050947469528E-3</v>
      </c>
      <c r="E493" s="1"/>
      <c r="F493" s="8"/>
      <c r="H493" t="s">
        <v>588</v>
      </c>
      <c r="I493">
        <v>10.75</v>
      </c>
      <c r="J493" s="227">
        <f t="shared" si="50"/>
        <v>1.7029328287606393E-2</v>
      </c>
      <c r="K493" s="5">
        <f>J493-J1276</f>
        <v>1.4893372371996436E-2</v>
      </c>
      <c r="M493" s="240" t="s">
        <v>586</v>
      </c>
      <c r="N493">
        <v>3970.04</v>
      </c>
      <c r="O493" s="227">
        <f t="shared" si="51"/>
        <v>-3.0636023946321034E-3</v>
      </c>
      <c r="P493" s="5">
        <f>O493-O1278</f>
        <v>-2.6978451937189319E-3</v>
      </c>
      <c r="Q493" s="8">
        <f t="shared" si="55"/>
        <v>7.2783686892723413E-6</v>
      </c>
      <c r="S493" t="s">
        <v>586</v>
      </c>
      <c r="T493">
        <v>3.1</v>
      </c>
      <c r="U493" s="29">
        <f t="shared" si="52"/>
        <v>-2.2082018927444769E-2</v>
      </c>
      <c r="V493" s="5">
        <f>U493-V1274</f>
        <v>-2.3818209703151808E-2</v>
      </c>
      <c r="X493" s="1">
        <v>45202</v>
      </c>
      <c r="Y493">
        <v>3.92</v>
      </c>
      <c r="Z493" s="48">
        <f t="shared" si="53"/>
        <v>-2.2443890274314149E-2</v>
      </c>
      <c r="AA493" s="5">
        <f>Z493-Y1274</f>
        <v>-2.6661209743588283E-2</v>
      </c>
      <c r="AD493" t="s">
        <v>586</v>
      </c>
      <c r="AE493">
        <v>55.09</v>
      </c>
      <c r="AF493" s="29">
        <f t="shared" si="54"/>
        <v>1.6608230300793503E-2</v>
      </c>
    </row>
    <row r="494" spans="1:32">
      <c r="A494" s="3" t="s">
        <v>590</v>
      </c>
      <c r="B494" s="222">
        <v>34.770000000000003</v>
      </c>
      <c r="C494" s="227">
        <f t="shared" si="49"/>
        <v>1.6666666666666607E-2</v>
      </c>
      <c r="D494" s="5">
        <f>C494-C1275</f>
        <v>1.6588621097107719E-2</v>
      </c>
      <c r="E494" s="1"/>
      <c r="F494" s="8"/>
      <c r="H494" t="s">
        <v>589</v>
      </c>
      <c r="I494">
        <v>10.69</v>
      </c>
      <c r="J494" s="227">
        <f t="shared" si="50"/>
        <v>-5.5813953488372814E-3</v>
      </c>
      <c r="K494" s="5">
        <f>J494-J1276</f>
        <v>-7.7173512644472392E-3</v>
      </c>
      <c r="M494" s="240" t="s">
        <v>587</v>
      </c>
      <c r="N494">
        <v>4012.32</v>
      </c>
      <c r="O494" s="227">
        <f t="shared" si="51"/>
        <v>1.0649766752979906E-2</v>
      </c>
      <c r="P494" s="5">
        <f>O494-O1278</f>
        <v>1.1015523953893077E-2</v>
      </c>
      <c r="Q494" s="8">
        <f t="shared" si="55"/>
        <v>1.2134176797879216E-4</v>
      </c>
      <c r="S494" t="s">
        <v>587</v>
      </c>
      <c r="T494">
        <v>3.21</v>
      </c>
      <c r="U494" s="29">
        <f t="shared" si="52"/>
        <v>3.548387096774186E-2</v>
      </c>
      <c r="V494" s="5">
        <f>U494-V1274</f>
        <v>3.3747680192034821E-2</v>
      </c>
      <c r="X494" s="1">
        <v>45172</v>
      </c>
      <c r="Y494">
        <v>4.17</v>
      </c>
      <c r="Z494" s="48">
        <f t="shared" si="53"/>
        <v>6.3775510204081565E-2</v>
      </c>
      <c r="AA494" s="5">
        <f>Z494-Y1274</f>
        <v>5.9558190734807434E-2</v>
      </c>
      <c r="AD494" t="s">
        <v>587</v>
      </c>
      <c r="AE494">
        <v>56.57</v>
      </c>
      <c r="AF494" s="29">
        <f t="shared" si="54"/>
        <v>2.6865129787620123E-2</v>
      </c>
    </row>
    <row r="495" spans="1:32">
      <c r="A495" s="3" t="s">
        <v>591</v>
      </c>
      <c r="B495" s="222">
        <v>36.22</v>
      </c>
      <c r="C495" s="227">
        <f t="shared" si="49"/>
        <v>4.1702617198734471E-2</v>
      </c>
      <c r="D495" s="5">
        <f>C495-C1275</f>
        <v>4.1624571629175579E-2</v>
      </c>
      <c r="E495" s="1"/>
      <c r="F495" s="8"/>
      <c r="H495" t="s">
        <v>590</v>
      </c>
      <c r="I495">
        <v>11.28</v>
      </c>
      <c r="J495" s="227">
        <f t="shared" si="50"/>
        <v>5.5191768007483599E-2</v>
      </c>
      <c r="K495" s="5">
        <f>J495-J1276</f>
        <v>5.3055812091873641E-2</v>
      </c>
      <c r="M495" s="240" t="s">
        <v>588</v>
      </c>
      <c r="N495">
        <v>3991.05</v>
      </c>
      <c r="O495" s="227">
        <f t="shared" si="51"/>
        <v>-5.3011723890417084E-3</v>
      </c>
      <c r="P495" s="5">
        <f>O495-O1278</f>
        <v>-4.9354151881285365E-3</v>
      </c>
      <c r="Q495" s="8">
        <f t="shared" si="55"/>
        <v>2.4358323079209839E-5</v>
      </c>
      <c r="S495" t="s">
        <v>588</v>
      </c>
      <c r="T495">
        <v>3.5</v>
      </c>
      <c r="U495" s="29">
        <f t="shared" si="52"/>
        <v>9.0342679127725978E-2</v>
      </c>
      <c r="V495" s="5">
        <f>U495-V1274</f>
        <v>8.8606488352018939E-2</v>
      </c>
      <c r="X495" s="1">
        <v>45141</v>
      </c>
      <c r="Y495">
        <v>4.32</v>
      </c>
      <c r="Z495" s="48">
        <f t="shared" si="53"/>
        <v>3.5971223021582732E-2</v>
      </c>
      <c r="AA495" s="5">
        <f>Z495-Y1274</f>
        <v>3.1753903552308602E-2</v>
      </c>
      <c r="AD495" t="s">
        <v>588</v>
      </c>
      <c r="AE495">
        <v>57.89</v>
      </c>
      <c r="AF495" s="29">
        <f t="shared" si="54"/>
        <v>2.333392257380229E-2</v>
      </c>
    </row>
    <row r="496" spans="1:32">
      <c r="A496" s="3" t="s">
        <v>592</v>
      </c>
      <c r="B496" s="222">
        <v>36.229999999999997</v>
      </c>
      <c r="C496" s="227">
        <f t="shared" si="49"/>
        <v>2.7609055770283497E-4</v>
      </c>
      <c r="D496" s="5">
        <f>C496-C1275</f>
        <v>1.9804498814394577E-4</v>
      </c>
      <c r="F496" s="8"/>
      <c r="H496" t="s">
        <v>591</v>
      </c>
      <c r="I496">
        <v>10.99</v>
      </c>
      <c r="J496" s="227">
        <f t="shared" si="50"/>
        <v>-2.5709219858155996E-2</v>
      </c>
      <c r="K496" s="5">
        <f>J496-J1276</f>
        <v>-2.7845175773765954E-2</v>
      </c>
      <c r="M496" s="240" t="s">
        <v>589</v>
      </c>
      <c r="N496">
        <v>3997.34</v>
      </c>
      <c r="O496" s="227">
        <f t="shared" si="51"/>
        <v>1.5760263589781331E-3</v>
      </c>
      <c r="P496" s="5">
        <f>O496-O1278</f>
        <v>1.9417835598913046E-3</v>
      </c>
      <c r="Q496" s="8">
        <f t="shared" si="55"/>
        <v>3.770523393464148E-6</v>
      </c>
      <c r="S496" t="s">
        <v>589</v>
      </c>
      <c r="T496">
        <v>3.4</v>
      </c>
      <c r="U496" s="29">
        <f t="shared" si="52"/>
        <v>-2.8571428571428581E-2</v>
      </c>
      <c r="V496" s="5">
        <f>U496-V1274</f>
        <v>-3.030761934713562E-2</v>
      </c>
      <c r="X496" s="1">
        <v>45110</v>
      </c>
      <c r="Y496">
        <v>4.07</v>
      </c>
      <c r="Z496" s="48">
        <f t="shared" si="53"/>
        <v>-5.787037037037035E-2</v>
      </c>
      <c r="AA496" s="5">
        <f>Z496-Y1274</f>
        <v>-6.208768983964448E-2</v>
      </c>
      <c r="AD496" t="s">
        <v>589</v>
      </c>
      <c r="AE496">
        <v>58.06</v>
      </c>
      <c r="AF496" s="29">
        <f t="shared" si="54"/>
        <v>2.9366039039557812E-3</v>
      </c>
    </row>
    <row r="497" spans="1:32">
      <c r="A497" s="3" t="s">
        <v>593</v>
      </c>
      <c r="B497" s="222">
        <v>35.229999999999997</v>
      </c>
      <c r="C497" s="227">
        <f t="shared" si="49"/>
        <v>-2.7601435274634323E-2</v>
      </c>
      <c r="D497" s="5">
        <f>C497-C1275</f>
        <v>-2.7679480844193211E-2</v>
      </c>
      <c r="F497" s="8"/>
      <c r="H497" t="s">
        <v>592</v>
      </c>
      <c r="I497">
        <v>11.5</v>
      </c>
      <c r="J497" s="227">
        <f t="shared" si="50"/>
        <v>4.6405823475887065E-2</v>
      </c>
      <c r="K497" s="5">
        <f>J497-J1276</f>
        <v>4.4269867560277107E-2</v>
      </c>
      <c r="M497" s="240" t="s">
        <v>590</v>
      </c>
      <c r="N497">
        <v>4079.09</v>
      </c>
      <c r="O497" s="227">
        <f t="shared" si="51"/>
        <v>2.0451099981487753E-2</v>
      </c>
      <c r="P497" s="5">
        <f>O497-O1278</f>
        <v>2.0816857182400925E-2</v>
      </c>
      <c r="Q497" s="8">
        <f t="shared" si="55"/>
        <v>4.3334154295247699E-4</v>
      </c>
      <c r="S497" t="s">
        <v>590</v>
      </c>
      <c r="T497">
        <v>3.48</v>
      </c>
      <c r="U497" s="29">
        <f t="shared" si="52"/>
        <v>2.3529411764705799E-2</v>
      </c>
      <c r="V497" s="5">
        <f>U497-V1274</f>
        <v>2.179322098899876E-2</v>
      </c>
      <c r="X497" s="1">
        <v>45080</v>
      </c>
      <c r="Y497">
        <v>4.3600000000000003</v>
      </c>
      <c r="Z497" s="48">
        <f t="shared" si="53"/>
        <v>7.1253071253071232E-2</v>
      </c>
      <c r="AA497" s="5">
        <f>Z497-Y1274</f>
        <v>6.7035751783797101E-2</v>
      </c>
      <c r="AD497" t="s">
        <v>590</v>
      </c>
      <c r="AE497">
        <v>61.81</v>
      </c>
      <c r="AF497" s="29">
        <f t="shared" si="54"/>
        <v>6.4588356872201214E-2</v>
      </c>
    </row>
    <row r="498" spans="1:32">
      <c r="A498" s="3" t="s">
        <v>594</v>
      </c>
      <c r="B498" s="222">
        <v>33.44</v>
      </c>
      <c r="C498" s="227">
        <f t="shared" si="49"/>
        <v>-5.0808969628157841E-2</v>
      </c>
      <c r="D498" s="5">
        <f>C498-C1275</f>
        <v>-5.0887015197716733E-2</v>
      </c>
      <c r="F498" s="8"/>
      <c r="H498" t="s">
        <v>593</v>
      </c>
      <c r="I498">
        <v>10.76</v>
      </c>
      <c r="J498" s="227">
        <f t="shared" si="50"/>
        <v>-6.434782608695655E-2</v>
      </c>
      <c r="K498" s="5">
        <f>J498-J1276</f>
        <v>-6.6483782002566508E-2</v>
      </c>
      <c r="M498" s="240" t="s">
        <v>591</v>
      </c>
      <c r="N498">
        <v>4090.41</v>
      </c>
      <c r="O498" s="227">
        <f t="shared" si="51"/>
        <v>2.7751287664650182E-3</v>
      </c>
      <c r="P498" s="5">
        <f>O498-O1278</f>
        <v>3.1408859673781897E-3</v>
      </c>
      <c r="Q498" s="8">
        <f t="shared" si="55"/>
        <v>9.8651646600732261E-6</v>
      </c>
      <c r="S498" t="s">
        <v>591</v>
      </c>
      <c r="T498">
        <v>3.67</v>
      </c>
      <c r="U498" s="29">
        <f t="shared" si="52"/>
        <v>5.4597701149425193E-2</v>
      </c>
      <c r="V498" s="5">
        <f>U498-V1274</f>
        <v>5.2861510373718154E-2</v>
      </c>
      <c r="X498" s="1">
        <v>44988</v>
      </c>
      <c r="Y498">
        <v>4.3499999999999996</v>
      </c>
      <c r="Z498" s="48">
        <f t="shared" si="53"/>
        <v>-2.2935779816515289E-3</v>
      </c>
      <c r="AA498" s="5">
        <f>Z498-Y1274</f>
        <v>-6.510897450925663E-3</v>
      </c>
      <c r="AD498" t="s">
        <v>591</v>
      </c>
      <c r="AE498">
        <v>66.89</v>
      </c>
      <c r="AF498" s="29">
        <f t="shared" si="54"/>
        <v>8.2187348325513554E-2</v>
      </c>
    </row>
    <row r="499" spans="1:32">
      <c r="A499" s="220">
        <v>45201</v>
      </c>
      <c r="B499" s="222">
        <v>34.299999999999997</v>
      </c>
      <c r="C499" s="227">
        <f t="shared" si="49"/>
        <v>2.5717703349282361E-2</v>
      </c>
      <c r="D499" s="5">
        <f>C499-C1275</f>
        <v>2.5639657779723473E-2</v>
      </c>
      <c r="F499" s="8"/>
      <c r="H499" t="s">
        <v>594</v>
      </c>
      <c r="I499">
        <v>10.46</v>
      </c>
      <c r="J499" s="227">
        <f t="shared" si="50"/>
        <v>-2.7881040892193232E-2</v>
      </c>
      <c r="K499" s="5">
        <f>J499-J1276</f>
        <v>-3.001699680780319E-2</v>
      </c>
      <c r="M499" s="240" t="s">
        <v>592</v>
      </c>
      <c r="N499">
        <v>4147.6000000000004</v>
      </c>
      <c r="O499" s="227">
        <f t="shared" si="51"/>
        <v>1.3981483518767268E-2</v>
      </c>
      <c r="P499" s="5">
        <f>O499-O1278</f>
        <v>1.4347240719680439E-2</v>
      </c>
      <c r="Q499" s="8">
        <f t="shared" si="55"/>
        <v>2.0584331626845648E-4</v>
      </c>
      <c r="S499" t="s">
        <v>592</v>
      </c>
      <c r="T499">
        <v>3.68</v>
      </c>
      <c r="U499" s="29">
        <f t="shared" si="52"/>
        <v>2.7247956403271267E-3</v>
      </c>
      <c r="V499" s="5">
        <f>U499-V1274</f>
        <v>9.8860486462008876E-4</v>
      </c>
      <c r="X499" s="1">
        <v>44960</v>
      </c>
      <c r="Y499">
        <v>4.12</v>
      </c>
      <c r="Z499" s="48">
        <f t="shared" si="53"/>
        <v>-5.2873563218390651E-2</v>
      </c>
      <c r="AA499" s="5">
        <f>Z499-Y1274</f>
        <v>-5.7090882687664782E-2</v>
      </c>
      <c r="AD499" t="s">
        <v>592</v>
      </c>
      <c r="AE499">
        <v>68.180000000000007</v>
      </c>
      <c r="AF499" s="29">
        <f t="shared" si="54"/>
        <v>1.9285393930333461E-2</v>
      </c>
    </row>
    <row r="500" spans="1:32">
      <c r="A500" s="220">
        <v>45171</v>
      </c>
      <c r="B500" s="222">
        <v>35.89</v>
      </c>
      <c r="C500" s="227">
        <f t="shared" si="49"/>
        <v>4.6355685131195479E-2</v>
      </c>
      <c r="D500" s="5">
        <f>C500-C1275</f>
        <v>4.6277639561636587E-2</v>
      </c>
      <c r="F500" s="8"/>
      <c r="H500" s="1">
        <v>45201</v>
      </c>
      <c r="I500">
        <v>10.31</v>
      </c>
      <c r="J500" s="227">
        <f t="shared" si="50"/>
        <v>-1.4340344168260022E-2</v>
      </c>
      <c r="K500" s="5">
        <f>J500-J1276</f>
        <v>-1.647630008386998E-2</v>
      </c>
      <c r="M500" s="240" t="s">
        <v>593</v>
      </c>
      <c r="N500">
        <v>4136.13</v>
      </c>
      <c r="O500" s="227">
        <f t="shared" si="51"/>
        <v>-2.7654547208024738E-3</v>
      </c>
      <c r="P500" s="5">
        <f>O500-O1278</f>
        <v>-2.3996975198893023E-3</v>
      </c>
      <c r="Q500" s="8">
        <f t="shared" si="55"/>
        <v>5.7585481869628682E-6</v>
      </c>
      <c r="S500" t="s">
        <v>593</v>
      </c>
      <c r="T500">
        <v>3.48</v>
      </c>
      <c r="U500" s="29">
        <f t="shared" si="52"/>
        <v>-5.4347826086956541E-2</v>
      </c>
      <c r="V500" s="5">
        <f>U500-V1274</f>
        <v>-5.608401686266358E-2</v>
      </c>
      <c r="X500" s="1">
        <v>44929</v>
      </c>
      <c r="Y500">
        <v>4.08</v>
      </c>
      <c r="Z500" s="48">
        <f t="shared" si="53"/>
        <v>-9.7087378640776656E-3</v>
      </c>
      <c r="AA500" s="5">
        <f>Z500-Y1274</f>
        <v>-1.39260573333518E-2</v>
      </c>
      <c r="AD500" t="s">
        <v>593</v>
      </c>
      <c r="AE500">
        <v>61.61</v>
      </c>
      <c r="AF500" s="29">
        <f t="shared" si="54"/>
        <v>-9.6362569668524634E-2</v>
      </c>
    </row>
    <row r="501" spans="1:32">
      <c r="A501" s="220">
        <v>45140</v>
      </c>
      <c r="B501" s="222">
        <v>36.83</v>
      </c>
      <c r="C501" s="227">
        <f t="shared" si="49"/>
        <v>2.6191139593201296E-2</v>
      </c>
      <c r="D501" s="5">
        <f>C501-C1275</f>
        <v>2.6113094023642407E-2</v>
      </c>
      <c r="F501" s="8"/>
      <c r="H501" s="1">
        <v>45171</v>
      </c>
      <c r="I501">
        <v>16.22</v>
      </c>
      <c r="J501" s="227">
        <f t="shared" si="50"/>
        <v>0.57322987390882618</v>
      </c>
      <c r="K501" s="5">
        <f>J501-J1276</f>
        <v>0.57109391799321618</v>
      </c>
      <c r="M501" s="240" t="s">
        <v>594</v>
      </c>
      <c r="N501">
        <v>4137.29</v>
      </c>
      <c r="O501" s="227">
        <f t="shared" si="51"/>
        <v>2.8045540154675308E-4</v>
      </c>
      <c r="P501" s="5">
        <f>O501-O1278</f>
        <v>6.4621260245992457E-4</v>
      </c>
      <c r="Q501" s="8">
        <f t="shared" si="55"/>
        <v>4.1759072757802853E-7</v>
      </c>
      <c r="S501" t="s">
        <v>594</v>
      </c>
      <c r="T501">
        <v>3.37</v>
      </c>
      <c r="U501" s="29">
        <f t="shared" si="52"/>
        <v>-3.1609195402298784E-2</v>
      </c>
      <c r="V501" s="5">
        <f>U501-V1274</f>
        <v>-3.3345386178005823E-2</v>
      </c>
      <c r="X501" t="s">
        <v>584</v>
      </c>
      <c r="Y501">
        <v>3.98</v>
      </c>
      <c r="Z501" s="48">
        <f t="shared" si="53"/>
        <v>-2.4509803921568651E-2</v>
      </c>
      <c r="AA501" s="5">
        <f>Z501-Y1274</f>
        <v>-2.8727123390842785E-2</v>
      </c>
      <c r="AD501" t="s">
        <v>594</v>
      </c>
      <c r="AE501">
        <v>59.29</v>
      </c>
      <c r="AF501" s="29">
        <f t="shared" si="54"/>
        <v>-3.7656224638857316E-2</v>
      </c>
    </row>
    <row r="502" spans="1:32">
      <c r="A502" s="220">
        <v>45109</v>
      </c>
      <c r="B502" s="222">
        <v>34.9</v>
      </c>
      <c r="C502" s="227">
        <f t="shared" si="49"/>
        <v>-5.2402932392071722E-2</v>
      </c>
      <c r="D502" s="5">
        <f>C502-C1275</f>
        <v>-5.2480977961630614E-2</v>
      </c>
      <c r="F502" s="8"/>
      <c r="H502" s="1">
        <v>45140</v>
      </c>
      <c r="I502">
        <v>16.75</v>
      </c>
      <c r="J502" s="227">
        <f t="shared" si="50"/>
        <v>3.2675709001233066E-2</v>
      </c>
      <c r="K502" s="5">
        <f>J502-J1276</f>
        <v>3.0539753085623109E-2</v>
      </c>
      <c r="M502" s="241">
        <v>45201</v>
      </c>
      <c r="N502">
        <v>4090.46</v>
      </c>
      <c r="O502" s="227">
        <f t="shared" si="51"/>
        <v>-1.1319003502292535E-2</v>
      </c>
      <c r="P502" s="5">
        <f>O502-O1278</f>
        <v>-1.0953246301379364E-2</v>
      </c>
      <c r="Q502" s="8">
        <f t="shared" si="55"/>
        <v>1.1997360453868072E-4</v>
      </c>
      <c r="S502" s="1">
        <v>45201</v>
      </c>
      <c r="T502">
        <v>3.33</v>
      </c>
      <c r="U502" s="29">
        <f t="shared" si="52"/>
        <v>-1.1869436201780381E-2</v>
      </c>
      <c r="V502" s="5">
        <f>U502-V1274</f>
        <v>-1.360562697748742E-2</v>
      </c>
      <c r="X502" t="s">
        <v>585</v>
      </c>
      <c r="Y502">
        <v>4.12</v>
      </c>
      <c r="Z502" s="48">
        <f t="shared" si="53"/>
        <v>3.5175879396984966E-2</v>
      </c>
      <c r="AA502" s="5">
        <f>Z502-Y1274</f>
        <v>3.0958559927710832E-2</v>
      </c>
      <c r="AD502" s="1">
        <v>45201</v>
      </c>
      <c r="AE502">
        <v>57.72</v>
      </c>
      <c r="AF502" s="29">
        <f t="shared" si="54"/>
        <v>-2.6480013493000554E-2</v>
      </c>
    </row>
    <row r="503" spans="1:32">
      <c r="A503" s="220">
        <v>45079</v>
      </c>
      <c r="B503" s="222">
        <v>33.9</v>
      </c>
      <c r="C503" s="227">
        <f t="shared" si="49"/>
        <v>-2.8653295128939882E-2</v>
      </c>
      <c r="D503" s="5">
        <f>C503-C1275</f>
        <v>-2.873134069849877E-2</v>
      </c>
      <c r="F503" s="8"/>
      <c r="H503" s="1">
        <v>45109</v>
      </c>
      <c r="I503">
        <v>17.93</v>
      </c>
      <c r="J503" s="227">
        <f t="shared" si="50"/>
        <v>7.0447761194029734E-2</v>
      </c>
      <c r="K503" s="5">
        <f>J503-J1276</f>
        <v>6.8311805278419777E-2</v>
      </c>
      <c r="M503" s="241">
        <v>45171</v>
      </c>
      <c r="N503">
        <v>4081.5</v>
      </c>
      <c r="O503" s="227">
        <f t="shared" si="51"/>
        <v>-2.1904626863482601E-3</v>
      </c>
      <c r="P503" s="5">
        <f>O503-O1278</f>
        <v>-1.8247054854350886E-3</v>
      </c>
      <c r="Q503" s="8">
        <f t="shared" si="55"/>
        <v>3.3295501085769024E-6</v>
      </c>
      <c r="S503" s="1">
        <v>45171</v>
      </c>
      <c r="T503">
        <v>3.44</v>
      </c>
      <c r="U503" s="29">
        <f t="shared" si="52"/>
        <v>3.3033033033033066E-2</v>
      </c>
      <c r="V503" s="5">
        <f>U503-V1274</f>
        <v>3.1296842257326027E-2</v>
      </c>
      <c r="X503" t="s">
        <v>586</v>
      </c>
      <c r="Y503">
        <v>4.03</v>
      </c>
      <c r="Z503" s="48">
        <f t="shared" si="53"/>
        <v>-2.1844660194174748E-2</v>
      </c>
      <c r="AA503" s="5">
        <f>Z503-Y1274</f>
        <v>-2.6061979663448882E-2</v>
      </c>
      <c r="AD503" s="1">
        <v>45171</v>
      </c>
      <c r="AE503">
        <v>61.85</v>
      </c>
      <c r="AF503" s="29">
        <f t="shared" si="54"/>
        <v>7.1552321552321496E-2</v>
      </c>
    </row>
    <row r="504" spans="1:32">
      <c r="A504" s="220">
        <v>44987</v>
      </c>
      <c r="B504" s="222">
        <v>33.090000000000003</v>
      </c>
      <c r="C504" s="227">
        <f t="shared" si="49"/>
        <v>-2.3893805309734395E-2</v>
      </c>
      <c r="D504" s="5">
        <f>C504-C1275</f>
        <v>-2.3971850879293283E-2</v>
      </c>
      <c r="F504" s="8"/>
      <c r="H504" s="1">
        <v>45079</v>
      </c>
      <c r="I504">
        <v>17.350000000000001</v>
      </c>
      <c r="J504" s="227">
        <f t="shared" si="50"/>
        <v>-3.2348020078081352E-2</v>
      </c>
      <c r="K504" s="5">
        <f>J504-J1276</f>
        <v>-3.448397599369131E-2</v>
      </c>
      <c r="M504" s="241">
        <v>45140</v>
      </c>
      <c r="N504">
        <v>4117.8599999999997</v>
      </c>
      <c r="O504" s="227">
        <f t="shared" si="51"/>
        <v>8.908489525909502E-3</v>
      </c>
      <c r="P504" s="5">
        <f>O504-O1278</f>
        <v>9.2742467268226731E-3</v>
      </c>
      <c r="Q504" s="8">
        <f t="shared" si="55"/>
        <v>8.6011652349981068E-5</v>
      </c>
      <c r="S504" s="1">
        <v>45140</v>
      </c>
      <c r="T504">
        <v>3.61</v>
      </c>
      <c r="U504" s="29">
        <f t="shared" si="52"/>
        <v>4.9418604651162878E-2</v>
      </c>
      <c r="V504" s="5">
        <f>U504-V1274</f>
        <v>4.768241387545584E-2</v>
      </c>
      <c r="X504" t="s">
        <v>587</v>
      </c>
      <c r="Y504">
        <v>4.47</v>
      </c>
      <c r="Z504" s="48">
        <f t="shared" si="53"/>
        <v>0.10918114143920588</v>
      </c>
      <c r="AA504" s="5">
        <f>Z504-Y1274</f>
        <v>0.10496382196993174</v>
      </c>
      <c r="AD504" s="1">
        <v>45140</v>
      </c>
      <c r="AE504">
        <v>62.38</v>
      </c>
      <c r="AF504" s="29">
        <f t="shared" si="54"/>
        <v>8.5691188358933967E-3</v>
      </c>
    </row>
    <row r="505" spans="1:32">
      <c r="A505" s="220">
        <v>44959</v>
      </c>
      <c r="B505" s="222">
        <v>33.049999999999997</v>
      </c>
      <c r="C505" s="227">
        <f t="shared" si="49"/>
        <v>-1.2088244182534291E-3</v>
      </c>
      <c r="D505" s="5">
        <f>C505-C1275</f>
        <v>-1.2868699878123184E-3</v>
      </c>
      <c r="F505" s="8"/>
      <c r="H505" s="1">
        <v>44987</v>
      </c>
      <c r="I505">
        <v>17.38</v>
      </c>
      <c r="J505" s="227">
        <f t="shared" si="50"/>
        <v>1.7291066282418832E-3</v>
      </c>
      <c r="K505" s="5">
        <f>J505-J1276</f>
        <v>-4.0684928736807457E-4</v>
      </c>
      <c r="M505" s="241">
        <v>45109</v>
      </c>
      <c r="N505">
        <v>4164</v>
      </c>
      <c r="O505" s="227">
        <f t="shared" si="51"/>
        <v>1.1204849120659777E-2</v>
      </c>
      <c r="P505" s="5">
        <f>O505-O1278</f>
        <v>1.1570606321572948E-2</v>
      </c>
      <c r="Q505" s="8">
        <f t="shared" si="55"/>
        <v>1.3387893064882385E-4</v>
      </c>
      <c r="S505" s="1">
        <v>45109</v>
      </c>
      <c r="T505">
        <v>3.5</v>
      </c>
      <c r="U505" s="29">
        <f t="shared" si="52"/>
        <v>-3.0470914127423754E-2</v>
      </c>
      <c r="V505" s="5">
        <f>U505-V1274</f>
        <v>-3.2207104903130793E-2</v>
      </c>
      <c r="X505" t="s">
        <v>588</v>
      </c>
      <c r="Y505">
        <v>4.49</v>
      </c>
      <c r="Z505" s="48">
        <f t="shared" si="53"/>
        <v>4.4742729306488371E-3</v>
      </c>
      <c r="AA505" s="5">
        <f>Z505-Y1274</f>
        <v>2.5695346137470307E-4</v>
      </c>
      <c r="AD505" s="1">
        <v>45109</v>
      </c>
      <c r="AE505">
        <v>60.02</v>
      </c>
      <c r="AF505" s="29">
        <f t="shared" si="54"/>
        <v>-3.7832638666239204E-2</v>
      </c>
    </row>
    <row r="506" spans="1:32">
      <c r="A506" s="220">
        <v>44928</v>
      </c>
      <c r="B506" s="222">
        <v>31.49</v>
      </c>
      <c r="C506" s="227">
        <f t="shared" si="49"/>
        <v>-4.7201210287443285E-2</v>
      </c>
      <c r="D506" s="5">
        <f>C506-C1275</f>
        <v>-4.7279255857002177E-2</v>
      </c>
      <c r="F506" s="8"/>
      <c r="H506" s="1">
        <v>44959</v>
      </c>
      <c r="I506">
        <v>17.55</v>
      </c>
      <c r="J506" s="227">
        <f t="shared" si="50"/>
        <v>9.7813578826237979E-3</v>
      </c>
      <c r="K506" s="5">
        <f>J506-J1276</f>
        <v>7.6454019670138401E-3</v>
      </c>
      <c r="M506" s="241">
        <v>45079</v>
      </c>
      <c r="N506">
        <v>4111.08</v>
      </c>
      <c r="O506" s="227">
        <f t="shared" si="51"/>
        <v>-1.2708933717579307E-2</v>
      </c>
      <c r="P506" s="5">
        <f>O506-O1278</f>
        <v>-1.2343176516666136E-2</v>
      </c>
      <c r="Q506" s="8">
        <f t="shared" si="55"/>
        <v>1.5235400652157836E-4</v>
      </c>
      <c r="S506" s="1">
        <v>45079</v>
      </c>
      <c r="T506">
        <v>3.46</v>
      </c>
      <c r="U506" s="29">
        <f t="shared" si="52"/>
        <v>-1.1428571428571455E-2</v>
      </c>
      <c r="V506" s="5">
        <f>U506-V1274</f>
        <v>-1.3164762204278493E-2</v>
      </c>
      <c r="X506" t="s">
        <v>589</v>
      </c>
      <c r="Y506">
        <v>4.49</v>
      </c>
      <c r="Z506" s="48">
        <f t="shared" si="53"/>
        <v>0</v>
      </c>
      <c r="AA506" s="5">
        <f>Z506-Y1274</f>
        <v>-4.2173194692741341E-3</v>
      </c>
      <c r="AD506" s="1">
        <v>45079</v>
      </c>
      <c r="AE506">
        <v>59.68</v>
      </c>
      <c r="AF506" s="29">
        <f t="shared" si="54"/>
        <v>-5.6647784071977014E-3</v>
      </c>
    </row>
    <row r="507" spans="1:32">
      <c r="A507" s="3" t="s">
        <v>595</v>
      </c>
      <c r="B507" s="222">
        <v>30.93</v>
      </c>
      <c r="C507" s="227">
        <f t="shared" si="49"/>
        <v>-1.7783423308986968E-2</v>
      </c>
      <c r="D507" s="5">
        <f>C507-C1275</f>
        <v>-1.7861468878545856E-2</v>
      </c>
      <c r="F507" s="8"/>
      <c r="H507" s="1">
        <v>44928</v>
      </c>
      <c r="I507">
        <v>16.899999999999999</v>
      </c>
      <c r="J507" s="227">
        <f t="shared" si="50"/>
        <v>-3.7037037037037202E-2</v>
      </c>
      <c r="K507" s="5">
        <f>J507-J1276</f>
        <v>-3.9172992952647159E-2</v>
      </c>
      <c r="M507" s="241">
        <v>44987</v>
      </c>
      <c r="N507">
        <v>4136.4799999999996</v>
      </c>
      <c r="O507" s="227">
        <f t="shared" si="51"/>
        <v>6.1784251340279983E-3</v>
      </c>
      <c r="P507" s="5">
        <f>O507-O1278</f>
        <v>6.5441823349411702E-3</v>
      </c>
      <c r="Q507" s="8">
        <f t="shared" si="55"/>
        <v>4.2826322432956067E-5</v>
      </c>
      <c r="S507" s="1">
        <v>44987</v>
      </c>
      <c r="T507">
        <v>3.55</v>
      </c>
      <c r="U507" s="29">
        <f t="shared" si="52"/>
        <v>2.6011560693641522E-2</v>
      </c>
      <c r="V507" s="5">
        <f>U507-V1274</f>
        <v>2.4275369917934483E-2</v>
      </c>
      <c r="X507" t="s">
        <v>590</v>
      </c>
      <c r="Y507">
        <v>4.51</v>
      </c>
      <c r="Z507" s="48">
        <f t="shared" si="53"/>
        <v>4.4543429844097204E-3</v>
      </c>
      <c r="AA507" s="5">
        <f>Z507-Y1274</f>
        <v>2.3702351513558637E-4</v>
      </c>
      <c r="AD507" s="1">
        <v>44987</v>
      </c>
      <c r="AE507">
        <v>59.04</v>
      </c>
      <c r="AF507" s="29">
        <f t="shared" si="54"/>
        <v>-1.072386058981234E-2</v>
      </c>
    </row>
    <row r="508" spans="1:32">
      <c r="A508" s="3" t="s">
        <v>596</v>
      </c>
      <c r="B508" s="222">
        <v>29.63</v>
      </c>
      <c r="C508" s="227">
        <f t="shared" si="49"/>
        <v>-4.203039120594898E-2</v>
      </c>
      <c r="D508" s="5">
        <f>C508-C1275</f>
        <v>-4.2108436775507872E-2</v>
      </c>
      <c r="E508" s="1"/>
      <c r="F508" s="8"/>
      <c r="H508" t="s">
        <v>595</v>
      </c>
      <c r="I508">
        <v>16.25</v>
      </c>
      <c r="J508" s="227">
        <f t="shared" si="50"/>
        <v>-3.8461538461538436E-2</v>
      </c>
      <c r="K508" s="5">
        <f>J508-J1276</f>
        <v>-4.0597494377148394E-2</v>
      </c>
      <c r="M508" s="241">
        <v>44959</v>
      </c>
      <c r="N508">
        <v>4179.76</v>
      </c>
      <c r="O508" s="227">
        <f t="shared" si="51"/>
        <v>1.0463002359494267E-2</v>
      </c>
      <c r="P508" s="5">
        <f>O508-O1278</f>
        <v>1.0828759560407438E-2</v>
      </c>
      <c r="Q508" s="8">
        <f t="shared" si="55"/>
        <v>1.1726203361711548E-4</v>
      </c>
      <c r="S508" s="1">
        <v>44959</v>
      </c>
      <c r="T508">
        <v>3.63</v>
      </c>
      <c r="U508" s="29">
        <f t="shared" si="52"/>
        <v>2.2535211267605604E-2</v>
      </c>
      <c r="V508" s="5">
        <f>U508-V1274</f>
        <v>2.0799020491898565E-2</v>
      </c>
      <c r="X508" t="s">
        <v>591</v>
      </c>
      <c r="Y508">
        <v>4.59</v>
      </c>
      <c r="Z508" s="48">
        <f t="shared" si="53"/>
        <v>1.7738359201773912E-2</v>
      </c>
      <c r="AA508" s="5">
        <f>Z508-Y1274</f>
        <v>1.3521039732499778E-2</v>
      </c>
      <c r="AD508" s="1">
        <v>44959</v>
      </c>
      <c r="AE508">
        <v>63.81</v>
      </c>
      <c r="AF508" s="29">
        <f t="shared" si="54"/>
        <v>8.0792682926829285E-2</v>
      </c>
    </row>
    <row r="509" spans="1:32">
      <c r="A509" s="3" t="s">
        <v>597</v>
      </c>
      <c r="B509" s="222">
        <v>30.36</v>
      </c>
      <c r="C509" s="227">
        <f t="shared" si="49"/>
        <v>2.463719203509962E-2</v>
      </c>
      <c r="D509" s="5">
        <f>C509-C1275</f>
        <v>2.4559146465540731E-2</v>
      </c>
      <c r="E509" s="1"/>
      <c r="F509" s="8"/>
      <c r="H509" t="s">
        <v>596</v>
      </c>
      <c r="I509">
        <v>15.55</v>
      </c>
      <c r="J509" s="227">
        <f t="shared" si="50"/>
        <v>-4.3076923076923013E-2</v>
      </c>
      <c r="K509" s="5">
        <f>J509-J1276</f>
        <v>-4.521287899253297E-2</v>
      </c>
      <c r="M509" s="241">
        <v>44928</v>
      </c>
      <c r="N509">
        <v>4119.21</v>
      </c>
      <c r="O509" s="227">
        <f t="shared" si="51"/>
        <v>-1.4486477692499111E-2</v>
      </c>
      <c r="P509" s="5">
        <f>O509-O1278</f>
        <v>-1.412072049158594E-2</v>
      </c>
      <c r="Q509" s="8">
        <f t="shared" si="55"/>
        <v>1.9939474720149508E-4</v>
      </c>
      <c r="S509" s="1">
        <v>44928</v>
      </c>
      <c r="T509">
        <v>3.72</v>
      </c>
      <c r="U509" s="29">
        <f t="shared" si="52"/>
        <v>2.4793388429752206E-2</v>
      </c>
      <c r="V509" s="5">
        <f>U509-V1274</f>
        <v>2.3057197654045167E-2</v>
      </c>
      <c r="X509" t="s">
        <v>592</v>
      </c>
      <c r="Y509">
        <v>4.3899999999999997</v>
      </c>
      <c r="Z509" s="48">
        <f t="shared" si="53"/>
        <v>-4.3572984749455368E-2</v>
      </c>
      <c r="AA509" s="5">
        <f>Z509-Y1274</f>
        <v>-4.7790304218729499E-2</v>
      </c>
      <c r="AD509" s="1">
        <v>44928</v>
      </c>
      <c r="AE509">
        <v>58.91</v>
      </c>
      <c r="AF509" s="29">
        <f t="shared" si="54"/>
        <v>-7.6790471712897768E-2</v>
      </c>
    </row>
    <row r="510" spans="1:32">
      <c r="A510" s="3" t="s">
        <v>598</v>
      </c>
      <c r="B510" s="222">
        <v>30.02</v>
      </c>
      <c r="C510" s="227">
        <f t="shared" si="49"/>
        <v>-1.1198945981554687E-2</v>
      </c>
      <c r="D510" s="5">
        <f>C510-C1275</f>
        <v>-1.1276991551113575E-2</v>
      </c>
      <c r="E510" s="1"/>
      <c r="F510" s="8"/>
      <c r="H510" t="s">
        <v>597</v>
      </c>
      <c r="I510">
        <v>16.18</v>
      </c>
      <c r="J510" s="227">
        <f t="shared" si="50"/>
        <v>4.0514469453376112E-2</v>
      </c>
      <c r="K510" s="5">
        <f>J510-J1276</f>
        <v>3.8378513537766154E-2</v>
      </c>
      <c r="M510" s="240" t="s">
        <v>595</v>
      </c>
      <c r="N510">
        <v>4076.6</v>
      </c>
      <c r="O510" s="227">
        <f t="shared" si="51"/>
        <v>-1.0344216488113012E-2</v>
      </c>
      <c r="P510" s="5">
        <f>O510-O1278</f>
        <v>-9.9784592871998406E-3</v>
      </c>
      <c r="Q510" s="8">
        <f t="shared" si="55"/>
        <v>9.9569649746304755E-5</v>
      </c>
      <c r="S510" t="s">
        <v>595</v>
      </c>
      <c r="T510">
        <v>3.79</v>
      </c>
      <c r="U510" s="29">
        <f t="shared" si="52"/>
        <v>1.8817204301075252E-2</v>
      </c>
      <c r="V510" s="5">
        <f>U510-V1274</f>
        <v>1.7081013525368213E-2</v>
      </c>
      <c r="X510" t="s">
        <v>593</v>
      </c>
      <c r="Y510">
        <v>4.3899999999999997</v>
      </c>
      <c r="Z510" s="48">
        <f t="shared" si="53"/>
        <v>0</v>
      </c>
      <c r="AA510" s="5">
        <f>Z510-Y1274</f>
        <v>-4.2173194692741341E-3</v>
      </c>
      <c r="AD510" t="s">
        <v>595</v>
      </c>
      <c r="AE510">
        <v>57.92</v>
      </c>
      <c r="AF510" s="29">
        <f t="shared" si="54"/>
        <v>-1.6805296214564502E-2</v>
      </c>
    </row>
    <row r="511" spans="1:32">
      <c r="A511" s="3" t="s">
        <v>599</v>
      </c>
      <c r="B511" s="222">
        <v>30.29</v>
      </c>
      <c r="C511" s="227">
        <f t="shared" si="49"/>
        <v>8.9940039973350761E-3</v>
      </c>
      <c r="D511" s="5">
        <f>C511-C1275</f>
        <v>8.9159584277761876E-3</v>
      </c>
      <c r="E511" s="1"/>
      <c r="F511" s="8"/>
      <c r="H511" t="s">
        <v>598</v>
      </c>
      <c r="I511">
        <v>15.36</v>
      </c>
      <c r="J511" s="227">
        <f t="shared" si="50"/>
        <v>-5.0679851668726794E-2</v>
      </c>
      <c r="K511" s="5">
        <f>J511-J1276</f>
        <v>-5.2815807584336752E-2</v>
      </c>
      <c r="M511" s="240" t="s">
        <v>596</v>
      </c>
      <c r="N511">
        <v>4017.77</v>
      </c>
      <c r="O511" s="227">
        <f t="shared" si="51"/>
        <v>-1.4431143600058816E-2</v>
      </c>
      <c r="P511" s="5">
        <f>O511-O1278</f>
        <v>-1.4065386399145645E-2</v>
      </c>
      <c r="Q511" s="8">
        <f t="shared" si="55"/>
        <v>1.9783509455727129E-4</v>
      </c>
      <c r="S511" t="s">
        <v>596</v>
      </c>
      <c r="T511">
        <v>3.71</v>
      </c>
      <c r="U511" s="29">
        <f t="shared" si="52"/>
        <v>-2.1108179419525031E-2</v>
      </c>
      <c r="V511" s="5">
        <f>U511-V1274</f>
        <v>-2.2844370195232069E-2</v>
      </c>
      <c r="X511" t="s">
        <v>594</v>
      </c>
      <c r="Y511">
        <v>4.3499999999999996</v>
      </c>
      <c r="Z511" s="48">
        <f t="shared" si="53"/>
        <v>-9.1116173120728838E-3</v>
      </c>
      <c r="AA511" s="5">
        <f>Z511-Y1274</f>
        <v>-1.3328936781347018E-2</v>
      </c>
      <c r="AD511" t="s">
        <v>596</v>
      </c>
      <c r="AE511">
        <v>56.56</v>
      </c>
      <c r="AF511" s="29">
        <f t="shared" si="54"/>
        <v>-2.3480662983425438E-2</v>
      </c>
    </row>
    <row r="512" spans="1:32">
      <c r="A512" s="3" t="s">
        <v>600</v>
      </c>
      <c r="B512" s="222">
        <v>29.93</v>
      </c>
      <c r="C512" s="227">
        <f t="shared" si="49"/>
        <v>-1.1885110597556925E-2</v>
      </c>
      <c r="D512" s="5">
        <f>C512-C1275</f>
        <v>-1.1963156167115813E-2</v>
      </c>
      <c r="E512" s="1"/>
      <c r="F512" s="8"/>
      <c r="H512" t="s">
        <v>599</v>
      </c>
      <c r="I512">
        <v>15.86</v>
      </c>
      <c r="J512" s="227">
        <f t="shared" si="50"/>
        <v>3.2552083333333259E-2</v>
      </c>
      <c r="K512" s="5">
        <f>J512-J1276</f>
        <v>3.0416127417723302E-2</v>
      </c>
      <c r="M512" s="240" t="s">
        <v>597</v>
      </c>
      <c r="N512">
        <v>4070.56</v>
      </c>
      <c r="O512" s="227">
        <f t="shared" si="51"/>
        <v>1.3139129417562456E-2</v>
      </c>
      <c r="P512" s="5">
        <f>O512-O1278</f>
        <v>1.3504886618475627E-2</v>
      </c>
      <c r="Q512" s="8">
        <f t="shared" si="55"/>
        <v>1.8238196257788205E-4</v>
      </c>
      <c r="S512" t="s">
        <v>597</v>
      </c>
      <c r="T512">
        <v>3.71</v>
      </c>
      <c r="U512" s="29">
        <f t="shared" si="52"/>
        <v>0</v>
      </c>
      <c r="V512" s="5">
        <f>U512-V1274</f>
        <v>-1.736190775707038E-3</v>
      </c>
      <c r="X512" s="1">
        <v>45201</v>
      </c>
      <c r="Y512">
        <v>4.26</v>
      </c>
      <c r="Z512" s="48">
        <f t="shared" si="53"/>
        <v>-2.0689655172413723E-2</v>
      </c>
      <c r="AA512" s="5">
        <f>Z512-Y1274</f>
        <v>-2.4906974641687857E-2</v>
      </c>
      <c r="AD512" t="s">
        <v>597</v>
      </c>
      <c r="AE512">
        <v>58.63</v>
      </c>
      <c r="AF512" s="29">
        <f t="shared" si="54"/>
        <v>3.659830268741171E-2</v>
      </c>
    </row>
    <row r="513" spans="1:32">
      <c r="A513" s="3" t="s">
        <v>601</v>
      </c>
      <c r="B513" s="222">
        <v>30.53</v>
      </c>
      <c r="C513" s="227">
        <f t="shared" si="49"/>
        <v>2.0046775810223849E-2</v>
      </c>
      <c r="D513" s="5">
        <f>C513-C1275</f>
        <v>1.9968730240664961E-2</v>
      </c>
      <c r="E513" s="1"/>
      <c r="F513" s="8"/>
      <c r="H513" t="s">
        <v>600</v>
      </c>
      <c r="I513">
        <v>15.3</v>
      </c>
      <c r="J513" s="227">
        <f t="shared" si="50"/>
        <v>-3.5308953341740112E-2</v>
      </c>
      <c r="K513" s="5">
        <f>J513-J1276</f>
        <v>-3.744490925735007E-2</v>
      </c>
      <c r="M513" s="240" t="s">
        <v>598</v>
      </c>
      <c r="N513">
        <v>4060.43</v>
      </c>
      <c r="O513" s="227">
        <f t="shared" si="51"/>
        <v>-2.488601077001662E-3</v>
      </c>
      <c r="P513" s="5">
        <f>O513-O1278</f>
        <v>-2.1228438760884905E-3</v>
      </c>
      <c r="Q513" s="8">
        <f t="shared" si="55"/>
        <v>4.5064661222464066E-6</v>
      </c>
      <c r="S513" t="s">
        <v>598</v>
      </c>
      <c r="T513">
        <v>3.63</v>
      </c>
      <c r="U513" s="29">
        <f t="shared" si="52"/>
        <v>-2.1563342318059342E-2</v>
      </c>
      <c r="V513" s="5">
        <f>U513-V1274</f>
        <v>-2.3299533093766381E-2</v>
      </c>
      <c r="X513" s="1">
        <v>45171</v>
      </c>
      <c r="Y513">
        <v>4.42</v>
      </c>
      <c r="Z513" s="48">
        <f t="shared" si="53"/>
        <v>3.7558685446009488E-2</v>
      </c>
      <c r="AA513" s="5">
        <f>Z513-Y1274</f>
        <v>3.3341365976735357E-2</v>
      </c>
      <c r="AD513" t="s">
        <v>598</v>
      </c>
      <c r="AE513">
        <v>56.95</v>
      </c>
      <c r="AF513" s="29">
        <f t="shared" si="54"/>
        <v>-2.8654272556711602E-2</v>
      </c>
    </row>
    <row r="514" spans="1:32">
      <c r="A514" s="3" t="s">
        <v>602</v>
      </c>
      <c r="B514" s="222">
        <v>30.36</v>
      </c>
      <c r="C514" s="227">
        <f t="shared" si="49"/>
        <v>-5.568293481821196E-3</v>
      </c>
      <c r="D514" s="5">
        <f>C514-C1275</f>
        <v>-5.6463390513800853E-3</v>
      </c>
      <c r="E514" s="1"/>
      <c r="F514" s="8"/>
      <c r="H514" t="s">
        <v>601</v>
      </c>
      <c r="I514">
        <v>15.41</v>
      </c>
      <c r="J514" s="227">
        <f t="shared" si="50"/>
        <v>7.1895424836601052E-3</v>
      </c>
      <c r="K514" s="5">
        <f>J514-J1276</f>
        <v>5.0535865680501474E-3</v>
      </c>
      <c r="M514" s="240" t="s">
        <v>599</v>
      </c>
      <c r="N514">
        <v>4016.22</v>
      </c>
      <c r="O514" s="227">
        <f t="shared" si="51"/>
        <v>-1.0888009398019483E-2</v>
      </c>
      <c r="P514" s="5">
        <f>O514-O1278</f>
        <v>-1.0522252197106311E-2</v>
      </c>
      <c r="Q514" s="8">
        <f t="shared" si="55"/>
        <v>1.107177912995086E-4</v>
      </c>
      <c r="S514" t="s">
        <v>599</v>
      </c>
      <c r="T514">
        <v>3.68</v>
      </c>
      <c r="U514" s="29">
        <f t="shared" si="52"/>
        <v>1.377410468319562E-2</v>
      </c>
      <c r="V514" s="5">
        <f>U514-V1274</f>
        <v>1.2037913907488582E-2</v>
      </c>
      <c r="X514" s="1">
        <v>45140</v>
      </c>
      <c r="Y514">
        <v>4.3499999999999996</v>
      </c>
      <c r="Z514" s="48">
        <f t="shared" si="53"/>
        <v>-1.5837104072398245E-2</v>
      </c>
      <c r="AA514" s="5">
        <f>Z514-Y1274</f>
        <v>-2.0054423541672379E-2</v>
      </c>
      <c r="AD514" t="s">
        <v>599</v>
      </c>
      <c r="AE514">
        <v>59.53</v>
      </c>
      <c r="AF514" s="29">
        <f t="shared" si="54"/>
        <v>4.5302897278314269E-2</v>
      </c>
    </row>
    <row r="515" spans="1:32">
      <c r="A515" s="3" t="s">
        <v>603</v>
      </c>
      <c r="B515" s="222">
        <v>29.03</v>
      </c>
      <c r="C515" s="227">
        <f t="shared" si="49"/>
        <v>-4.3807641633728522E-2</v>
      </c>
      <c r="D515" s="5">
        <f>C515-C1275</f>
        <v>-4.3885687203287414E-2</v>
      </c>
      <c r="E515" s="1"/>
      <c r="F515" s="8"/>
      <c r="H515" t="s">
        <v>602</v>
      </c>
      <c r="I515">
        <v>15.4</v>
      </c>
      <c r="J515" s="227">
        <f t="shared" si="50"/>
        <v>-6.489292667098967E-4</v>
      </c>
      <c r="K515" s="5">
        <f>J515-J1276</f>
        <v>-2.7848851823198545E-3</v>
      </c>
      <c r="M515" s="240" t="s">
        <v>600</v>
      </c>
      <c r="N515">
        <v>4016.95</v>
      </c>
      <c r="O515" s="227">
        <f t="shared" si="51"/>
        <v>1.8176295123284447E-4</v>
      </c>
      <c r="P515" s="5">
        <f>O515-O1278</f>
        <v>5.4752015214601596E-4</v>
      </c>
      <c r="Q515" s="8">
        <f t="shared" si="55"/>
        <v>2.9977831700599645E-7</v>
      </c>
      <c r="S515" t="s">
        <v>600</v>
      </c>
      <c r="T515">
        <v>3.6</v>
      </c>
      <c r="U515" s="29">
        <f t="shared" si="52"/>
        <v>-2.1739130434782594E-2</v>
      </c>
      <c r="V515" s="5">
        <f>U515-V1274</f>
        <v>-2.3475321210489633E-2</v>
      </c>
      <c r="X515" s="1">
        <v>45109</v>
      </c>
      <c r="Y515">
        <v>4.47</v>
      </c>
      <c r="Z515" s="48">
        <f t="shared" si="53"/>
        <v>2.7586206896551779E-2</v>
      </c>
      <c r="AA515" s="5">
        <f>Z515-Y1274</f>
        <v>2.3368887427277645E-2</v>
      </c>
      <c r="AD515" t="s">
        <v>600</v>
      </c>
      <c r="AE515">
        <v>59.53</v>
      </c>
      <c r="AF515" s="29">
        <f t="shared" si="54"/>
        <v>0</v>
      </c>
    </row>
    <row r="516" spans="1:32">
      <c r="A516" s="3" t="s">
        <v>604</v>
      </c>
      <c r="B516" s="222">
        <v>28.96</v>
      </c>
      <c r="C516" s="227">
        <f t="shared" si="49"/>
        <v>-2.4112986565621997E-3</v>
      </c>
      <c r="D516" s="5">
        <f>C516-C1275</f>
        <v>-2.489344226121089E-3</v>
      </c>
      <c r="F516" s="8"/>
      <c r="H516" t="s">
        <v>603</v>
      </c>
      <c r="I516">
        <v>14.21</v>
      </c>
      <c r="J516" s="227">
        <f t="shared" si="50"/>
        <v>-7.7272727272727271E-2</v>
      </c>
      <c r="K516" s="5">
        <f>J516-J1276</f>
        <v>-7.9408683188337228E-2</v>
      </c>
      <c r="M516" s="240" t="s">
        <v>601</v>
      </c>
      <c r="N516">
        <v>4019.81</v>
      </c>
      <c r="O516" s="227">
        <f t="shared" si="51"/>
        <v>7.1198297215557815E-4</v>
      </c>
      <c r="P516" s="5">
        <f>O516-O1278</f>
        <v>1.0777401730687496E-3</v>
      </c>
      <c r="Q516" s="8">
        <f t="shared" si="55"/>
        <v>1.1615238806462584E-6</v>
      </c>
      <c r="S516" t="s">
        <v>601</v>
      </c>
      <c r="T516">
        <v>3.74</v>
      </c>
      <c r="U516" s="29">
        <f t="shared" si="52"/>
        <v>3.8888888888888973E-2</v>
      </c>
      <c r="V516" s="5">
        <f>U516-V1274</f>
        <v>3.7152698113181934E-2</v>
      </c>
      <c r="X516" s="1">
        <v>45079</v>
      </c>
      <c r="Y516">
        <v>4.3099999999999996</v>
      </c>
      <c r="Z516" s="48">
        <f t="shared" si="53"/>
        <v>-3.5794183445190142E-2</v>
      </c>
      <c r="AA516" s="5">
        <f>Z516-Y1274</f>
        <v>-4.0011502914464273E-2</v>
      </c>
      <c r="AD516" t="s">
        <v>601</v>
      </c>
      <c r="AE516">
        <v>60.59</v>
      </c>
      <c r="AF516" s="29">
        <f t="shared" si="54"/>
        <v>1.780614816059134E-2</v>
      </c>
    </row>
    <row r="517" spans="1:32">
      <c r="A517" s="3" t="s">
        <v>605</v>
      </c>
      <c r="B517" s="222">
        <v>29.2</v>
      </c>
      <c r="C517" s="227">
        <f t="shared" si="49"/>
        <v>8.2872928176795924E-3</v>
      </c>
      <c r="D517" s="5">
        <f>C517-C1275</f>
        <v>8.2092472481207039E-3</v>
      </c>
      <c r="F517" s="8"/>
      <c r="H517" t="s">
        <v>604</v>
      </c>
      <c r="I517">
        <v>14.35</v>
      </c>
      <c r="J517" s="227">
        <f t="shared" si="50"/>
        <v>9.8522167487684609E-3</v>
      </c>
      <c r="K517" s="5">
        <f>J517-J1276</f>
        <v>7.7162608331585031E-3</v>
      </c>
      <c r="M517" s="240" t="s">
        <v>602</v>
      </c>
      <c r="N517">
        <v>3972.61</v>
      </c>
      <c r="O517" s="227">
        <f t="shared" si="51"/>
        <v>-1.174184849532689E-2</v>
      </c>
      <c r="P517" s="5">
        <f>O517-O1278</f>
        <v>-1.1376091294413719E-2</v>
      </c>
      <c r="Q517" s="8">
        <f t="shared" si="55"/>
        <v>1.2941545313883561E-4</v>
      </c>
      <c r="S517" t="s">
        <v>602</v>
      </c>
      <c r="T517">
        <v>3.68</v>
      </c>
      <c r="U517" s="29">
        <f t="shared" si="52"/>
        <v>-1.6042780748663166E-2</v>
      </c>
      <c r="V517" s="5">
        <f>U517-V1274</f>
        <v>-1.7778971524370205E-2</v>
      </c>
      <c r="X517" s="1">
        <v>44987</v>
      </c>
      <c r="Y517">
        <v>4.42</v>
      </c>
      <c r="Z517" s="48">
        <f t="shared" si="53"/>
        <v>2.5522041763341052E-2</v>
      </c>
      <c r="AA517" s="5">
        <f>Z517-Y1274</f>
        <v>2.1304722294066918E-2</v>
      </c>
      <c r="AD517" t="s">
        <v>602</v>
      </c>
      <c r="AE517">
        <v>58.02</v>
      </c>
      <c r="AF517" s="29">
        <f t="shared" si="54"/>
        <v>-4.2416240303680519E-2</v>
      </c>
    </row>
    <row r="518" spans="1:32">
      <c r="A518" s="3" t="s">
        <v>606</v>
      </c>
      <c r="B518" s="222">
        <v>29.44</v>
      </c>
      <c r="C518" s="227">
        <f t="shared" si="49"/>
        <v>8.2191780821918581E-3</v>
      </c>
      <c r="D518" s="5">
        <f>C518-C1275</f>
        <v>8.1411325126329696E-3</v>
      </c>
      <c r="F518" s="8"/>
      <c r="H518" t="s">
        <v>605</v>
      </c>
      <c r="I518">
        <v>14.35</v>
      </c>
      <c r="J518" s="227">
        <f t="shared" si="50"/>
        <v>0</v>
      </c>
      <c r="K518" s="5">
        <f>J518-J1276</f>
        <v>-2.1359559156099578E-3</v>
      </c>
      <c r="M518" s="240" t="s">
        <v>603</v>
      </c>
      <c r="N518">
        <v>3898.85</v>
      </c>
      <c r="O518" s="227">
        <f t="shared" si="51"/>
        <v>-1.8567138480746981E-2</v>
      </c>
      <c r="P518" s="5">
        <f>O518-O1278</f>
        <v>-1.8201381279833808E-2</v>
      </c>
      <c r="Q518" s="8">
        <f t="shared" si="55"/>
        <v>3.3129028049388461E-4</v>
      </c>
      <c r="S518" t="s">
        <v>603</v>
      </c>
      <c r="T518">
        <v>3.59</v>
      </c>
      <c r="U518" s="29">
        <f t="shared" si="52"/>
        <v>-2.4456521739130488E-2</v>
      </c>
      <c r="V518" s="5">
        <f>U518-V1274</f>
        <v>-2.6192712514837527E-2</v>
      </c>
      <c r="X518" s="1">
        <v>44959</v>
      </c>
      <c r="Y518">
        <v>4.59</v>
      </c>
      <c r="Z518" s="48">
        <f t="shared" si="53"/>
        <v>3.8461538461538547E-2</v>
      </c>
      <c r="AA518" s="5">
        <f>Z518-Y1274</f>
        <v>3.4244218992264416E-2</v>
      </c>
      <c r="AD518" t="s">
        <v>603</v>
      </c>
      <c r="AE518">
        <v>54.65</v>
      </c>
      <c r="AF518" s="29">
        <f t="shared" si="54"/>
        <v>-5.8083419510513656E-2</v>
      </c>
    </row>
    <row r="519" spans="1:32">
      <c r="A519" s="220">
        <v>45261</v>
      </c>
      <c r="B519" s="222">
        <v>29.03</v>
      </c>
      <c r="C519" s="227">
        <f t="shared" si="49"/>
        <v>-1.3926630434782594E-2</v>
      </c>
      <c r="D519" s="5">
        <f>C519-C1275</f>
        <v>-1.4004676004341483E-2</v>
      </c>
      <c r="F519" s="8"/>
      <c r="H519" t="s">
        <v>606</v>
      </c>
      <c r="I519">
        <v>14.49</v>
      </c>
      <c r="J519" s="227">
        <f t="shared" si="50"/>
        <v>9.7560975609756184E-3</v>
      </c>
      <c r="K519" s="5">
        <f>J519-J1276</f>
        <v>7.6201416453656606E-3</v>
      </c>
      <c r="M519" s="240" t="s">
        <v>604</v>
      </c>
      <c r="N519">
        <v>3928.86</v>
      </c>
      <c r="O519" s="227">
        <f t="shared" si="51"/>
        <v>7.6971414647910574E-3</v>
      </c>
      <c r="P519" s="5">
        <f>O519-O1278</f>
        <v>8.0628986657042285E-3</v>
      </c>
      <c r="Q519" s="8">
        <f t="shared" si="55"/>
        <v>6.5010334893415031E-5</v>
      </c>
      <c r="S519" t="s">
        <v>604</v>
      </c>
      <c r="T519">
        <v>3.71</v>
      </c>
      <c r="U519" s="29">
        <f t="shared" si="52"/>
        <v>3.3426183844011081E-2</v>
      </c>
      <c r="V519" s="5">
        <f>U519-V1274</f>
        <v>3.1689993068304043E-2</v>
      </c>
      <c r="X519" s="1">
        <v>44928</v>
      </c>
      <c r="Y519">
        <v>4.59</v>
      </c>
      <c r="Z519" s="48">
        <f t="shared" si="53"/>
        <v>0</v>
      </c>
      <c r="AA519" s="5">
        <f>Z519-Y1274</f>
        <v>-4.2173194692741341E-3</v>
      </c>
      <c r="AD519" t="s">
        <v>604</v>
      </c>
      <c r="AE519">
        <v>55.31</v>
      </c>
      <c r="AF519" s="29">
        <f t="shared" si="54"/>
        <v>1.2076852698993612E-2</v>
      </c>
    </row>
    <row r="520" spans="1:32">
      <c r="A520" s="220">
        <v>45231</v>
      </c>
      <c r="B520" s="222">
        <v>28.35</v>
      </c>
      <c r="C520" s="227">
        <f t="shared" si="49"/>
        <v>-2.3424044092318241E-2</v>
      </c>
      <c r="D520" s="5">
        <f>C520-C1275</f>
        <v>-2.350208966187713E-2</v>
      </c>
      <c r="F520" s="8"/>
      <c r="H520" s="1">
        <v>45261</v>
      </c>
      <c r="I520">
        <v>14.55</v>
      </c>
      <c r="J520" s="227">
        <f t="shared" si="50"/>
        <v>4.1407867494824835E-3</v>
      </c>
      <c r="K520" s="5">
        <f>J520-J1276</f>
        <v>2.0048308338725257E-3</v>
      </c>
      <c r="M520" s="240" t="s">
        <v>605</v>
      </c>
      <c r="N520">
        <v>3990.97</v>
      </c>
      <c r="O520" s="227">
        <f t="shared" si="51"/>
        <v>1.5808656964106493E-2</v>
      </c>
      <c r="P520" s="5">
        <f>O520-O1278</f>
        <v>1.6174414165019666E-2</v>
      </c>
      <c r="Q520" s="8">
        <f t="shared" si="55"/>
        <v>2.6161167358158881E-4</v>
      </c>
      <c r="S520" t="s">
        <v>605</v>
      </c>
      <c r="T520">
        <v>3.97</v>
      </c>
      <c r="U520" s="29">
        <f t="shared" si="52"/>
        <v>7.0080862533692834E-2</v>
      </c>
      <c r="V520" s="5">
        <f>U520-V1274</f>
        <v>6.8344671757985795E-2</v>
      </c>
      <c r="X520" t="s">
        <v>595</v>
      </c>
      <c r="Y520">
        <v>4.5199999999999996</v>
      </c>
      <c r="Z520" s="48">
        <f t="shared" si="53"/>
        <v>-1.5250544662309462E-2</v>
      </c>
      <c r="AA520" s="5">
        <f>Z520-Y1274</f>
        <v>-1.9467864131583596E-2</v>
      </c>
      <c r="AD520" t="s">
        <v>605</v>
      </c>
      <c r="AE520">
        <v>54.47</v>
      </c>
      <c r="AF520" s="29">
        <f t="shared" si="54"/>
        <v>-1.5187127101789932E-2</v>
      </c>
    </row>
    <row r="521" spans="1:32">
      <c r="A521" s="220">
        <v>45200</v>
      </c>
      <c r="B521" s="222">
        <v>28.04</v>
      </c>
      <c r="C521" s="227">
        <f t="shared" si="49"/>
        <v>-1.0934744268077723E-2</v>
      </c>
      <c r="D521" s="5">
        <f>C521-C1275</f>
        <v>-1.1012789837636611E-2</v>
      </c>
      <c r="F521" s="8"/>
      <c r="H521" s="1">
        <v>45231</v>
      </c>
      <c r="I521">
        <v>13.84</v>
      </c>
      <c r="J521" s="227">
        <f t="shared" si="50"/>
        <v>-4.8797250859106578E-2</v>
      </c>
      <c r="K521" s="5">
        <f>J521-J1276</f>
        <v>-5.0933206774716536E-2</v>
      </c>
      <c r="M521" s="240" t="s">
        <v>606</v>
      </c>
      <c r="N521">
        <v>3999.09</v>
      </c>
      <c r="O521" s="227">
        <f t="shared" si="51"/>
        <v>2.0345930939096313E-3</v>
      </c>
      <c r="P521" s="5">
        <f>O521-O1278</f>
        <v>2.4003502948228028E-3</v>
      </c>
      <c r="Q521" s="8">
        <f t="shared" si="55"/>
        <v>5.7616815378559163E-6</v>
      </c>
      <c r="S521" t="s">
        <v>606</v>
      </c>
      <c r="T521">
        <v>3.58</v>
      </c>
      <c r="U521" s="29">
        <f t="shared" si="52"/>
        <v>-9.8236775818639877E-2</v>
      </c>
      <c r="V521" s="5">
        <f>U521-V1274</f>
        <v>-9.9972966594346915E-2</v>
      </c>
      <c r="X521" t="s">
        <v>596</v>
      </c>
      <c r="Y521">
        <v>4.26</v>
      </c>
      <c r="Z521" s="48">
        <f t="shared" si="53"/>
        <v>-5.7522123893805288E-2</v>
      </c>
      <c r="AA521" s="5">
        <f>Z521-Y1274</f>
        <v>-6.1739443363079419E-2</v>
      </c>
      <c r="AD521" t="s">
        <v>606</v>
      </c>
      <c r="AE521">
        <v>52.34</v>
      </c>
      <c r="AF521" s="29">
        <f t="shared" si="54"/>
        <v>-3.9104093996695344E-2</v>
      </c>
    </row>
    <row r="522" spans="1:32">
      <c r="A522" s="220">
        <v>45170</v>
      </c>
      <c r="B522" s="222">
        <v>27.4</v>
      </c>
      <c r="C522" s="227">
        <f t="shared" si="49"/>
        <v>-2.2824536376604865E-2</v>
      </c>
      <c r="D522" s="5">
        <f>C522-C1275</f>
        <v>-2.2902581946163753E-2</v>
      </c>
      <c r="F522" s="8"/>
      <c r="H522" s="1">
        <v>45200</v>
      </c>
      <c r="I522">
        <v>13.31</v>
      </c>
      <c r="J522" s="227">
        <f t="shared" si="50"/>
        <v>-3.8294797687861259E-2</v>
      </c>
      <c r="K522" s="5">
        <f>J522-J1276</f>
        <v>-4.0430753603471217E-2</v>
      </c>
      <c r="M522" s="241">
        <v>45261</v>
      </c>
      <c r="N522">
        <v>3983.17</v>
      </c>
      <c r="O522" s="227">
        <f t="shared" si="51"/>
        <v>-3.980905656036815E-3</v>
      </c>
      <c r="P522" s="5">
        <f>O522-O1278</f>
        <v>-3.6151484551236435E-3</v>
      </c>
      <c r="Q522" s="8">
        <f t="shared" si="55"/>
        <v>1.3069298352582867E-5</v>
      </c>
      <c r="S522" s="1">
        <v>45261</v>
      </c>
      <c r="T522">
        <v>3.61</v>
      </c>
      <c r="U522" s="29">
        <f t="shared" si="52"/>
        <v>8.379888268156277E-3</v>
      </c>
      <c r="V522" s="5">
        <f>U522-V1274</f>
        <v>6.643697492449239E-3</v>
      </c>
      <c r="X522" t="s">
        <v>597</v>
      </c>
      <c r="Y522">
        <v>4.28</v>
      </c>
      <c r="Z522" s="48">
        <f t="shared" si="53"/>
        <v>4.6948356807512415E-3</v>
      </c>
      <c r="AA522" s="5">
        <f>Z522-Y1274</f>
        <v>4.7751621147710741E-4</v>
      </c>
      <c r="AD522" s="1">
        <v>45261</v>
      </c>
      <c r="AE522">
        <v>52.03</v>
      </c>
      <c r="AF522" s="29">
        <f t="shared" si="54"/>
        <v>-5.9228123805884492E-3</v>
      </c>
    </row>
    <row r="523" spans="1:32">
      <c r="A523" s="220">
        <v>45078</v>
      </c>
      <c r="B523" s="222">
        <v>26.4</v>
      </c>
      <c r="C523" s="227">
        <f t="shared" si="49"/>
        <v>-3.6496350364963459E-2</v>
      </c>
      <c r="D523" s="5">
        <f>C523-C1275</f>
        <v>-3.6574395934522351E-2</v>
      </c>
      <c r="F523" s="8"/>
      <c r="H523" s="1">
        <v>45170</v>
      </c>
      <c r="I523">
        <v>12.7</v>
      </c>
      <c r="J523" s="227">
        <f t="shared" si="50"/>
        <v>-4.5830202854996283E-2</v>
      </c>
      <c r="K523" s="5">
        <f>J523-J1276</f>
        <v>-4.796615877060624E-2</v>
      </c>
      <c r="M523" s="241">
        <v>45231</v>
      </c>
      <c r="N523">
        <v>3969.61</v>
      </c>
      <c r="O523" s="227">
        <f t="shared" si="51"/>
        <v>-3.4043236919337749E-3</v>
      </c>
      <c r="P523" s="5">
        <f>O523-O1278</f>
        <v>-3.0385664910206034E-3</v>
      </c>
      <c r="Q523" s="8">
        <f t="shared" si="55"/>
        <v>9.2328863203532624E-6</v>
      </c>
      <c r="S523" s="1">
        <v>45231</v>
      </c>
      <c r="T523">
        <v>3.61</v>
      </c>
      <c r="U523" s="29">
        <f t="shared" si="52"/>
        <v>0</v>
      </c>
      <c r="V523" s="5">
        <f>U523-V1274</f>
        <v>-1.736190775707038E-3</v>
      </c>
      <c r="X523" t="s">
        <v>598</v>
      </c>
      <c r="Y523">
        <v>4.3099999999999996</v>
      </c>
      <c r="Z523" s="48">
        <f t="shared" si="53"/>
        <v>7.0093457943922743E-3</v>
      </c>
      <c r="AA523" s="5">
        <f>Z523-Y1274</f>
        <v>2.7920263251181403E-3</v>
      </c>
      <c r="AD523" s="1">
        <v>45231</v>
      </c>
      <c r="AE523">
        <v>51.8</v>
      </c>
      <c r="AF523" s="29">
        <f t="shared" si="54"/>
        <v>-4.4205266192581805E-3</v>
      </c>
    </row>
    <row r="524" spans="1:32">
      <c r="A524" s="220">
        <v>45047</v>
      </c>
      <c r="B524" s="222">
        <v>25.55</v>
      </c>
      <c r="C524" s="227">
        <f t="shared" si="49"/>
        <v>-3.2196969696969613E-2</v>
      </c>
      <c r="D524" s="5">
        <f>C524-C1275</f>
        <v>-3.2275015266528505E-2</v>
      </c>
      <c r="F524" s="8"/>
      <c r="H524" s="1">
        <v>45078</v>
      </c>
      <c r="I524">
        <v>11.94</v>
      </c>
      <c r="J524" s="227">
        <f t="shared" si="50"/>
        <v>-5.9842519685039397E-2</v>
      </c>
      <c r="K524" s="5">
        <f>J524-J1276</f>
        <v>-6.1978475600649355E-2</v>
      </c>
      <c r="M524" s="241">
        <v>45200</v>
      </c>
      <c r="N524">
        <v>3919.25</v>
      </c>
      <c r="O524" s="227">
        <f t="shared" si="51"/>
        <v>-1.2686384808583195E-2</v>
      </c>
      <c r="P524" s="5">
        <f>O524-O1278</f>
        <v>-1.2320627607670024E-2</v>
      </c>
      <c r="Q524" s="8">
        <f t="shared" si="55"/>
        <v>1.517978646468808E-4</v>
      </c>
      <c r="S524" s="1">
        <v>45200</v>
      </c>
      <c r="T524">
        <v>3.72</v>
      </c>
      <c r="U524" s="29">
        <f t="shared" si="52"/>
        <v>3.0470914127423976E-2</v>
      </c>
      <c r="V524" s="5">
        <f>U524-V1274</f>
        <v>2.8734723351716937E-2</v>
      </c>
      <c r="X524" t="s">
        <v>599</v>
      </c>
      <c r="Y524">
        <v>4.3</v>
      </c>
      <c r="Z524" s="48">
        <f t="shared" si="53"/>
        <v>-2.3201856148491462E-3</v>
      </c>
      <c r="AA524" s="5">
        <f>Z524-Y1274</f>
        <v>-6.5375050841232803E-3</v>
      </c>
      <c r="AD524" s="1">
        <v>45200</v>
      </c>
      <c r="AE524">
        <v>48.04</v>
      </c>
      <c r="AF524" s="29">
        <f t="shared" si="54"/>
        <v>-7.2586872586872575E-2</v>
      </c>
    </row>
    <row r="525" spans="1:32">
      <c r="A525" s="220">
        <v>45017</v>
      </c>
      <c r="B525" s="222">
        <v>25.91</v>
      </c>
      <c r="C525" s="227">
        <f t="shared" si="49"/>
        <v>1.4090019569471535E-2</v>
      </c>
      <c r="D525" s="5">
        <f>C525-C1275</f>
        <v>1.4011973999912646E-2</v>
      </c>
      <c r="F525" s="8"/>
      <c r="H525" s="1">
        <v>45047</v>
      </c>
      <c r="I525">
        <v>11.36</v>
      </c>
      <c r="J525" s="227">
        <f t="shared" si="50"/>
        <v>-4.8576214405360196E-2</v>
      </c>
      <c r="K525" s="5">
        <f>J525-J1276</f>
        <v>-5.0712170320970154E-2</v>
      </c>
      <c r="M525" s="241">
        <v>45170</v>
      </c>
      <c r="N525">
        <v>3892.09</v>
      </c>
      <c r="O525" s="227">
        <f t="shared" si="51"/>
        <v>-6.9298973017796195E-3</v>
      </c>
      <c r="P525" s="5">
        <f>O525-O1278</f>
        <v>-6.5641401008664476E-3</v>
      </c>
      <c r="Q525" s="8">
        <f t="shared" si="55"/>
        <v>4.3087935263802977E-5</v>
      </c>
      <c r="S525" s="1">
        <v>45170</v>
      </c>
      <c r="T525">
        <v>3.72</v>
      </c>
      <c r="U525" s="29">
        <f t="shared" si="52"/>
        <v>0</v>
      </c>
      <c r="V525" s="5">
        <f>U525-V1274</f>
        <v>-1.736190775707038E-3</v>
      </c>
      <c r="X525" t="s">
        <v>600</v>
      </c>
      <c r="Y525">
        <v>4.4000000000000004</v>
      </c>
      <c r="Z525" s="48">
        <f t="shared" si="53"/>
        <v>2.3255813953488413E-2</v>
      </c>
      <c r="AA525" s="5">
        <f>Z525-Y1274</f>
        <v>1.9038494484214279E-2</v>
      </c>
      <c r="AD525" s="1">
        <v>45170</v>
      </c>
      <c r="AE525">
        <v>48.05</v>
      </c>
      <c r="AF525" s="29">
        <f t="shared" si="54"/>
        <v>2.0815986677757969E-4</v>
      </c>
    </row>
    <row r="526" spans="1:32">
      <c r="A526" s="220">
        <v>44986</v>
      </c>
      <c r="B526" s="222">
        <v>25.36</v>
      </c>
      <c r="C526" s="227">
        <f t="shared" si="49"/>
        <v>-2.1227325357005E-2</v>
      </c>
      <c r="D526" s="5">
        <f>C526-C1275</f>
        <v>-2.1305370926563889E-2</v>
      </c>
      <c r="F526" s="8"/>
      <c r="H526" s="1">
        <v>45017</v>
      </c>
      <c r="I526">
        <v>11.49</v>
      </c>
      <c r="J526" s="227">
        <f t="shared" si="50"/>
        <v>1.1443661971830998E-2</v>
      </c>
      <c r="K526" s="5">
        <f>J526-J1276</f>
        <v>9.3077060562210406E-3</v>
      </c>
      <c r="M526" s="241">
        <v>45078</v>
      </c>
      <c r="N526">
        <v>3895.08</v>
      </c>
      <c r="O526" s="227">
        <f t="shared" si="51"/>
        <v>7.6822478411342487E-4</v>
      </c>
      <c r="P526" s="5">
        <f>O526-O1278</f>
        <v>1.1339819850265964E-3</v>
      </c>
      <c r="Q526" s="8">
        <f t="shared" si="55"/>
        <v>1.2859151423648598E-6</v>
      </c>
      <c r="S526" s="1">
        <v>45078</v>
      </c>
      <c r="T526">
        <v>3.47</v>
      </c>
      <c r="U526" s="29">
        <f t="shared" si="52"/>
        <v>-6.7204301075268869E-2</v>
      </c>
      <c r="V526" s="5">
        <f>U526-V1274</f>
        <v>-6.8940491850975907E-2</v>
      </c>
      <c r="X526" t="s">
        <v>601</v>
      </c>
      <c r="Y526">
        <v>4.5999999999999996</v>
      </c>
      <c r="Z526" s="48">
        <f t="shared" si="53"/>
        <v>4.5454545454545192E-2</v>
      </c>
      <c r="AA526" s="5">
        <f>Z526-Y1274</f>
        <v>4.1237225985271062E-2</v>
      </c>
      <c r="AD526" s="1">
        <v>45078</v>
      </c>
      <c r="AE526">
        <v>48</v>
      </c>
      <c r="AF526" s="29">
        <f t="shared" si="54"/>
        <v>-1.0405827263266776E-3</v>
      </c>
    </row>
    <row r="527" spans="1:32">
      <c r="A527" s="3" t="s">
        <v>607</v>
      </c>
      <c r="B527" s="222">
        <v>24.73</v>
      </c>
      <c r="C527" s="227">
        <f t="shared" si="49"/>
        <v>-2.4842271293375351E-2</v>
      </c>
      <c r="D527" s="5">
        <f>C527-C1275</f>
        <v>-2.4920316862934239E-2</v>
      </c>
      <c r="F527" s="8"/>
      <c r="H527" s="1">
        <v>44986</v>
      </c>
      <c r="I527">
        <v>11.12</v>
      </c>
      <c r="J527" s="227">
        <f t="shared" si="50"/>
        <v>-3.2201914708442247E-2</v>
      </c>
      <c r="K527" s="5">
        <f>J527-J1276</f>
        <v>-3.4337870624052205E-2</v>
      </c>
      <c r="M527" s="241">
        <v>45047</v>
      </c>
      <c r="N527">
        <v>3808.1</v>
      </c>
      <c r="O527" s="227">
        <f t="shared" si="51"/>
        <v>-2.2330735183872963E-2</v>
      </c>
      <c r="P527" s="5">
        <f>O527-O1278</f>
        <v>-2.196497798295979E-2</v>
      </c>
      <c r="Q527" s="8">
        <f t="shared" si="55"/>
        <v>4.824602577919083E-4</v>
      </c>
      <c r="S527" s="1">
        <v>45047</v>
      </c>
      <c r="T527">
        <v>3.48</v>
      </c>
      <c r="U527" s="29">
        <f t="shared" si="52"/>
        <v>2.8818443804032867E-3</v>
      </c>
      <c r="V527" s="5">
        <f>U527-V1274</f>
        <v>1.1456536046962488E-3</v>
      </c>
      <c r="X527" t="s">
        <v>602</v>
      </c>
      <c r="Y527">
        <v>4.83</v>
      </c>
      <c r="Z527" s="48">
        <f t="shared" si="53"/>
        <v>5.0000000000000044E-2</v>
      </c>
      <c r="AA527" s="5">
        <f>Z527-Y1274</f>
        <v>4.5782680530725914E-2</v>
      </c>
      <c r="AD527" s="1">
        <v>45047</v>
      </c>
      <c r="AE527">
        <v>47.13</v>
      </c>
      <c r="AF527" s="29">
        <f t="shared" si="54"/>
        <v>-1.8124999999999947E-2</v>
      </c>
    </row>
    <row r="528" spans="1:32">
      <c r="A528" s="3" t="s">
        <v>608</v>
      </c>
      <c r="B528" s="222">
        <v>24.91</v>
      </c>
      <c r="C528" s="227">
        <f t="shared" si="49"/>
        <v>7.2786089769509843E-3</v>
      </c>
      <c r="D528" s="5">
        <f>C528-C1275</f>
        <v>7.200563407392095E-3</v>
      </c>
      <c r="F528" s="8"/>
      <c r="H528" t="s">
        <v>607</v>
      </c>
      <c r="I528">
        <v>11.02</v>
      </c>
      <c r="J528" s="227">
        <f t="shared" si="50"/>
        <v>-8.9928057553956275E-3</v>
      </c>
      <c r="K528" s="5">
        <f>J528-J1276</f>
        <v>-1.1128761671005585E-2</v>
      </c>
      <c r="M528" s="241">
        <v>45017</v>
      </c>
      <c r="N528">
        <v>3852.97</v>
      </c>
      <c r="O528" s="227">
        <f t="shared" si="51"/>
        <v>1.1782778813581585E-2</v>
      </c>
      <c r="P528" s="5">
        <f>O528-O1278</f>
        <v>1.2148536014494756E-2</v>
      </c>
      <c r="Q528" s="8">
        <f t="shared" si="55"/>
        <v>1.4758692729547612E-4</v>
      </c>
      <c r="S528" s="1">
        <v>45017</v>
      </c>
      <c r="T528">
        <v>3.5</v>
      </c>
      <c r="U528" s="29">
        <f t="shared" si="52"/>
        <v>5.7471264367816577E-3</v>
      </c>
      <c r="V528" s="5">
        <f>U528-V1274</f>
        <v>4.0109356610746197E-3</v>
      </c>
      <c r="X528" t="s">
        <v>603</v>
      </c>
      <c r="Y528">
        <v>4.4400000000000004</v>
      </c>
      <c r="Z528" s="48">
        <f t="shared" si="53"/>
        <v>-8.0745341614906763E-2</v>
      </c>
      <c r="AA528" s="5">
        <f>Z528-Y1274</f>
        <v>-8.4962661084180893E-2</v>
      </c>
      <c r="AD528" s="1">
        <v>45017</v>
      </c>
      <c r="AE528">
        <v>48.93</v>
      </c>
      <c r="AF528" s="29">
        <f t="shared" si="54"/>
        <v>3.8192234245703283E-2</v>
      </c>
    </row>
    <row r="529" spans="1:32">
      <c r="A529" s="3" t="s">
        <v>609</v>
      </c>
      <c r="B529" s="222">
        <v>24.59</v>
      </c>
      <c r="C529" s="227">
        <f t="shared" si="49"/>
        <v>-1.284624648735444E-2</v>
      </c>
      <c r="D529" s="5">
        <f>C529-C1275</f>
        <v>-1.2924292056913329E-2</v>
      </c>
      <c r="E529" s="1"/>
      <c r="F529" s="8"/>
      <c r="H529" t="s">
        <v>608</v>
      </c>
      <c r="I529">
        <v>10.85</v>
      </c>
      <c r="J529" s="227">
        <f t="shared" si="50"/>
        <v>-1.5426497277676976E-2</v>
      </c>
      <c r="K529" s="5">
        <f>J529-J1276</f>
        <v>-1.7562453193286934E-2</v>
      </c>
      <c r="M529" s="241">
        <v>44986</v>
      </c>
      <c r="N529">
        <v>3824.14</v>
      </c>
      <c r="O529" s="227">
        <f t="shared" si="51"/>
        <v>-7.4825394435980019E-3</v>
      </c>
      <c r="P529" s="5">
        <f>O529-O1278</f>
        <v>-7.11678224268483E-3</v>
      </c>
      <c r="Q529" s="8">
        <f t="shared" si="55"/>
        <v>5.0648589489794116E-5</v>
      </c>
      <c r="S529" s="1">
        <v>44986</v>
      </c>
      <c r="T529">
        <v>3.46</v>
      </c>
      <c r="U529" s="29">
        <f t="shared" si="52"/>
        <v>-1.1428571428571455E-2</v>
      </c>
      <c r="V529" s="5">
        <f>U529-V1274</f>
        <v>-1.3164762204278493E-2</v>
      </c>
      <c r="X529" t="s">
        <v>604</v>
      </c>
      <c r="Y529">
        <v>4.1399999999999997</v>
      </c>
      <c r="Z529" s="48">
        <f t="shared" si="53"/>
        <v>-6.7567567567567766E-2</v>
      </c>
      <c r="AA529" s="5">
        <f>Z529-Y1274</f>
        <v>-7.1784887036841896E-2</v>
      </c>
      <c r="AD529" s="1">
        <v>44986</v>
      </c>
      <c r="AE529">
        <v>48.36</v>
      </c>
      <c r="AF529" s="29">
        <f t="shared" si="54"/>
        <v>-1.1649294911097452E-2</v>
      </c>
    </row>
    <row r="530" spans="1:32">
      <c r="A530" s="3" t="s">
        <v>610</v>
      </c>
      <c r="B530" s="222">
        <v>24.4</v>
      </c>
      <c r="C530" s="227">
        <f t="shared" ref="C530:C593" si="56">B530/B529-1</f>
        <v>-7.7267181781212058E-3</v>
      </c>
      <c r="D530" s="5">
        <f>C530-C1275</f>
        <v>-7.8047637476800951E-3</v>
      </c>
      <c r="E530" s="1"/>
      <c r="F530" s="8"/>
      <c r="H530" t="s">
        <v>609</v>
      </c>
      <c r="I530">
        <v>10.119999999999999</v>
      </c>
      <c r="J530" s="227">
        <f t="shared" si="50"/>
        <v>-6.7281105990783407E-2</v>
      </c>
      <c r="K530" s="5">
        <f>J530-J1276</f>
        <v>-6.9417061906393365E-2</v>
      </c>
      <c r="M530" s="240" t="s">
        <v>607</v>
      </c>
      <c r="N530">
        <v>3839.5</v>
      </c>
      <c r="O530" s="227">
        <f t="shared" si="51"/>
        <v>4.0165893508083972E-3</v>
      </c>
      <c r="P530" s="5">
        <f>O530-O1278</f>
        <v>4.3823465517215691E-3</v>
      </c>
      <c r="Q530" s="8">
        <f t="shared" si="55"/>
        <v>1.9204961299385926E-5</v>
      </c>
      <c r="S530" t="s">
        <v>607</v>
      </c>
      <c r="T530">
        <v>3.22</v>
      </c>
      <c r="U530" s="29">
        <f t="shared" si="52"/>
        <v>-6.9364161849710948E-2</v>
      </c>
      <c r="V530" s="5">
        <f>U530-V1274</f>
        <v>-7.1100352625417987E-2</v>
      </c>
      <c r="X530" t="s">
        <v>605</v>
      </c>
      <c r="Y530">
        <v>4.6900000000000004</v>
      </c>
      <c r="Z530" s="48">
        <f t="shared" si="53"/>
        <v>0.13285024154589387</v>
      </c>
      <c r="AA530" s="5">
        <f>Z530-Y1274</f>
        <v>0.12863292207661972</v>
      </c>
      <c r="AD530" t="s">
        <v>607</v>
      </c>
      <c r="AE530">
        <v>48.82</v>
      </c>
      <c r="AF530" s="29">
        <f t="shared" si="54"/>
        <v>9.5119933829610481E-3</v>
      </c>
    </row>
    <row r="531" spans="1:32">
      <c r="A531" s="3" t="s">
        <v>611</v>
      </c>
      <c r="B531" s="222">
        <v>24.64</v>
      </c>
      <c r="C531" s="227">
        <f t="shared" si="56"/>
        <v>9.8360655737705915E-3</v>
      </c>
      <c r="D531" s="5">
        <f>C531-C1275</f>
        <v>9.7580200042117031E-3</v>
      </c>
      <c r="E531" s="1"/>
      <c r="F531" s="8"/>
      <c r="H531" t="s">
        <v>610</v>
      </c>
      <c r="I531">
        <v>9.8699999999999992</v>
      </c>
      <c r="J531" s="227">
        <f t="shared" si="50"/>
        <v>-2.4703557312252933E-2</v>
      </c>
      <c r="K531" s="5">
        <f>J531-J1276</f>
        <v>-2.6839513227862891E-2</v>
      </c>
      <c r="M531" s="240" t="s">
        <v>608</v>
      </c>
      <c r="N531">
        <v>3849.28</v>
      </c>
      <c r="O531" s="227">
        <f t="shared" si="51"/>
        <v>2.5472066675349403E-3</v>
      </c>
      <c r="P531" s="5">
        <f>O531-O1278</f>
        <v>2.9129638684481118E-3</v>
      </c>
      <c r="Q531" s="8">
        <f t="shared" si="55"/>
        <v>8.4853584988841882E-6</v>
      </c>
      <c r="S531" t="s">
        <v>608</v>
      </c>
      <c r="T531">
        <v>3.21</v>
      </c>
      <c r="U531" s="29">
        <f t="shared" si="52"/>
        <v>-3.1055900621118626E-3</v>
      </c>
      <c r="V531" s="5">
        <f>U531-V1274</f>
        <v>-4.8417808378189006E-3</v>
      </c>
      <c r="X531" t="s">
        <v>606</v>
      </c>
      <c r="Y531">
        <v>4.5999999999999996</v>
      </c>
      <c r="Z531" s="48">
        <f t="shared" si="53"/>
        <v>-1.9189765458422325E-2</v>
      </c>
      <c r="AA531" s="5">
        <f>Z531-Y1274</f>
        <v>-2.3407084927696459E-2</v>
      </c>
      <c r="AD531" t="s">
        <v>608</v>
      </c>
      <c r="AE531">
        <v>49.58</v>
      </c>
      <c r="AF531" s="29">
        <f t="shared" si="54"/>
        <v>1.5567390413764759E-2</v>
      </c>
    </row>
    <row r="532" spans="1:32">
      <c r="A532" s="3" t="s">
        <v>612</v>
      </c>
      <c r="B532" s="222">
        <v>24.64</v>
      </c>
      <c r="C532" s="227">
        <f t="shared" si="56"/>
        <v>0</v>
      </c>
      <c r="D532" s="5">
        <f>C532-C1275</f>
        <v>-7.8045569558889217E-5</v>
      </c>
      <c r="E532" s="1"/>
      <c r="F532" s="8"/>
      <c r="H532" t="s">
        <v>611</v>
      </c>
      <c r="I532">
        <v>10.210000000000001</v>
      </c>
      <c r="J532" s="227">
        <f t="shared" ref="J532:J595" si="57">I532/I531-1</f>
        <v>3.4447821681864443E-2</v>
      </c>
      <c r="K532" s="5">
        <f>J532-J1276</f>
        <v>3.2311865766254486E-2</v>
      </c>
      <c r="M532" s="240" t="s">
        <v>609</v>
      </c>
      <c r="N532">
        <v>3783.22</v>
      </c>
      <c r="O532" s="227">
        <f t="shared" si="51"/>
        <v>-1.7161651010059176E-2</v>
      </c>
      <c r="P532" s="5">
        <f>O532-O1278</f>
        <v>-1.6795893809146003E-2</v>
      </c>
      <c r="Q532" s="8">
        <f t="shared" si="55"/>
        <v>2.8210204884810905E-4</v>
      </c>
      <c r="S532" t="s">
        <v>609</v>
      </c>
      <c r="T532">
        <v>3.15</v>
      </c>
      <c r="U532" s="29">
        <f t="shared" si="52"/>
        <v>-1.8691588785046731E-2</v>
      </c>
      <c r="V532" s="5">
        <f>U532-V1274</f>
        <v>-2.042777956075377E-2</v>
      </c>
      <c r="X532" s="1">
        <v>45261</v>
      </c>
      <c r="Y532">
        <v>4.63</v>
      </c>
      <c r="Z532" s="48">
        <f t="shared" si="53"/>
        <v>6.521739130434856E-3</v>
      </c>
      <c r="AA532" s="5">
        <f>Z532-Y1274</f>
        <v>2.3044196611607219E-3</v>
      </c>
      <c r="AD532" t="s">
        <v>609</v>
      </c>
      <c r="AE532">
        <v>46.85</v>
      </c>
      <c r="AF532" s="29">
        <f t="shared" si="54"/>
        <v>-5.5062525211778901E-2</v>
      </c>
    </row>
    <row r="533" spans="1:32">
      <c r="A533" s="3" t="s">
        <v>613</v>
      </c>
      <c r="B533" s="222">
        <v>25.36</v>
      </c>
      <c r="C533" s="227">
        <f t="shared" si="56"/>
        <v>2.9220779220779258E-2</v>
      </c>
      <c r="D533" s="5">
        <f>C533-C1275</f>
        <v>2.914273365122037E-2</v>
      </c>
      <c r="E533" s="1"/>
      <c r="F533" s="8"/>
      <c r="H533" t="s">
        <v>612</v>
      </c>
      <c r="I533">
        <v>10.1</v>
      </c>
      <c r="J533" s="227">
        <f t="shared" si="57"/>
        <v>-1.0773751224290029E-2</v>
      </c>
      <c r="K533" s="5">
        <f>J533-J1276</f>
        <v>-1.2909707139899987E-2</v>
      </c>
      <c r="M533" s="240" t="s">
        <v>610</v>
      </c>
      <c r="N533">
        <v>3829.25</v>
      </c>
      <c r="O533" s="227">
        <f t="shared" si="51"/>
        <v>1.2166884294331437E-2</v>
      </c>
      <c r="P533" s="5">
        <f>O533-O1278</f>
        <v>1.2532641495244608E-2</v>
      </c>
      <c r="Q533" s="8">
        <f t="shared" si="55"/>
        <v>1.5706710284832702E-4</v>
      </c>
      <c r="S533" t="s">
        <v>610</v>
      </c>
      <c r="T533">
        <v>3.3</v>
      </c>
      <c r="U533" s="29">
        <f t="shared" si="52"/>
        <v>4.7619047619047672E-2</v>
      </c>
      <c r="V533" s="5">
        <f>U533-V1274</f>
        <v>4.5882856843340633E-2</v>
      </c>
      <c r="X533" s="1">
        <v>45231</v>
      </c>
      <c r="Y533">
        <v>4.7</v>
      </c>
      <c r="Z533" s="48">
        <f t="shared" si="53"/>
        <v>1.5118790496760237E-2</v>
      </c>
      <c r="AA533" s="5">
        <f>Z533-Y1274</f>
        <v>1.0901471027486103E-2</v>
      </c>
      <c r="AD533" t="s">
        <v>610</v>
      </c>
      <c r="AE533">
        <v>48.43</v>
      </c>
      <c r="AF533" s="29">
        <f t="shared" si="54"/>
        <v>3.3724653148345718E-2</v>
      </c>
    </row>
    <row r="534" spans="1:32">
      <c r="A534" s="3" t="s">
        <v>614</v>
      </c>
      <c r="B534" s="222">
        <v>24.96</v>
      </c>
      <c r="C534" s="227">
        <f t="shared" si="56"/>
        <v>-1.577287066246047E-2</v>
      </c>
      <c r="D534" s="5">
        <f>C534-C1275</f>
        <v>-1.5850916232019358E-2</v>
      </c>
      <c r="E534" s="1"/>
      <c r="F534" s="8"/>
      <c r="H534" t="s">
        <v>613</v>
      </c>
      <c r="I534">
        <v>10.48</v>
      </c>
      <c r="J534" s="227">
        <f t="shared" si="57"/>
        <v>3.7623762376237657E-2</v>
      </c>
      <c r="K534" s="5">
        <f>J534-J1276</f>
        <v>3.5487806460627699E-2</v>
      </c>
      <c r="M534" s="240" t="s">
        <v>611</v>
      </c>
      <c r="N534">
        <v>3844.82</v>
      </c>
      <c r="O534" s="227">
        <f t="shared" ref="O534:O597" si="58">N534/N533-1</f>
        <v>4.066070379317166E-3</v>
      </c>
      <c r="P534" s="5">
        <f>O534-O1278</f>
        <v>4.4318275802303379E-3</v>
      </c>
      <c r="Q534" s="8">
        <f t="shared" si="55"/>
        <v>1.9641095700890291E-5</v>
      </c>
      <c r="S534" t="s">
        <v>611</v>
      </c>
      <c r="T534">
        <v>3.27</v>
      </c>
      <c r="U534" s="29">
        <f t="shared" ref="U534:U597" si="59">T534/T533-1</f>
        <v>-9.0909090909090384E-3</v>
      </c>
      <c r="V534" s="5">
        <f>U534-V1274</f>
        <v>-1.0827099866616077E-2</v>
      </c>
      <c r="X534" s="1">
        <v>45200</v>
      </c>
      <c r="Y534">
        <v>4.51</v>
      </c>
      <c r="Z534" s="48">
        <f t="shared" ref="Z534:Z597" si="60">Y534/Y533-1</f>
        <v>-4.0425531914893731E-2</v>
      </c>
      <c r="AA534" s="5">
        <f>Z534-Y1274</f>
        <v>-4.4642851384167861E-2</v>
      </c>
      <c r="AD534" t="s">
        <v>611</v>
      </c>
      <c r="AE534">
        <v>50.69</v>
      </c>
      <c r="AF534" s="29">
        <f t="shared" ref="AF534:AF597" si="61">AE534/AE533-1</f>
        <v>4.6665290109436208E-2</v>
      </c>
    </row>
    <row r="535" spans="1:32">
      <c r="A535" s="3" t="s">
        <v>615</v>
      </c>
      <c r="B535" s="222">
        <v>24.95</v>
      </c>
      <c r="C535" s="227">
        <f t="shared" si="56"/>
        <v>-4.0064102564107973E-4</v>
      </c>
      <c r="D535" s="5">
        <f>C535-C1275</f>
        <v>-4.7868659519996893E-4</v>
      </c>
      <c r="E535" s="1"/>
      <c r="F535" s="8"/>
      <c r="H535" t="s">
        <v>614</v>
      </c>
      <c r="I535">
        <v>10.36</v>
      </c>
      <c r="J535" s="227">
        <f t="shared" si="57"/>
        <v>-1.1450381679389388E-2</v>
      </c>
      <c r="K535" s="5">
        <f>J535-J1276</f>
        <v>-1.3586337594999345E-2</v>
      </c>
      <c r="M535" s="240" t="s">
        <v>612</v>
      </c>
      <c r="N535">
        <v>3822.39</v>
      </c>
      <c r="O535" s="227">
        <f t="shared" si="58"/>
        <v>-5.8338231698753518E-3</v>
      </c>
      <c r="P535" s="5">
        <f>O535-O1278</f>
        <v>-5.4680659689621798E-3</v>
      </c>
      <c r="Q535" s="8">
        <f t="shared" ref="Q535:Q598" si="62">P535*P535</f>
        <v>2.9899745440922304E-5</v>
      </c>
      <c r="S535" t="s">
        <v>612</v>
      </c>
      <c r="T535">
        <v>3.06</v>
      </c>
      <c r="U535" s="29">
        <f t="shared" si="59"/>
        <v>-6.422018348623848E-2</v>
      </c>
      <c r="V535" s="5">
        <f>U535-V1274</f>
        <v>-6.5956374261945519E-2</v>
      </c>
      <c r="X535" s="1">
        <v>45170</v>
      </c>
      <c r="Y535">
        <v>4.42</v>
      </c>
      <c r="Z535" s="48">
        <f t="shared" si="60"/>
        <v>-1.9955654101995512E-2</v>
      </c>
      <c r="AA535" s="5">
        <f>Z535-Y1274</f>
        <v>-2.4172973571269647E-2</v>
      </c>
      <c r="AD535" t="s">
        <v>612</v>
      </c>
      <c r="AE535">
        <v>51.36</v>
      </c>
      <c r="AF535" s="29">
        <f t="shared" si="61"/>
        <v>1.3217597159203009E-2</v>
      </c>
    </row>
    <row r="536" spans="1:32">
      <c r="A536" s="3" t="s">
        <v>616</v>
      </c>
      <c r="B536" s="222">
        <v>25.97</v>
      </c>
      <c r="C536" s="227">
        <f t="shared" si="56"/>
        <v>4.0881763527054193E-2</v>
      </c>
      <c r="D536" s="5">
        <f>C536-C1275</f>
        <v>4.0803717957495302E-2</v>
      </c>
      <c r="E536" s="1"/>
      <c r="F536" s="8"/>
      <c r="H536" t="s">
        <v>615</v>
      </c>
      <c r="I536">
        <v>10.32</v>
      </c>
      <c r="J536" s="227">
        <f t="shared" si="57"/>
        <v>-3.8610038610037423E-3</v>
      </c>
      <c r="K536" s="5">
        <f>J536-J1276</f>
        <v>-5.9969597766137001E-3</v>
      </c>
      <c r="M536" s="240" t="s">
        <v>613</v>
      </c>
      <c r="N536">
        <v>3878.44</v>
      </c>
      <c r="O536" s="227">
        <f t="shared" si="58"/>
        <v>1.4663600522186515E-2</v>
      </c>
      <c r="P536" s="5">
        <f>O536-O1278</f>
        <v>1.5029357723099686E-2</v>
      </c>
      <c r="Q536" s="8">
        <f t="shared" si="62"/>
        <v>2.2588159356889617E-4</v>
      </c>
      <c r="S536" t="s">
        <v>613</v>
      </c>
      <c r="T536">
        <v>3.12</v>
      </c>
      <c r="U536" s="29">
        <f t="shared" si="59"/>
        <v>1.9607843137254832E-2</v>
      </c>
      <c r="V536" s="5">
        <f>U536-V1274</f>
        <v>1.7871652361547793E-2</v>
      </c>
      <c r="X536" s="1">
        <v>45078</v>
      </c>
      <c r="Y536">
        <v>4.68</v>
      </c>
      <c r="Z536" s="48">
        <f t="shared" si="60"/>
        <v>5.8823529411764719E-2</v>
      </c>
      <c r="AA536" s="5">
        <f>Z536-Y1274</f>
        <v>5.4606209942490588E-2</v>
      </c>
      <c r="AD536" t="s">
        <v>613</v>
      </c>
      <c r="AE536">
        <v>52.92</v>
      </c>
      <c r="AF536" s="29">
        <f t="shared" si="61"/>
        <v>3.0373831775700966E-2</v>
      </c>
    </row>
    <row r="537" spans="1:32">
      <c r="A537" s="3" t="s">
        <v>617</v>
      </c>
      <c r="B537" s="222">
        <v>26.24</v>
      </c>
      <c r="C537" s="227">
        <f t="shared" si="56"/>
        <v>1.0396611474778661E-2</v>
      </c>
      <c r="D537" s="5">
        <f>C537-C1275</f>
        <v>1.0318565905219772E-2</v>
      </c>
      <c r="F537" s="8"/>
      <c r="H537" t="s">
        <v>616</v>
      </c>
      <c r="I537">
        <v>11.09</v>
      </c>
      <c r="J537" s="227">
        <f t="shared" si="57"/>
        <v>7.4612403100775104E-2</v>
      </c>
      <c r="K537" s="5">
        <f>J537-J1276</f>
        <v>7.2476447185165147E-2</v>
      </c>
      <c r="M537" s="240" t="s">
        <v>614</v>
      </c>
      <c r="N537">
        <v>3821.62</v>
      </c>
      <c r="O537" s="227">
        <f t="shared" si="58"/>
        <v>-1.4650220191623431E-2</v>
      </c>
      <c r="P537" s="5">
        <f>O537-O1278</f>
        <v>-1.428446299071026E-2</v>
      </c>
      <c r="Q537" s="8">
        <f t="shared" si="62"/>
        <v>2.040458829329711E-4</v>
      </c>
      <c r="S537" t="s">
        <v>614</v>
      </c>
      <c r="T537">
        <v>2.99</v>
      </c>
      <c r="U537" s="29">
        <f t="shared" si="59"/>
        <v>-4.166666666666663E-2</v>
      </c>
      <c r="V537" s="5">
        <f>U537-V1274</f>
        <v>-4.3402857442373668E-2</v>
      </c>
      <c r="X537" s="1">
        <v>45047</v>
      </c>
      <c r="Y537">
        <v>4.0999999999999996</v>
      </c>
      <c r="Z537" s="48">
        <f t="shared" si="60"/>
        <v>-0.12393162393162394</v>
      </c>
      <c r="AA537" s="5">
        <f>Z537-Y1274</f>
        <v>-0.12814894340089808</v>
      </c>
      <c r="AD537" t="s">
        <v>614</v>
      </c>
      <c r="AE537">
        <v>51.33</v>
      </c>
      <c r="AF537" s="29">
        <f t="shared" si="61"/>
        <v>-3.0045351473922954E-2</v>
      </c>
    </row>
    <row r="538" spans="1:32">
      <c r="A538" s="3" t="s">
        <v>618</v>
      </c>
      <c r="B538" s="222">
        <v>27.47</v>
      </c>
      <c r="C538" s="227">
        <f t="shared" si="56"/>
        <v>4.6875E-2</v>
      </c>
      <c r="D538" s="5">
        <f>C538-C1275</f>
        <v>4.6796954430441108E-2</v>
      </c>
      <c r="F538" s="8"/>
      <c r="H538" t="s">
        <v>617</v>
      </c>
      <c r="I538">
        <v>11.35</v>
      </c>
      <c r="J538" s="227">
        <f t="shared" si="57"/>
        <v>2.3444544634806164E-2</v>
      </c>
      <c r="K538" s="5">
        <f>J538-J1276</f>
        <v>2.1308588719196206E-2</v>
      </c>
      <c r="M538" s="240" t="s">
        <v>615</v>
      </c>
      <c r="N538">
        <v>3817.66</v>
      </c>
      <c r="O538" s="227">
        <f t="shared" si="58"/>
        <v>-1.0362097749122556E-3</v>
      </c>
      <c r="P538" s="5">
        <f>O538-O1278</f>
        <v>-6.7045257399908414E-4</v>
      </c>
      <c r="Q538" s="8">
        <f t="shared" si="62"/>
        <v>4.4950665398199742E-7</v>
      </c>
      <c r="S538" t="s">
        <v>615</v>
      </c>
      <c r="T538">
        <v>3.01</v>
      </c>
      <c r="U538" s="29">
        <f t="shared" si="59"/>
        <v>6.6889632107021146E-3</v>
      </c>
      <c r="V538" s="5">
        <f>U538-V1274</f>
        <v>4.9527724349950767E-3</v>
      </c>
      <c r="X538" s="1">
        <v>45017</v>
      </c>
      <c r="Y538">
        <v>3.98</v>
      </c>
      <c r="Z538" s="48">
        <f t="shared" si="60"/>
        <v>-2.9268292682926744E-2</v>
      </c>
      <c r="AA538" s="5">
        <f>Z538-Y1274</f>
        <v>-3.3485612152200875E-2</v>
      </c>
      <c r="AD538" t="s">
        <v>615</v>
      </c>
      <c r="AE538">
        <v>51.44</v>
      </c>
      <c r="AF538" s="29">
        <f t="shared" si="61"/>
        <v>2.1429962984609308E-3</v>
      </c>
    </row>
    <row r="539" spans="1:32">
      <c r="A539" s="3" t="s">
        <v>619</v>
      </c>
      <c r="B539" s="222">
        <v>26.98</v>
      </c>
      <c r="C539" s="227">
        <f t="shared" si="56"/>
        <v>-1.7837641062977694E-2</v>
      </c>
      <c r="D539" s="5">
        <f>C539-C1275</f>
        <v>-1.7915686632536582E-2</v>
      </c>
      <c r="F539" s="8"/>
      <c r="H539" t="s">
        <v>618</v>
      </c>
      <c r="I539">
        <v>11.89</v>
      </c>
      <c r="J539" s="227">
        <f t="shared" si="57"/>
        <v>4.7577092511013275E-2</v>
      </c>
      <c r="K539" s="5">
        <f>J539-J1276</f>
        <v>4.5441136595403317E-2</v>
      </c>
      <c r="M539" s="240" t="s">
        <v>616</v>
      </c>
      <c r="N539">
        <v>3852.36</v>
      </c>
      <c r="O539" s="227">
        <f t="shared" si="58"/>
        <v>9.089337447546475E-3</v>
      </c>
      <c r="P539" s="5">
        <f>O539-O1278</f>
        <v>9.455094648459646E-3</v>
      </c>
      <c r="Q539" s="8">
        <f t="shared" si="62"/>
        <v>8.9398814811330238E-5</v>
      </c>
      <c r="S539" t="s">
        <v>616</v>
      </c>
      <c r="T539">
        <v>3.19</v>
      </c>
      <c r="U539" s="29">
        <f t="shared" si="59"/>
        <v>5.980066445182719E-2</v>
      </c>
      <c r="V539" s="5">
        <f>U539-V1274</f>
        <v>5.8064473676120151E-2</v>
      </c>
      <c r="X539" s="1">
        <v>44986</v>
      </c>
      <c r="Y539">
        <v>3.54</v>
      </c>
      <c r="Z539" s="48">
        <f t="shared" si="60"/>
        <v>-0.11055276381909551</v>
      </c>
      <c r="AA539" s="5">
        <f>Z539-Y1274</f>
        <v>-0.11477008328836964</v>
      </c>
      <c r="AD539" t="s">
        <v>616</v>
      </c>
      <c r="AE539">
        <v>52.52</v>
      </c>
      <c r="AF539" s="29">
        <f t="shared" si="61"/>
        <v>2.0995334370140117E-2</v>
      </c>
    </row>
    <row r="540" spans="1:32">
      <c r="A540" s="220">
        <v>44907</v>
      </c>
      <c r="B540" s="222">
        <v>27.03</v>
      </c>
      <c r="C540" s="227">
        <f t="shared" si="56"/>
        <v>1.8532246108229344E-3</v>
      </c>
      <c r="D540" s="5">
        <f>C540-C1275</f>
        <v>1.7751790412640451E-3</v>
      </c>
      <c r="F540" s="8"/>
      <c r="H540" t="s">
        <v>619</v>
      </c>
      <c r="I540">
        <v>11.6</v>
      </c>
      <c r="J540" s="227">
        <f t="shared" si="57"/>
        <v>-2.4390243902439046E-2</v>
      </c>
      <c r="K540" s="5">
        <f>J540-J1276</f>
        <v>-2.6526199818049004E-2</v>
      </c>
      <c r="M540" s="240" t="s">
        <v>617</v>
      </c>
      <c r="N540">
        <v>3895.75</v>
      </c>
      <c r="O540" s="227">
        <f t="shared" si="58"/>
        <v>1.1263225659076559E-2</v>
      </c>
      <c r="P540" s="5">
        <f>O540-O1278</f>
        <v>1.162898285998973E-2</v>
      </c>
      <c r="Q540" s="8">
        <f t="shared" si="62"/>
        <v>1.3523324235793492E-4</v>
      </c>
      <c r="S540" t="s">
        <v>617</v>
      </c>
      <c r="T540">
        <v>3.2</v>
      </c>
      <c r="U540" s="29">
        <f t="shared" si="59"/>
        <v>3.1347962382446415E-3</v>
      </c>
      <c r="V540" s="5">
        <f>U540-V1274</f>
        <v>1.3986054625376035E-3</v>
      </c>
      <c r="X540" t="s">
        <v>607</v>
      </c>
      <c r="Y540">
        <v>3.18</v>
      </c>
      <c r="Z540" s="48">
        <f t="shared" si="60"/>
        <v>-0.10169491525423724</v>
      </c>
      <c r="AA540" s="5">
        <f>Z540-Y1274</f>
        <v>-0.10591223472351137</v>
      </c>
      <c r="AD540" t="s">
        <v>617</v>
      </c>
      <c r="AE540">
        <v>55.25</v>
      </c>
      <c r="AF540" s="29">
        <f t="shared" si="61"/>
        <v>5.1980198019802026E-2</v>
      </c>
    </row>
    <row r="541" spans="1:32">
      <c r="A541" s="220">
        <v>44816</v>
      </c>
      <c r="B541" s="222">
        <v>26.55</v>
      </c>
      <c r="C541" s="227">
        <f t="shared" si="56"/>
        <v>-1.7758046614872347E-2</v>
      </c>
      <c r="D541" s="5">
        <f>C541-C1275</f>
        <v>-1.7836092184431235E-2</v>
      </c>
      <c r="F541" s="8"/>
      <c r="H541" s="1">
        <v>44907</v>
      </c>
      <c r="I541">
        <v>11.51</v>
      </c>
      <c r="J541" s="227">
        <f t="shared" si="57"/>
        <v>-7.7586206896551602E-3</v>
      </c>
      <c r="K541" s="5">
        <f>J541-J1276</f>
        <v>-9.894576605265118E-3</v>
      </c>
      <c r="M541" s="240" t="s">
        <v>618</v>
      </c>
      <c r="N541">
        <v>3995.32</v>
      </c>
      <c r="O541" s="227">
        <f t="shared" si="58"/>
        <v>2.5558621574793161E-2</v>
      </c>
      <c r="P541" s="5">
        <f>O541-O1278</f>
        <v>2.5924378775706334E-2</v>
      </c>
      <c r="Q541" s="8">
        <f t="shared" si="62"/>
        <v>6.7207341490629305E-4</v>
      </c>
      <c r="S541" t="s">
        <v>618</v>
      </c>
      <c r="T541">
        <v>3.31</v>
      </c>
      <c r="U541" s="29">
        <f t="shared" si="59"/>
        <v>3.4375000000000044E-2</v>
      </c>
      <c r="V541" s="5">
        <f>U541-V1274</f>
        <v>3.2638809224293006E-2</v>
      </c>
      <c r="X541" t="s">
        <v>608</v>
      </c>
      <c r="Y541">
        <v>3.34</v>
      </c>
      <c r="Z541" s="48">
        <f t="shared" si="60"/>
        <v>5.031446540880502E-2</v>
      </c>
      <c r="AA541" s="5">
        <f>Z541-Y1274</f>
        <v>4.609714593953089E-2</v>
      </c>
      <c r="AD541" t="s">
        <v>618</v>
      </c>
      <c r="AE541">
        <v>58.5</v>
      </c>
      <c r="AF541" s="29">
        <f t="shared" si="61"/>
        <v>5.8823529411764719E-2</v>
      </c>
    </row>
    <row r="542" spans="1:32">
      <c r="A542" s="220">
        <v>44785</v>
      </c>
      <c r="B542" s="222">
        <v>26.45</v>
      </c>
      <c r="C542" s="227">
        <f t="shared" si="56"/>
        <v>-3.7664783427495685E-3</v>
      </c>
      <c r="D542" s="5">
        <f>C542-C1275</f>
        <v>-3.8445239123084578E-3</v>
      </c>
      <c r="F542" s="8"/>
      <c r="H542" s="1">
        <v>44816</v>
      </c>
      <c r="I542">
        <v>10.95</v>
      </c>
      <c r="J542" s="227">
        <f t="shared" si="57"/>
        <v>-4.8653344917463093E-2</v>
      </c>
      <c r="K542" s="5">
        <f>J542-J1276</f>
        <v>-5.0789300833073051E-2</v>
      </c>
      <c r="M542" s="240" t="s">
        <v>619</v>
      </c>
      <c r="N542">
        <v>4019.65</v>
      </c>
      <c r="O542" s="227">
        <f t="shared" si="58"/>
        <v>6.0896248610875503E-3</v>
      </c>
      <c r="P542" s="5">
        <f>O542-O1278</f>
        <v>6.4553820620007222E-3</v>
      </c>
      <c r="Q542" s="8">
        <f t="shared" si="62"/>
        <v>4.1671957566400699E-5</v>
      </c>
      <c r="S542" t="s">
        <v>619</v>
      </c>
      <c r="T542">
        <v>3.22</v>
      </c>
      <c r="U542" s="29">
        <f t="shared" si="59"/>
        <v>-2.7190332326283984E-2</v>
      </c>
      <c r="V542" s="5">
        <f>U542-V1274</f>
        <v>-2.8926523101991022E-2</v>
      </c>
      <c r="X542" t="s">
        <v>609</v>
      </c>
      <c r="Y542">
        <v>3.2</v>
      </c>
      <c r="Z542" s="48">
        <f t="shared" si="60"/>
        <v>-4.1916167664670545E-2</v>
      </c>
      <c r="AA542" s="5">
        <f>Z542-Y1274</f>
        <v>-4.6133487133944676E-2</v>
      </c>
      <c r="AD542" t="s">
        <v>619</v>
      </c>
      <c r="AE542">
        <v>58.24</v>
      </c>
      <c r="AF542" s="29">
        <f t="shared" si="61"/>
        <v>-4.444444444444362E-3</v>
      </c>
    </row>
    <row r="543" spans="1:32">
      <c r="A543" s="220">
        <v>44754</v>
      </c>
      <c r="B543" s="222">
        <v>26.4</v>
      </c>
      <c r="C543" s="227">
        <f t="shared" si="56"/>
        <v>-1.890359168241984E-3</v>
      </c>
      <c r="D543" s="5">
        <f>C543-C1275</f>
        <v>-1.9684047378008733E-3</v>
      </c>
      <c r="F543" s="8"/>
      <c r="H543" s="1">
        <v>44785</v>
      </c>
      <c r="I543">
        <v>10.64</v>
      </c>
      <c r="J543" s="227">
        <f t="shared" si="57"/>
        <v>-2.8310502283104944E-2</v>
      </c>
      <c r="K543" s="5">
        <f>J543-J1276</f>
        <v>-3.0446458198714901E-2</v>
      </c>
      <c r="M543" s="241">
        <v>44907</v>
      </c>
      <c r="N543">
        <v>3990.56</v>
      </c>
      <c r="O543" s="227">
        <f t="shared" si="58"/>
        <v>-7.2369484905402404E-3</v>
      </c>
      <c r="P543" s="5">
        <f>O543-O1278</f>
        <v>-6.8711912896270684E-3</v>
      </c>
      <c r="Q543" s="8">
        <f t="shared" si="62"/>
        <v>4.7213269738646895E-5</v>
      </c>
      <c r="S543" s="1">
        <v>44907</v>
      </c>
      <c r="T543">
        <v>3.15</v>
      </c>
      <c r="U543" s="29">
        <f t="shared" si="59"/>
        <v>-2.1739130434782705E-2</v>
      </c>
      <c r="V543" s="5">
        <f>U543-V1274</f>
        <v>-2.3475321210489744E-2</v>
      </c>
      <c r="X543" t="s">
        <v>610</v>
      </c>
      <c r="Y543">
        <v>3.46</v>
      </c>
      <c r="Z543" s="48">
        <f t="shared" si="60"/>
        <v>8.1249999999999822E-2</v>
      </c>
      <c r="AA543" s="5">
        <f>Z543-Y1274</f>
        <v>7.7032680530725692E-2</v>
      </c>
      <c r="AD543" s="1">
        <v>44907</v>
      </c>
      <c r="AE543">
        <v>58.02</v>
      </c>
      <c r="AF543" s="29">
        <f t="shared" si="61"/>
        <v>-3.7774725274725141E-3</v>
      </c>
    </row>
    <row r="544" spans="1:32">
      <c r="A544" s="220">
        <v>44724</v>
      </c>
      <c r="B544" s="222">
        <v>26.92</v>
      </c>
      <c r="C544" s="227">
        <f t="shared" si="56"/>
        <v>1.9696969696969768E-2</v>
      </c>
      <c r="D544" s="5">
        <f>C544-C1275</f>
        <v>1.961892412741088E-2</v>
      </c>
      <c r="F544" s="8"/>
      <c r="H544" s="1">
        <v>44754</v>
      </c>
      <c r="I544">
        <v>10.32</v>
      </c>
      <c r="J544" s="227">
        <f t="shared" si="57"/>
        <v>-3.007518796992481E-2</v>
      </c>
      <c r="K544" s="5">
        <f>J544-J1276</f>
        <v>-3.2211143885534768E-2</v>
      </c>
      <c r="M544" s="241">
        <v>44816</v>
      </c>
      <c r="N544">
        <v>3934.38</v>
      </c>
      <c r="O544" s="227">
        <f t="shared" si="58"/>
        <v>-1.4078224610079793E-2</v>
      </c>
      <c r="P544" s="5">
        <f>O544-O1278</f>
        <v>-1.3712467409166621E-2</v>
      </c>
      <c r="Q544" s="8">
        <f t="shared" si="62"/>
        <v>1.8803176244745675E-4</v>
      </c>
      <c r="S544" s="1">
        <v>44816</v>
      </c>
      <c r="T544">
        <v>3.02</v>
      </c>
      <c r="U544" s="29">
        <f t="shared" si="59"/>
        <v>-4.1269841269841234E-2</v>
      </c>
      <c r="V544" s="5">
        <f>U544-V1274</f>
        <v>-4.3006032045548273E-2</v>
      </c>
      <c r="X544" t="s">
        <v>611</v>
      </c>
      <c r="Y544">
        <v>3.67</v>
      </c>
      <c r="Z544" s="48">
        <f t="shared" si="60"/>
        <v>6.0693641618497107E-2</v>
      </c>
      <c r="AA544" s="5">
        <f>Z544-Y1274</f>
        <v>5.6476322149222977E-2</v>
      </c>
      <c r="AD544" s="1">
        <v>44816</v>
      </c>
      <c r="AE544">
        <v>55.27</v>
      </c>
      <c r="AF544" s="29">
        <f t="shared" si="61"/>
        <v>-4.7397449155463622E-2</v>
      </c>
    </row>
    <row r="545" spans="1:32">
      <c r="A545" s="220">
        <v>44693</v>
      </c>
      <c r="B545" s="222">
        <v>27.7</v>
      </c>
      <c r="C545" s="227">
        <f t="shared" si="56"/>
        <v>2.8974739970282215E-2</v>
      </c>
      <c r="D545" s="5">
        <f>C545-C1275</f>
        <v>2.8896694400723327E-2</v>
      </c>
      <c r="F545" s="8"/>
      <c r="H545" s="1">
        <v>44724</v>
      </c>
      <c r="I545">
        <v>10.41</v>
      </c>
      <c r="J545" s="227">
        <f t="shared" si="57"/>
        <v>8.720930232558155E-3</v>
      </c>
      <c r="K545" s="5">
        <f>J545-J1276</f>
        <v>6.5849743169481972E-3</v>
      </c>
      <c r="M545" s="241">
        <v>44785</v>
      </c>
      <c r="N545">
        <v>3963.51</v>
      </c>
      <c r="O545" s="227">
        <f t="shared" si="58"/>
        <v>7.4039619965535763E-3</v>
      </c>
      <c r="P545" s="5">
        <f>O545-O1278</f>
        <v>7.7697191974667483E-3</v>
      </c>
      <c r="Q545" s="8">
        <f t="shared" si="62"/>
        <v>6.0368536407483327E-5</v>
      </c>
      <c r="S545" s="1">
        <v>44785</v>
      </c>
      <c r="T545">
        <v>3.06</v>
      </c>
      <c r="U545" s="29">
        <f t="shared" si="59"/>
        <v>1.3245033112582849E-2</v>
      </c>
      <c r="V545" s="5">
        <f>U545-V1274</f>
        <v>1.150884233687581E-2</v>
      </c>
      <c r="X545" t="s">
        <v>612</v>
      </c>
      <c r="Y545">
        <v>3.66</v>
      </c>
      <c r="Z545" s="48">
        <f t="shared" si="60"/>
        <v>-2.7247956403269047E-3</v>
      </c>
      <c r="AA545" s="5">
        <f>Z545-Y1274</f>
        <v>-6.9421151096010388E-3</v>
      </c>
      <c r="AD545" s="1">
        <v>44785</v>
      </c>
      <c r="AE545">
        <v>54.01</v>
      </c>
      <c r="AF545" s="29">
        <f t="shared" si="61"/>
        <v>-2.2797177492310583E-2</v>
      </c>
    </row>
    <row r="546" spans="1:32">
      <c r="A546" s="220">
        <v>44604</v>
      </c>
      <c r="B546" s="222">
        <v>28.75</v>
      </c>
      <c r="C546" s="227">
        <f t="shared" si="56"/>
        <v>3.7906137184115618E-2</v>
      </c>
      <c r="D546" s="5">
        <f>C546-C1275</f>
        <v>3.7828091614556726E-2</v>
      </c>
      <c r="F546" s="8"/>
      <c r="H546" s="1">
        <v>44693</v>
      </c>
      <c r="I546">
        <v>10.78</v>
      </c>
      <c r="J546" s="227">
        <f t="shared" si="57"/>
        <v>3.5542747358309201E-2</v>
      </c>
      <c r="K546" s="5">
        <f>J546-J1276</f>
        <v>3.3406791442699243E-2</v>
      </c>
      <c r="M546" s="241">
        <v>44754</v>
      </c>
      <c r="N546">
        <v>3933.92</v>
      </c>
      <c r="O546" s="227">
        <f t="shared" si="58"/>
        <v>-7.465604981443219E-3</v>
      </c>
      <c r="P546" s="5">
        <f>O546-O1278</f>
        <v>-7.0998477805300471E-3</v>
      </c>
      <c r="Q546" s="8">
        <f t="shared" si="62"/>
        <v>5.0407838506697439E-5</v>
      </c>
      <c r="S546" s="1">
        <v>44754</v>
      </c>
      <c r="T546">
        <v>2.94</v>
      </c>
      <c r="U546" s="29">
        <f t="shared" si="59"/>
        <v>-3.9215686274509887E-2</v>
      </c>
      <c r="V546" s="5">
        <f>U546-V1274</f>
        <v>-4.0951877050216925E-2</v>
      </c>
      <c r="X546" t="s">
        <v>613</v>
      </c>
      <c r="Y546">
        <v>3.73</v>
      </c>
      <c r="Z546" s="48">
        <f t="shared" si="60"/>
        <v>1.91256830601092E-2</v>
      </c>
      <c r="AA546" s="5">
        <f>Z546-Y1274</f>
        <v>1.4908363590835066E-2</v>
      </c>
      <c r="AD546" s="1">
        <v>44754</v>
      </c>
      <c r="AE546">
        <v>53.62</v>
      </c>
      <c r="AF546" s="29">
        <f t="shared" si="61"/>
        <v>-7.220885021292367E-3</v>
      </c>
    </row>
    <row r="547" spans="1:32">
      <c r="A547" s="220">
        <v>44573</v>
      </c>
      <c r="B547" s="222">
        <v>28.34</v>
      </c>
      <c r="C547" s="227">
        <f t="shared" si="56"/>
        <v>-1.4260869565217438E-2</v>
      </c>
      <c r="D547" s="5">
        <f>C547-C1275</f>
        <v>-1.4338915134776326E-2</v>
      </c>
      <c r="F547" s="8"/>
      <c r="H547" s="1">
        <v>44604</v>
      </c>
      <c r="I547">
        <v>11.1</v>
      </c>
      <c r="J547" s="227">
        <f t="shared" si="57"/>
        <v>2.9684601113172615E-2</v>
      </c>
      <c r="K547" s="5">
        <f>J547-J1276</f>
        <v>2.7548645197562657E-2</v>
      </c>
      <c r="M547" s="241">
        <v>44724</v>
      </c>
      <c r="N547">
        <v>3941.26</v>
      </c>
      <c r="O547" s="227">
        <f t="shared" si="58"/>
        <v>1.8658234026112108E-3</v>
      </c>
      <c r="P547" s="5">
        <f>O547-O1278</f>
        <v>2.2315806035243823E-3</v>
      </c>
      <c r="Q547" s="8">
        <f t="shared" si="62"/>
        <v>4.9799519900262465E-6</v>
      </c>
      <c r="S547" s="1">
        <v>44724</v>
      </c>
      <c r="T547">
        <v>3.01</v>
      </c>
      <c r="U547" s="29">
        <f t="shared" si="59"/>
        <v>2.3809523809523725E-2</v>
      </c>
      <c r="V547" s="5">
        <f>U547-V1274</f>
        <v>2.2073333033816686E-2</v>
      </c>
      <c r="X547" t="s">
        <v>614</v>
      </c>
      <c r="Y547">
        <v>3.72</v>
      </c>
      <c r="Z547" s="48">
        <f t="shared" si="60"/>
        <v>-2.6809651474529739E-3</v>
      </c>
      <c r="AA547" s="5">
        <f>Z547-Y1274</f>
        <v>-6.8982846167271079E-3</v>
      </c>
      <c r="AD547" s="1">
        <v>44724</v>
      </c>
      <c r="AE547">
        <v>52.71</v>
      </c>
      <c r="AF547" s="29">
        <f t="shared" si="61"/>
        <v>-1.6971279373368064E-2</v>
      </c>
    </row>
    <row r="548" spans="1:32">
      <c r="A548" s="3" t="s">
        <v>620</v>
      </c>
      <c r="B548" s="222">
        <v>29.14</v>
      </c>
      <c r="C548" s="227">
        <f t="shared" si="56"/>
        <v>2.8228652081863093E-2</v>
      </c>
      <c r="D548" s="5">
        <f>C548-C1275</f>
        <v>2.8150606512304204E-2</v>
      </c>
      <c r="F548" s="8"/>
      <c r="H548" s="1">
        <v>44573</v>
      </c>
      <c r="I548">
        <v>11.2</v>
      </c>
      <c r="J548" s="227">
        <f t="shared" si="57"/>
        <v>9.009009009008917E-3</v>
      </c>
      <c r="K548" s="5">
        <f>J548-J1276</f>
        <v>6.8730530933989592E-3</v>
      </c>
      <c r="M548" s="241">
        <v>44693</v>
      </c>
      <c r="N548">
        <v>3998.84</v>
      </c>
      <c r="O548" s="227">
        <f t="shared" si="58"/>
        <v>1.4609541111218149E-2</v>
      </c>
      <c r="P548" s="5">
        <f>O548-O1278</f>
        <v>1.4975298312131321E-2</v>
      </c>
      <c r="Q548" s="8">
        <f t="shared" si="62"/>
        <v>2.2425955953732317E-4</v>
      </c>
      <c r="S548" s="1">
        <v>44693</v>
      </c>
      <c r="T548">
        <v>3.1</v>
      </c>
      <c r="U548" s="29">
        <f t="shared" si="59"/>
        <v>2.9900332225913706E-2</v>
      </c>
      <c r="V548" s="5">
        <f>U548-V1274</f>
        <v>2.8164141450206667E-2</v>
      </c>
      <c r="X548" t="s">
        <v>615</v>
      </c>
      <c r="Y548">
        <v>3.68</v>
      </c>
      <c r="Z548" s="48">
        <f t="shared" si="60"/>
        <v>-1.0752688172043001E-2</v>
      </c>
      <c r="AA548" s="5">
        <f>Z548-Y1274</f>
        <v>-1.4970007641317135E-2</v>
      </c>
      <c r="AD548" s="1">
        <v>44693</v>
      </c>
      <c r="AE548">
        <v>53.23</v>
      </c>
      <c r="AF548" s="29">
        <f t="shared" si="61"/>
        <v>9.8653007019540162E-3</v>
      </c>
    </row>
    <row r="549" spans="1:32">
      <c r="A549" s="3" t="s">
        <v>621</v>
      </c>
      <c r="B549" s="222">
        <v>27.76</v>
      </c>
      <c r="C549" s="227">
        <f t="shared" si="56"/>
        <v>-4.7357584076870296E-2</v>
      </c>
      <c r="D549" s="5">
        <f>C549-C1275</f>
        <v>-4.7435629646429188E-2</v>
      </c>
      <c r="E549" s="1"/>
      <c r="F549" s="8"/>
      <c r="H549" t="s">
        <v>620</v>
      </c>
      <c r="I549">
        <v>11.22</v>
      </c>
      <c r="J549" s="227">
        <f t="shared" si="57"/>
        <v>1.7857142857145014E-3</v>
      </c>
      <c r="K549" s="5">
        <f>J549-J1276</f>
        <v>-3.5024162989545637E-4</v>
      </c>
      <c r="M549" s="241">
        <v>44604</v>
      </c>
      <c r="N549">
        <v>4071.7</v>
      </c>
      <c r="O549" s="227">
        <f t="shared" si="58"/>
        <v>1.8220283882325772E-2</v>
      </c>
      <c r="P549" s="5">
        <f>O549-O1278</f>
        <v>1.8586041083238945E-2</v>
      </c>
      <c r="Q549" s="8">
        <f t="shared" si="62"/>
        <v>3.454409231478459E-4</v>
      </c>
      <c r="S549" s="1">
        <v>44604</v>
      </c>
      <c r="T549">
        <v>3.16</v>
      </c>
      <c r="U549" s="29">
        <f t="shared" si="59"/>
        <v>1.9354838709677358E-2</v>
      </c>
      <c r="V549" s="5">
        <f>U549-V1274</f>
        <v>1.7618647933970319E-2</v>
      </c>
      <c r="X549" t="s">
        <v>616</v>
      </c>
      <c r="Y549">
        <v>3.64</v>
      </c>
      <c r="Z549" s="48">
        <f t="shared" si="60"/>
        <v>-1.0869565217391353E-2</v>
      </c>
      <c r="AA549" s="5">
        <f>Z549-Y1274</f>
        <v>-1.5086884686665487E-2</v>
      </c>
      <c r="AD549" s="1">
        <v>44604</v>
      </c>
      <c r="AE549">
        <v>55.19</v>
      </c>
      <c r="AF549" s="29">
        <f t="shared" si="61"/>
        <v>3.682134134886339E-2</v>
      </c>
    </row>
    <row r="550" spans="1:32">
      <c r="A550" s="3" t="s">
        <v>622</v>
      </c>
      <c r="B550" s="222">
        <v>27.76</v>
      </c>
      <c r="C550" s="227">
        <f t="shared" si="56"/>
        <v>0</v>
      </c>
      <c r="D550" s="5">
        <f>C550-C1275</f>
        <v>-7.8045569558889217E-5</v>
      </c>
      <c r="E550" s="1"/>
      <c r="F550" s="8"/>
      <c r="H550" t="s">
        <v>621</v>
      </c>
      <c r="I550">
        <v>10.76</v>
      </c>
      <c r="J550" s="227">
        <f t="shared" si="57"/>
        <v>-4.0998217468805831E-2</v>
      </c>
      <c r="K550" s="5">
        <f>J550-J1276</f>
        <v>-4.3134173384415789E-2</v>
      </c>
      <c r="M550" s="241">
        <v>44573</v>
      </c>
      <c r="N550">
        <v>4076.57</v>
      </c>
      <c r="O550" s="227">
        <f t="shared" si="58"/>
        <v>1.1960606135030805E-3</v>
      </c>
      <c r="P550" s="5">
        <f>O550-O1278</f>
        <v>1.561817814416252E-3</v>
      </c>
      <c r="Q550" s="8">
        <f t="shared" si="62"/>
        <v>2.4392748854279578E-6</v>
      </c>
      <c r="S550" s="1">
        <v>44573</v>
      </c>
      <c r="T550">
        <v>3.07</v>
      </c>
      <c r="U550" s="29">
        <f t="shared" si="59"/>
        <v>-2.8481012658227889E-2</v>
      </c>
      <c r="V550" s="5">
        <f>U550-V1274</f>
        <v>-3.0217203433934928E-2</v>
      </c>
      <c r="X550" t="s">
        <v>617</v>
      </c>
      <c r="Y550">
        <v>3.4</v>
      </c>
      <c r="Z550" s="48">
        <f t="shared" si="60"/>
        <v>-6.5934065934066033E-2</v>
      </c>
      <c r="AA550" s="5">
        <f>Z550-Y1274</f>
        <v>-7.0151385403340163E-2</v>
      </c>
      <c r="AD550" s="1">
        <v>44573</v>
      </c>
      <c r="AE550">
        <v>57.12</v>
      </c>
      <c r="AF550" s="29">
        <f t="shared" si="61"/>
        <v>3.4970103279579723E-2</v>
      </c>
    </row>
    <row r="551" spans="1:32">
      <c r="A551" s="3" t="s">
        <v>623</v>
      </c>
      <c r="B551" s="222">
        <v>28.5</v>
      </c>
      <c r="C551" s="227">
        <f t="shared" si="56"/>
        <v>2.6657060518731956E-2</v>
      </c>
      <c r="D551" s="5">
        <f>C551-C1275</f>
        <v>2.6579014949173068E-2</v>
      </c>
      <c r="E551" s="1"/>
      <c r="F551" s="8"/>
      <c r="H551" t="s">
        <v>622</v>
      </c>
      <c r="I551">
        <v>10.7</v>
      </c>
      <c r="J551" s="227">
        <f t="shared" si="57"/>
        <v>-5.5762081784387352E-3</v>
      </c>
      <c r="K551" s="5">
        <f>J551-J1276</f>
        <v>-7.712164094048693E-3</v>
      </c>
      <c r="M551" s="240" t="s">
        <v>620</v>
      </c>
      <c r="N551">
        <v>4080.11</v>
      </c>
      <c r="O551" s="227">
        <f t="shared" si="58"/>
        <v>8.6837709152542963E-4</v>
      </c>
      <c r="P551" s="5">
        <f>O551-O1278</f>
        <v>1.2341342924386011E-3</v>
      </c>
      <c r="Q551" s="8">
        <f t="shared" si="62"/>
        <v>1.5230874517729267E-6</v>
      </c>
      <c r="S551" t="s">
        <v>620</v>
      </c>
      <c r="T551">
        <v>3.02</v>
      </c>
      <c r="U551" s="29">
        <f t="shared" si="59"/>
        <v>-1.6286644951139961E-2</v>
      </c>
      <c r="V551" s="5">
        <f>U551-V1274</f>
        <v>-1.8022835726847E-2</v>
      </c>
      <c r="X551" t="s">
        <v>618</v>
      </c>
      <c r="Y551">
        <v>3.16</v>
      </c>
      <c r="Z551" s="48">
        <f t="shared" si="60"/>
        <v>-7.0588235294117618E-2</v>
      </c>
      <c r="AA551" s="5">
        <f>Z551-Y1274</f>
        <v>-7.4805554763391749E-2</v>
      </c>
      <c r="AD551" t="s">
        <v>620</v>
      </c>
      <c r="AE551">
        <v>58.25</v>
      </c>
      <c r="AF551" s="29">
        <f t="shared" si="61"/>
        <v>1.9782913165266258E-2</v>
      </c>
    </row>
    <row r="552" spans="1:32">
      <c r="A552" s="3" t="s">
        <v>624</v>
      </c>
      <c r="B552" s="222">
        <v>28.79</v>
      </c>
      <c r="C552" s="227">
        <f t="shared" si="56"/>
        <v>1.0175438596491171E-2</v>
      </c>
      <c r="D552" s="5">
        <f>C552-C1275</f>
        <v>1.0097393026932282E-2</v>
      </c>
      <c r="E552" s="1"/>
      <c r="F552" s="8"/>
      <c r="H552" t="s">
        <v>623</v>
      </c>
      <c r="I552">
        <v>11.14</v>
      </c>
      <c r="J552" s="227">
        <f t="shared" si="57"/>
        <v>4.1121495327102853E-2</v>
      </c>
      <c r="K552" s="5">
        <f>J552-J1276</f>
        <v>3.8985539411492895E-2</v>
      </c>
      <c r="M552" s="240" t="s">
        <v>621</v>
      </c>
      <c r="N552">
        <v>3957.63</v>
      </c>
      <c r="O552" s="227">
        <f t="shared" si="58"/>
        <v>-3.0018798512785216E-2</v>
      </c>
      <c r="P552" s="5">
        <f>O552-O1278</f>
        <v>-2.9653041311872044E-2</v>
      </c>
      <c r="Q552" s="8">
        <f t="shared" si="62"/>
        <v>8.7930285904359005E-4</v>
      </c>
      <c r="S552" t="s">
        <v>621</v>
      </c>
      <c r="T552">
        <v>2.83</v>
      </c>
      <c r="U552" s="29">
        <f t="shared" si="59"/>
        <v>-6.29139072847682E-2</v>
      </c>
      <c r="V552" s="5">
        <f>U552-V1274</f>
        <v>-6.4650098060475239E-2</v>
      </c>
      <c r="X552" t="s">
        <v>619</v>
      </c>
      <c r="Y552">
        <v>3.42</v>
      </c>
      <c r="Z552" s="48">
        <f t="shared" si="60"/>
        <v>8.2278481012658222E-2</v>
      </c>
      <c r="AA552" s="5">
        <f>Z552-Y1274</f>
        <v>7.8061161543384092E-2</v>
      </c>
      <c r="AD552" t="s">
        <v>621</v>
      </c>
      <c r="AE552">
        <v>53.34</v>
      </c>
      <c r="AF552" s="29">
        <f t="shared" si="61"/>
        <v>-8.4291845493562167E-2</v>
      </c>
    </row>
    <row r="553" spans="1:32">
      <c r="A553" s="3" t="s">
        <v>625</v>
      </c>
      <c r="B553" s="222">
        <v>28.08</v>
      </c>
      <c r="C553" s="227">
        <f t="shared" si="56"/>
        <v>-2.466134074331372E-2</v>
      </c>
      <c r="D553" s="5">
        <f>C553-C1275</f>
        <v>-2.4739386312872608E-2</v>
      </c>
      <c r="E553" s="1"/>
      <c r="F553" s="8"/>
      <c r="H553" t="s">
        <v>624</v>
      </c>
      <c r="I553">
        <v>11.31</v>
      </c>
      <c r="J553" s="227">
        <f t="shared" si="57"/>
        <v>1.5260323159784539E-2</v>
      </c>
      <c r="K553" s="5">
        <f>J553-J1276</f>
        <v>1.3124367244174581E-2</v>
      </c>
      <c r="M553" s="240" t="s">
        <v>622</v>
      </c>
      <c r="N553">
        <v>3963.94</v>
      </c>
      <c r="O553" s="227">
        <f t="shared" si="58"/>
        <v>1.5943885608304953E-3</v>
      </c>
      <c r="P553" s="5">
        <f>O553-O1278</f>
        <v>1.9601457617436668E-3</v>
      </c>
      <c r="Q553" s="8">
        <f t="shared" si="62"/>
        <v>3.84217140728166E-6</v>
      </c>
      <c r="S553" t="s">
        <v>622</v>
      </c>
      <c r="T553">
        <v>2.8</v>
      </c>
      <c r="U553" s="29">
        <f t="shared" si="59"/>
        <v>-1.0600706713780994E-2</v>
      </c>
      <c r="V553" s="5">
        <f>U553-V1274</f>
        <v>-1.2336897489488033E-2</v>
      </c>
      <c r="X553" s="1">
        <v>44907</v>
      </c>
      <c r="Y553">
        <v>3.32</v>
      </c>
      <c r="Z553" s="48">
        <f t="shared" si="60"/>
        <v>-2.9239766081871399E-2</v>
      </c>
      <c r="AA553" s="5">
        <f>Z553-Y1274</f>
        <v>-3.345708555114553E-2</v>
      </c>
      <c r="AD553" t="s">
        <v>622</v>
      </c>
      <c r="AE553">
        <v>54.65</v>
      </c>
      <c r="AF553" s="29">
        <f t="shared" si="61"/>
        <v>2.4559430071241062E-2</v>
      </c>
    </row>
    <row r="554" spans="1:32">
      <c r="A554" s="3" t="s">
        <v>626</v>
      </c>
      <c r="B554" s="222">
        <v>28.25</v>
      </c>
      <c r="C554" s="227">
        <f t="shared" si="56"/>
        <v>6.0541310541311066E-3</v>
      </c>
      <c r="D554" s="5">
        <f>C554-C1275</f>
        <v>5.9760854845722173E-3</v>
      </c>
      <c r="E554" s="1"/>
      <c r="F554" s="8"/>
      <c r="H554" t="s">
        <v>625</v>
      </c>
      <c r="I554">
        <v>11.05</v>
      </c>
      <c r="J554" s="227">
        <f t="shared" si="57"/>
        <v>-2.2988505747126409E-2</v>
      </c>
      <c r="K554" s="5">
        <f>J554-J1276</f>
        <v>-2.5124461662736366E-2</v>
      </c>
      <c r="M554" s="240" t="s">
        <v>623</v>
      </c>
      <c r="N554">
        <v>4026.12</v>
      </c>
      <c r="O554" s="227">
        <f t="shared" si="58"/>
        <v>1.568641301331497E-2</v>
      </c>
      <c r="P554" s="5">
        <f>O554-O1278</f>
        <v>1.6052170214228143E-2</v>
      </c>
      <c r="Q554" s="8">
        <f t="shared" si="62"/>
        <v>2.5767216858655321E-4</v>
      </c>
      <c r="S554" t="s">
        <v>623</v>
      </c>
      <c r="T554">
        <v>2.96</v>
      </c>
      <c r="U554" s="29">
        <f t="shared" si="59"/>
        <v>5.7142857142857162E-2</v>
      </c>
      <c r="V554" s="5">
        <f>U554-V1274</f>
        <v>5.5406666367150123E-2</v>
      </c>
      <c r="X554" s="1">
        <v>44816</v>
      </c>
      <c r="Y554">
        <v>3.78</v>
      </c>
      <c r="Z554" s="48">
        <f t="shared" si="60"/>
        <v>0.13855421686746983</v>
      </c>
      <c r="AA554" s="5">
        <f>Z554-Y1274</f>
        <v>0.13433689739819568</v>
      </c>
      <c r="AD554" t="s">
        <v>623</v>
      </c>
      <c r="AE554">
        <v>55.47</v>
      </c>
      <c r="AF554" s="29">
        <f t="shared" si="61"/>
        <v>1.5004574565416373E-2</v>
      </c>
    </row>
    <row r="555" spans="1:32">
      <c r="A555" s="3" t="s">
        <v>627</v>
      </c>
      <c r="B555" s="222">
        <v>28.96</v>
      </c>
      <c r="C555" s="227">
        <f t="shared" si="56"/>
        <v>2.5132743362831889E-2</v>
      </c>
      <c r="D555" s="5">
        <f>C555-C1275</f>
        <v>2.5054697793273E-2</v>
      </c>
      <c r="E555" s="1"/>
      <c r="F555" s="8"/>
      <c r="H555" t="s">
        <v>626</v>
      </c>
      <c r="I555">
        <v>11.05</v>
      </c>
      <c r="J555" s="227">
        <f t="shared" si="57"/>
        <v>0</v>
      </c>
      <c r="K555" s="5">
        <f>J555-J1276</f>
        <v>-2.1359559156099578E-3</v>
      </c>
      <c r="M555" s="240" t="s">
        <v>624</v>
      </c>
      <c r="N555">
        <v>4027.26</v>
      </c>
      <c r="O555" s="227">
        <f t="shared" si="58"/>
        <v>2.8315102381459845E-4</v>
      </c>
      <c r="P555" s="5">
        <f>O555-O1278</f>
        <v>6.4890822472776994E-4</v>
      </c>
      <c r="Q555" s="8">
        <f t="shared" si="62"/>
        <v>4.2108188411934595E-7</v>
      </c>
      <c r="S555" t="s">
        <v>624</v>
      </c>
      <c r="T555">
        <v>2.95</v>
      </c>
      <c r="U555" s="29">
        <f t="shared" si="59"/>
        <v>-3.3783783783782884E-3</v>
      </c>
      <c r="V555" s="5">
        <f>U555-V1274</f>
        <v>-5.1145691540853263E-3</v>
      </c>
      <c r="X555" s="1">
        <v>44785</v>
      </c>
      <c r="Y555">
        <v>4.1449999999999996</v>
      </c>
      <c r="Z555" s="48">
        <f t="shared" si="60"/>
        <v>9.6560846560846514E-2</v>
      </c>
      <c r="AA555" s="5">
        <f>Z555-Y1274</f>
        <v>9.2343527091572383E-2</v>
      </c>
      <c r="AD555" t="s">
        <v>624</v>
      </c>
      <c r="AE555">
        <v>56.58</v>
      </c>
      <c r="AF555" s="29">
        <f t="shared" si="61"/>
        <v>2.0010816657652697E-2</v>
      </c>
    </row>
    <row r="556" spans="1:32">
      <c r="A556" s="3" t="s">
        <v>628</v>
      </c>
      <c r="B556" s="222">
        <v>28.88</v>
      </c>
      <c r="C556" s="227">
        <f t="shared" si="56"/>
        <v>-2.7624309392265678E-3</v>
      </c>
      <c r="D556" s="5">
        <f>C556-C1275</f>
        <v>-2.8404765087854571E-3</v>
      </c>
      <c r="E556" s="1"/>
      <c r="F556" s="8"/>
      <c r="H556" t="s">
        <v>627</v>
      </c>
      <c r="I556">
        <v>11.21</v>
      </c>
      <c r="J556" s="227">
        <f t="shared" si="57"/>
        <v>1.4479638009049722E-2</v>
      </c>
      <c r="K556" s="5">
        <f>J556-J1276</f>
        <v>1.2343682093439765E-2</v>
      </c>
      <c r="M556" s="240" t="s">
        <v>625</v>
      </c>
      <c r="N556">
        <v>4003.58</v>
      </c>
      <c r="O556" s="227">
        <f t="shared" si="58"/>
        <v>-5.8799282887125326E-3</v>
      </c>
      <c r="P556" s="5">
        <f>O556-O1278</f>
        <v>-5.5141710877993607E-3</v>
      </c>
      <c r="Q556" s="8">
        <f t="shared" si="62"/>
        <v>3.0406082785522385E-5</v>
      </c>
      <c r="S556" t="s">
        <v>625</v>
      </c>
      <c r="T556">
        <v>2.91</v>
      </c>
      <c r="U556" s="29">
        <f t="shared" si="59"/>
        <v>-1.3559322033898313E-2</v>
      </c>
      <c r="V556" s="5">
        <f>U556-V1274</f>
        <v>-1.5295512809605352E-2</v>
      </c>
      <c r="X556" s="1">
        <v>44754</v>
      </c>
      <c r="Y556">
        <v>3.34</v>
      </c>
      <c r="Z556" s="48">
        <f t="shared" si="60"/>
        <v>-0.19420989143546441</v>
      </c>
      <c r="AA556" s="5">
        <f>Z556-Y1274</f>
        <v>-0.19842721090473855</v>
      </c>
      <c r="AD556" t="s">
        <v>625</v>
      </c>
      <c r="AE556">
        <v>53.95</v>
      </c>
      <c r="AF556" s="29">
        <f t="shared" si="61"/>
        <v>-4.6482856132909034E-2</v>
      </c>
    </row>
    <row r="557" spans="1:32">
      <c r="A557" s="3" t="s">
        <v>629</v>
      </c>
      <c r="B557" s="222">
        <v>30.04</v>
      </c>
      <c r="C557" s="227">
        <f t="shared" si="56"/>
        <v>4.0166204986149534E-2</v>
      </c>
      <c r="D557" s="5">
        <f>C557-C1275</f>
        <v>4.0088159416590642E-2</v>
      </c>
      <c r="E557" s="1"/>
      <c r="F557" s="8"/>
      <c r="H557" t="s">
        <v>628</v>
      </c>
      <c r="I557">
        <v>11.35</v>
      </c>
      <c r="J557" s="227">
        <f t="shared" si="57"/>
        <v>1.2488849241748312E-2</v>
      </c>
      <c r="K557" s="5">
        <f>J557-J1276</f>
        <v>1.0352893326138354E-2</v>
      </c>
      <c r="M557" s="240" t="s">
        <v>626</v>
      </c>
      <c r="N557">
        <v>3949.94</v>
      </c>
      <c r="O557" s="227">
        <f t="shared" si="58"/>
        <v>-1.3398008782139925E-2</v>
      </c>
      <c r="P557" s="5">
        <f>O557-O1278</f>
        <v>-1.3032251581226754E-2</v>
      </c>
      <c r="Q557" s="8">
        <f t="shared" si="62"/>
        <v>1.6983958127638724E-4</v>
      </c>
      <c r="S557" t="s">
        <v>626</v>
      </c>
      <c r="T557">
        <v>2.97</v>
      </c>
      <c r="U557" s="29">
        <f t="shared" si="59"/>
        <v>2.0618556701030855E-2</v>
      </c>
      <c r="V557" s="5">
        <f>U557-V1274</f>
        <v>1.8882365925323816E-2</v>
      </c>
      <c r="X557" s="1">
        <v>44724</v>
      </c>
      <c r="Y557">
        <v>3.1</v>
      </c>
      <c r="Z557" s="48">
        <f t="shared" si="60"/>
        <v>-7.1856287425149601E-2</v>
      </c>
      <c r="AA557" s="5">
        <f>Z557-Y1274</f>
        <v>-7.6073606894423731E-2</v>
      </c>
      <c r="AD557" t="s">
        <v>626</v>
      </c>
      <c r="AE557">
        <v>55.27</v>
      </c>
      <c r="AF557" s="29">
        <f t="shared" si="61"/>
        <v>2.4467099165894401E-2</v>
      </c>
    </row>
    <row r="558" spans="1:32">
      <c r="A558" s="3" t="s">
        <v>630</v>
      </c>
      <c r="B558" s="222">
        <v>31.57</v>
      </c>
      <c r="C558" s="227">
        <f t="shared" si="56"/>
        <v>5.0932090545938724E-2</v>
      </c>
      <c r="D558" s="5">
        <f>C558-C1275</f>
        <v>5.0854044976379832E-2</v>
      </c>
      <c r="F558" s="8"/>
      <c r="H558" t="s">
        <v>629</v>
      </c>
      <c r="I558">
        <v>11.97</v>
      </c>
      <c r="J558" s="227">
        <f t="shared" si="57"/>
        <v>5.462555066079311E-2</v>
      </c>
      <c r="K558" s="5">
        <f>J558-J1276</f>
        <v>5.2489594745183152E-2</v>
      </c>
      <c r="M558" s="240" t="s">
        <v>627</v>
      </c>
      <c r="N558">
        <v>3965.34</v>
      </c>
      <c r="O558" s="227">
        <f t="shared" si="58"/>
        <v>3.8987933993934742E-3</v>
      </c>
      <c r="P558" s="5">
        <f>O558-O1278</f>
        <v>4.2645506003066462E-3</v>
      </c>
      <c r="Q558" s="8">
        <f t="shared" si="62"/>
        <v>1.8186391822575777E-5</v>
      </c>
      <c r="S558" t="s">
        <v>627</v>
      </c>
      <c r="T558">
        <v>3.21</v>
      </c>
      <c r="U558" s="29">
        <f t="shared" si="59"/>
        <v>8.0808080808080662E-2</v>
      </c>
      <c r="V558" s="5">
        <f>U558-V1274</f>
        <v>7.9071890032373623E-2</v>
      </c>
      <c r="X558" s="1">
        <v>44693</v>
      </c>
      <c r="Y558">
        <v>2.99</v>
      </c>
      <c r="Z558" s="48">
        <f t="shared" si="60"/>
        <v>-3.548387096774186E-2</v>
      </c>
      <c r="AA558" s="5">
        <f>Z558-Y1274</f>
        <v>-3.970119043701599E-2</v>
      </c>
      <c r="AD558" t="s">
        <v>627</v>
      </c>
      <c r="AE558">
        <v>58.29</v>
      </c>
      <c r="AF558" s="29">
        <f t="shared" si="61"/>
        <v>5.4640853989506022E-2</v>
      </c>
    </row>
    <row r="559" spans="1:32">
      <c r="A559" s="3" t="s">
        <v>631</v>
      </c>
      <c r="B559" s="222">
        <v>29.07</v>
      </c>
      <c r="C559" s="227">
        <f t="shared" si="56"/>
        <v>-7.9189103579347497E-2</v>
      </c>
      <c r="D559" s="5">
        <f>C559-C1275</f>
        <v>-7.9267149148906382E-2</v>
      </c>
      <c r="F559" s="8"/>
      <c r="H559" t="s">
        <v>630</v>
      </c>
      <c r="I559">
        <v>13.07</v>
      </c>
      <c r="J559" s="227">
        <f t="shared" si="57"/>
        <v>9.1896407685881254E-2</v>
      </c>
      <c r="K559" s="5">
        <f>J559-J1276</f>
        <v>8.9760451770271296E-2</v>
      </c>
      <c r="M559" s="240" t="s">
        <v>628</v>
      </c>
      <c r="N559">
        <v>3946.56</v>
      </c>
      <c r="O559" s="227">
        <f t="shared" si="58"/>
        <v>-4.7360377672532872E-3</v>
      </c>
      <c r="P559" s="5">
        <f>O559-O1278</f>
        <v>-4.3702805663401153E-3</v>
      </c>
      <c r="Q559" s="8">
        <f t="shared" si="62"/>
        <v>1.909935222853008E-5</v>
      </c>
      <c r="S559" t="s">
        <v>628</v>
      </c>
      <c r="T559">
        <v>3.22</v>
      </c>
      <c r="U559" s="29">
        <f t="shared" si="59"/>
        <v>3.1152647975078995E-3</v>
      </c>
      <c r="V559" s="5">
        <f>U559-V1274</f>
        <v>1.3790740218008616E-3</v>
      </c>
      <c r="X559" s="1">
        <v>44604</v>
      </c>
      <c r="Y559">
        <v>2.85</v>
      </c>
      <c r="Z559" s="48">
        <f t="shared" si="60"/>
        <v>-4.6822742474916468E-2</v>
      </c>
      <c r="AA559" s="5">
        <f>Z559-Y1274</f>
        <v>-5.1040061944190598E-2</v>
      </c>
      <c r="AD559" t="s">
        <v>628</v>
      </c>
      <c r="AE559">
        <v>58.7</v>
      </c>
      <c r="AF559" s="29">
        <f t="shared" si="61"/>
        <v>7.0337965345685927E-3</v>
      </c>
    </row>
    <row r="560" spans="1:32">
      <c r="A560" s="220">
        <v>44876</v>
      </c>
      <c r="B560" s="222">
        <v>29.15</v>
      </c>
      <c r="C560" s="227">
        <f t="shared" si="56"/>
        <v>2.751977984176035E-3</v>
      </c>
      <c r="D560" s="5">
        <f>C560-C1275</f>
        <v>2.6739324146171457E-3</v>
      </c>
      <c r="F560" s="8"/>
      <c r="H560" t="s">
        <v>631</v>
      </c>
      <c r="I560">
        <v>12.95</v>
      </c>
      <c r="J560" s="227">
        <f t="shared" si="57"/>
        <v>-9.1813312930375535E-3</v>
      </c>
      <c r="K560" s="5">
        <f>J560-J1276</f>
        <v>-1.1317287208647511E-2</v>
      </c>
      <c r="M560" s="240" t="s">
        <v>629</v>
      </c>
      <c r="N560">
        <v>3958.79</v>
      </c>
      <c r="O560" s="227">
        <f t="shared" si="58"/>
        <v>3.0989013216573547E-3</v>
      </c>
      <c r="P560" s="5">
        <f>O560-O1278</f>
        <v>3.4646585225705261E-3</v>
      </c>
      <c r="Q560" s="8">
        <f t="shared" si="62"/>
        <v>1.2003858678020581E-5</v>
      </c>
      <c r="S560" t="s">
        <v>629</v>
      </c>
      <c r="T560">
        <v>3.15</v>
      </c>
      <c r="U560" s="29">
        <f t="shared" si="59"/>
        <v>-2.1739130434782705E-2</v>
      </c>
      <c r="V560" s="5">
        <f>U560-V1274</f>
        <v>-2.3475321210489744E-2</v>
      </c>
      <c r="X560" s="1">
        <v>44573</v>
      </c>
      <c r="Y560">
        <v>2.5299999999999998</v>
      </c>
      <c r="Z560" s="48">
        <f t="shared" si="60"/>
        <v>-0.11228070175438609</v>
      </c>
      <c r="AA560" s="5">
        <f>Z560-Y1274</f>
        <v>-0.11649802122366022</v>
      </c>
      <c r="AD560" t="s">
        <v>629</v>
      </c>
      <c r="AE560">
        <v>60.78</v>
      </c>
      <c r="AF560" s="29">
        <f t="shared" si="61"/>
        <v>3.5434412265758164E-2</v>
      </c>
    </row>
    <row r="561" spans="1:32">
      <c r="A561" s="220">
        <v>44845</v>
      </c>
      <c r="B561" s="222">
        <v>28.85</v>
      </c>
      <c r="C561" s="227">
        <f t="shared" si="56"/>
        <v>-1.0291595197255532E-2</v>
      </c>
      <c r="D561" s="5">
        <f>C561-C1275</f>
        <v>-1.036964076681442E-2</v>
      </c>
      <c r="F561" s="8"/>
      <c r="H561" s="1">
        <v>44876</v>
      </c>
      <c r="I561">
        <v>12.7</v>
      </c>
      <c r="J561" s="227">
        <f t="shared" si="57"/>
        <v>-1.9305019305019266E-2</v>
      </c>
      <c r="K561" s="5">
        <f>J561-J1276</f>
        <v>-2.1440975220629224E-2</v>
      </c>
      <c r="M561" s="240" t="s">
        <v>630</v>
      </c>
      <c r="N561">
        <v>3991.73</v>
      </c>
      <c r="O561" s="227">
        <f t="shared" si="58"/>
        <v>8.3207242617062693E-3</v>
      </c>
      <c r="P561" s="5">
        <f>O561-O1278</f>
        <v>8.6864814626194404E-3</v>
      </c>
      <c r="Q561" s="8">
        <f t="shared" si="62"/>
        <v>7.5454960200431169E-5</v>
      </c>
      <c r="S561" t="s">
        <v>630</v>
      </c>
      <c r="T561">
        <v>3.13</v>
      </c>
      <c r="U561" s="29">
        <f t="shared" si="59"/>
        <v>-6.3492063492063266E-3</v>
      </c>
      <c r="V561" s="5">
        <f>U561-V1274</f>
        <v>-8.0853971249133655E-3</v>
      </c>
      <c r="X561" t="s">
        <v>620</v>
      </c>
      <c r="Y561">
        <v>2.6749999999999998</v>
      </c>
      <c r="Z561" s="48">
        <f t="shared" si="60"/>
        <v>5.7312252964426991E-2</v>
      </c>
      <c r="AA561" s="5">
        <f>Z561-Y1274</f>
        <v>5.309493349515286E-2</v>
      </c>
      <c r="AD561" t="s">
        <v>630</v>
      </c>
      <c r="AE561">
        <v>63.38</v>
      </c>
      <c r="AF561" s="29">
        <f t="shared" si="61"/>
        <v>4.2777229351760537E-2</v>
      </c>
    </row>
    <row r="562" spans="1:32">
      <c r="A562" s="220">
        <v>44815</v>
      </c>
      <c r="B562" s="222">
        <v>26.55</v>
      </c>
      <c r="C562" s="227">
        <f t="shared" si="56"/>
        <v>-7.9722703639514725E-2</v>
      </c>
      <c r="D562" s="5">
        <f>C562-C1275</f>
        <v>-7.980074920907361E-2</v>
      </c>
      <c r="F562" s="8"/>
      <c r="H562" s="1">
        <v>44845</v>
      </c>
      <c r="I562">
        <v>11.28</v>
      </c>
      <c r="J562" s="227">
        <f t="shared" si="57"/>
        <v>-0.1118110236220472</v>
      </c>
      <c r="K562" s="5">
        <f>J562-J1276</f>
        <v>-0.11394697953765716</v>
      </c>
      <c r="M562" s="240" t="s">
        <v>631</v>
      </c>
      <c r="N562">
        <v>3957.25</v>
      </c>
      <c r="O562" s="227">
        <f t="shared" si="58"/>
        <v>-8.6378587730132628E-3</v>
      </c>
      <c r="P562" s="5">
        <f>O562-O1278</f>
        <v>-8.2721015721000917E-3</v>
      </c>
      <c r="Q562" s="8">
        <f t="shared" si="62"/>
        <v>6.8427664419140814E-5</v>
      </c>
      <c r="S562" t="s">
        <v>631</v>
      </c>
      <c r="T562">
        <v>2.96</v>
      </c>
      <c r="U562" s="29">
        <f t="shared" si="59"/>
        <v>-5.4313099041533475E-2</v>
      </c>
      <c r="V562" s="5">
        <f>U562-V1274</f>
        <v>-5.6049289817240514E-2</v>
      </c>
      <c r="X562" t="s">
        <v>621</v>
      </c>
      <c r="Y562">
        <v>2.5487000000000002</v>
      </c>
      <c r="Z562" s="48">
        <f t="shared" si="60"/>
        <v>-4.7214953271027871E-2</v>
      </c>
      <c r="AA562" s="5">
        <f>Z562-Y1274</f>
        <v>-5.1432272740302001E-2</v>
      </c>
      <c r="AD562" t="s">
        <v>631</v>
      </c>
      <c r="AE562">
        <v>62.02</v>
      </c>
      <c r="AF562" s="29">
        <f t="shared" si="61"/>
        <v>-2.1457873146102813E-2</v>
      </c>
    </row>
    <row r="563" spans="1:32">
      <c r="A563" s="220">
        <v>44784</v>
      </c>
      <c r="B563" s="222">
        <v>27.44</v>
      </c>
      <c r="C563" s="227">
        <f t="shared" si="56"/>
        <v>3.3521657250470849E-2</v>
      </c>
      <c r="D563" s="5">
        <f>C563-C1275</f>
        <v>3.3443611680911957E-2</v>
      </c>
      <c r="F563" s="8"/>
      <c r="H563" s="1">
        <v>44815</v>
      </c>
      <c r="I563">
        <v>10.64</v>
      </c>
      <c r="J563" s="227">
        <f t="shared" si="57"/>
        <v>-5.6737588652482129E-2</v>
      </c>
      <c r="K563" s="5">
        <f>J563-J1276</f>
        <v>-5.8873544568092087E-2</v>
      </c>
      <c r="M563" s="241">
        <v>44876</v>
      </c>
      <c r="N563">
        <v>3992.93</v>
      </c>
      <c r="O563" s="227">
        <f t="shared" si="58"/>
        <v>9.0163623728598541E-3</v>
      </c>
      <c r="P563" s="5">
        <f>O563-O1278</f>
        <v>9.3821195737730251E-3</v>
      </c>
      <c r="Q563" s="8">
        <f t="shared" si="62"/>
        <v>8.8024167696574925E-5</v>
      </c>
      <c r="S563" s="1">
        <v>44876</v>
      </c>
      <c r="T563">
        <v>2.94</v>
      </c>
      <c r="U563" s="29">
        <f t="shared" si="59"/>
        <v>-6.7567567567567988E-3</v>
      </c>
      <c r="V563" s="5">
        <f>U563-V1274</f>
        <v>-8.4929475324638376E-3</v>
      </c>
      <c r="X563" t="s">
        <v>622</v>
      </c>
      <c r="Y563">
        <v>2.3199999999999998</v>
      </c>
      <c r="Z563" s="48">
        <f t="shared" si="60"/>
        <v>-8.9732020245615551E-2</v>
      </c>
      <c r="AA563" s="5">
        <f>Z563-Y1274</f>
        <v>-9.3949339714889682E-2</v>
      </c>
      <c r="AD563" s="1">
        <v>44876</v>
      </c>
      <c r="AE563">
        <v>62.99</v>
      </c>
      <c r="AF563" s="29">
        <f t="shared" si="61"/>
        <v>1.5640116091583334E-2</v>
      </c>
    </row>
    <row r="564" spans="1:32">
      <c r="A564" s="220">
        <v>44753</v>
      </c>
      <c r="B564" s="222">
        <v>27.69</v>
      </c>
      <c r="C564" s="227">
        <f t="shared" si="56"/>
        <v>9.1107871720117473E-3</v>
      </c>
      <c r="D564" s="5">
        <f>C564-C1275</f>
        <v>9.0327416024528588E-3</v>
      </c>
      <c r="F564" s="8"/>
      <c r="H564" s="1">
        <v>44784</v>
      </c>
      <c r="I564">
        <v>10.9</v>
      </c>
      <c r="J564" s="227">
        <f t="shared" si="57"/>
        <v>2.4436090225563811E-2</v>
      </c>
      <c r="K564" s="5">
        <f>J564-J1276</f>
        <v>2.2300134309953853E-2</v>
      </c>
      <c r="M564" s="241">
        <v>44845</v>
      </c>
      <c r="N564">
        <v>3956.37</v>
      </c>
      <c r="O564" s="227">
        <f t="shared" si="58"/>
        <v>-9.1561835544324843E-3</v>
      </c>
      <c r="P564" s="5">
        <f>O564-O1278</f>
        <v>-8.7904263535193133E-3</v>
      </c>
      <c r="Q564" s="8">
        <f t="shared" si="62"/>
        <v>7.7271595476646846E-5</v>
      </c>
      <c r="S564" s="1">
        <v>44845</v>
      </c>
      <c r="T564">
        <v>2.67</v>
      </c>
      <c r="U564" s="29">
        <f t="shared" si="59"/>
        <v>-9.1836734693877542E-2</v>
      </c>
      <c r="V564" s="5">
        <f>U564-V1274</f>
        <v>-9.3572925469584581E-2</v>
      </c>
      <c r="X564" t="s">
        <v>623</v>
      </c>
      <c r="Y564">
        <v>2.37</v>
      </c>
      <c r="Z564" s="48">
        <f t="shared" si="60"/>
        <v>2.155172413793105E-2</v>
      </c>
      <c r="AA564" s="5">
        <f>Z564-Y1274</f>
        <v>1.7334404668656916E-2</v>
      </c>
      <c r="AD564" s="1">
        <v>44845</v>
      </c>
      <c r="AE564">
        <v>59.46</v>
      </c>
      <c r="AF564" s="29">
        <f t="shared" si="61"/>
        <v>-5.6040641371646327E-2</v>
      </c>
    </row>
    <row r="565" spans="1:32">
      <c r="A565" s="220">
        <v>44662</v>
      </c>
      <c r="B565" s="222">
        <v>28.39</v>
      </c>
      <c r="C565" s="227">
        <f t="shared" si="56"/>
        <v>2.5279884434813882E-2</v>
      </c>
      <c r="D565" s="5">
        <f>C565-C1275</f>
        <v>2.5201838865254993E-2</v>
      </c>
      <c r="F565" s="8"/>
      <c r="H565" s="1">
        <v>44753</v>
      </c>
      <c r="I565">
        <v>14.14</v>
      </c>
      <c r="J565" s="227">
        <f t="shared" si="57"/>
        <v>0.29724770642201825</v>
      </c>
      <c r="K565" s="5">
        <f>J565-J1276</f>
        <v>0.29511175050640831</v>
      </c>
      <c r="M565" s="241">
        <v>44815</v>
      </c>
      <c r="N565">
        <v>3748.57</v>
      </c>
      <c r="O565" s="227">
        <f t="shared" si="58"/>
        <v>-5.2522893460419495E-2</v>
      </c>
      <c r="P565" s="5">
        <f>O565-O1278</f>
        <v>-5.2157136259506326E-2</v>
      </c>
      <c r="Q565" s="8">
        <f t="shared" si="62"/>
        <v>2.7203668627927093E-3</v>
      </c>
      <c r="S565" s="1">
        <v>44815</v>
      </c>
      <c r="T565">
        <v>2.59</v>
      </c>
      <c r="U565" s="29">
        <f t="shared" si="59"/>
        <v>-2.9962546816479474E-2</v>
      </c>
      <c r="V565" s="5">
        <f>U565-V1274</f>
        <v>-3.1698737592186513E-2</v>
      </c>
      <c r="X565" t="s">
        <v>624</v>
      </c>
      <c r="Y565">
        <v>2.4</v>
      </c>
      <c r="Z565" s="48">
        <f t="shared" si="60"/>
        <v>1.2658227848101111E-2</v>
      </c>
      <c r="AA565" s="5">
        <f>Z565-Y1274</f>
        <v>8.4409083788269772E-3</v>
      </c>
      <c r="AD565" s="1">
        <v>44815</v>
      </c>
      <c r="AE565">
        <v>53.25</v>
      </c>
      <c r="AF565" s="29">
        <f t="shared" si="61"/>
        <v>-0.10443995963673058</v>
      </c>
    </row>
    <row r="566" spans="1:32">
      <c r="A566" s="220">
        <v>44631</v>
      </c>
      <c r="B566" s="222">
        <v>28.73</v>
      </c>
      <c r="C566" s="227">
        <f t="shared" si="56"/>
        <v>1.1976047904191711E-2</v>
      </c>
      <c r="D566" s="5">
        <f>C566-C1275</f>
        <v>1.1898002334632823E-2</v>
      </c>
      <c r="F566" s="8"/>
      <c r="H566" s="1">
        <v>44662</v>
      </c>
      <c r="I566">
        <v>13.74</v>
      </c>
      <c r="J566" s="227">
        <f t="shared" si="57"/>
        <v>-2.8288543140028266E-2</v>
      </c>
      <c r="K566" s="5">
        <f>J566-J1276</f>
        <v>-3.0424499055638224E-2</v>
      </c>
      <c r="M566" s="241">
        <v>44784</v>
      </c>
      <c r="N566">
        <v>3828.11</v>
      </c>
      <c r="O566" s="227">
        <f t="shared" si="58"/>
        <v>2.1218758086416933E-2</v>
      </c>
      <c r="P566" s="5">
        <f>O566-O1278</f>
        <v>2.1584515287330106E-2</v>
      </c>
      <c r="Q566" s="8">
        <f t="shared" si="62"/>
        <v>4.6589130018898707E-4</v>
      </c>
      <c r="S566" s="1">
        <v>44784</v>
      </c>
      <c r="T566">
        <v>2.79</v>
      </c>
      <c r="U566" s="29">
        <f t="shared" si="59"/>
        <v>7.7220077220077288E-2</v>
      </c>
      <c r="V566" s="5">
        <f>U566-V1274</f>
        <v>7.5483886444370249E-2</v>
      </c>
      <c r="X566" t="s">
        <v>625</v>
      </c>
      <c r="Y566">
        <v>2.37</v>
      </c>
      <c r="Z566" s="48">
        <f t="shared" si="60"/>
        <v>-1.2499999999999956E-2</v>
      </c>
      <c r="AA566" s="5">
        <f>Z566-Y1274</f>
        <v>-1.671731946927409E-2</v>
      </c>
      <c r="AD566" s="1">
        <v>44784</v>
      </c>
      <c r="AE566">
        <v>54.53</v>
      </c>
      <c r="AF566" s="29">
        <f t="shared" si="61"/>
        <v>2.4037558685445992E-2</v>
      </c>
    </row>
    <row r="567" spans="1:32">
      <c r="A567" s="220">
        <v>44603</v>
      </c>
      <c r="B567" s="222">
        <v>28.81</v>
      </c>
      <c r="C567" s="227">
        <f t="shared" si="56"/>
        <v>2.7845457709709809E-3</v>
      </c>
      <c r="D567" s="5">
        <f>C567-C1275</f>
        <v>2.7065002014120916E-3</v>
      </c>
      <c r="F567" s="8"/>
      <c r="H567" s="1">
        <v>44631</v>
      </c>
      <c r="I567">
        <v>13.72</v>
      </c>
      <c r="J567" s="227">
        <f t="shared" si="57"/>
        <v>-1.4556040756913413E-3</v>
      </c>
      <c r="K567" s="5">
        <f>J567-J1276</f>
        <v>-3.5915599913012991E-3</v>
      </c>
      <c r="M567" s="241">
        <v>44753</v>
      </c>
      <c r="N567">
        <v>3806.8</v>
      </c>
      <c r="O567" s="227">
        <f t="shared" si="58"/>
        <v>-5.566715689988011E-3</v>
      </c>
      <c r="P567" s="5">
        <f>O567-O1278</f>
        <v>-5.2009584890748391E-3</v>
      </c>
      <c r="Q567" s="8">
        <f t="shared" si="62"/>
        <v>2.7049969205079635E-5</v>
      </c>
      <c r="S567" s="1">
        <v>44753</v>
      </c>
      <c r="T567">
        <v>2.94</v>
      </c>
      <c r="U567" s="29">
        <f t="shared" si="59"/>
        <v>5.3763440860215006E-2</v>
      </c>
      <c r="V567" s="5">
        <f>U567-V1274</f>
        <v>5.2027250084507967E-2</v>
      </c>
      <c r="X567" t="s">
        <v>626</v>
      </c>
      <c r="Y567">
        <v>2.4</v>
      </c>
      <c r="Z567" s="48">
        <f t="shared" si="60"/>
        <v>1.2658227848101111E-2</v>
      </c>
      <c r="AA567" s="5">
        <f>Z567-Y1274</f>
        <v>8.4409083788269772E-3</v>
      </c>
      <c r="AD567" s="1">
        <v>44753</v>
      </c>
      <c r="AE567">
        <v>52.1</v>
      </c>
      <c r="AF567" s="29">
        <f t="shared" si="61"/>
        <v>-4.456262607738859E-2</v>
      </c>
    </row>
    <row r="568" spans="1:32">
      <c r="A568" s="220">
        <v>44572</v>
      </c>
      <c r="B568" s="222">
        <v>29.75</v>
      </c>
      <c r="C568" s="227">
        <f t="shared" si="56"/>
        <v>3.2627559875043399E-2</v>
      </c>
      <c r="D568" s="5">
        <f>C568-C1275</f>
        <v>3.2549514305484507E-2</v>
      </c>
      <c r="F568" s="8"/>
      <c r="H568" s="1">
        <v>44603</v>
      </c>
      <c r="I568">
        <v>14</v>
      </c>
      <c r="J568" s="227">
        <f t="shared" si="57"/>
        <v>2.0408163265306145E-2</v>
      </c>
      <c r="K568" s="5">
        <f>J568-J1276</f>
        <v>1.8272207349696187E-2</v>
      </c>
      <c r="M568" s="241">
        <v>44662</v>
      </c>
      <c r="N568">
        <v>3770.55</v>
      </c>
      <c r="O568" s="227">
        <f t="shared" si="58"/>
        <v>-9.5224335399810567E-3</v>
      </c>
      <c r="P568" s="5">
        <f>O568-O1278</f>
        <v>-9.1566763390678856E-3</v>
      </c>
      <c r="Q568" s="8">
        <f t="shared" si="62"/>
        <v>8.3844721578445655E-5</v>
      </c>
      <c r="S568" s="1">
        <v>44662</v>
      </c>
      <c r="T568">
        <v>2.83</v>
      </c>
      <c r="U568" s="29">
        <f t="shared" si="59"/>
        <v>-3.7414965986394488E-2</v>
      </c>
      <c r="V568" s="5">
        <f>U568-V1274</f>
        <v>-3.9151156762101527E-2</v>
      </c>
      <c r="X568" t="s">
        <v>627</v>
      </c>
      <c r="Y568">
        <v>2.48</v>
      </c>
      <c r="Z568" s="48">
        <f t="shared" si="60"/>
        <v>3.3333333333333437E-2</v>
      </c>
      <c r="AA568" s="5">
        <f>Z568-Y1274</f>
        <v>2.9116013864059303E-2</v>
      </c>
      <c r="AD568" s="1">
        <v>44662</v>
      </c>
      <c r="AE568">
        <v>51.57</v>
      </c>
      <c r="AF568" s="29">
        <f t="shared" si="61"/>
        <v>-1.0172744721689053E-2</v>
      </c>
    </row>
    <row r="569" spans="1:32">
      <c r="A569" s="3" t="s">
        <v>632</v>
      </c>
      <c r="B569" s="222">
        <v>26.57</v>
      </c>
      <c r="C569" s="227">
        <f t="shared" si="56"/>
        <v>-0.10689075630252098</v>
      </c>
      <c r="D569" s="5">
        <f>C569-C1275</f>
        <v>-0.10696880187207987</v>
      </c>
      <c r="F569" s="8"/>
      <c r="H569" s="1">
        <v>44572</v>
      </c>
      <c r="I569">
        <v>15.15</v>
      </c>
      <c r="J569" s="227">
        <f t="shared" si="57"/>
        <v>8.2142857142857073E-2</v>
      </c>
      <c r="K569" s="5">
        <f>J569-J1276</f>
        <v>8.0006901227247115E-2</v>
      </c>
      <c r="M569" s="241">
        <v>44631</v>
      </c>
      <c r="N569">
        <v>3719.89</v>
      </c>
      <c r="O569" s="227">
        <f t="shared" si="58"/>
        <v>-1.3435705666282161E-2</v>
      </c>
      <c r="P569" s="5">
        <f>O569-O1278</f>
        <v>-1.306994846536899E-2</v>
      </c>
      <c r="Q569" s="8">
        <f t="shared" si="62"/>
        <v>1.7082355288740121E-4</v>
      </c>
      <c r="S569" s="1">
        <v>44631</v>
      </c>
      <c r="T569">
        <v>2.79</v>
      </c>
      <c r="U569" s="29">
        <f t="shared" si="59"/>
        <v>-1.4134275618374548E-2</v>
      </c>
      <c r="V569" s="5">
        <f>U569-V1274</f>
        <v>-1.5870466394081587E-2</v>
      </c>
      <c r="X569" t="s">
        <v>628</v>
      </c>
      <c r="Y569">
        <v>2.44</v>
      </c>
      <c r="Z569" s="48">
        <f t="shared" si="60"/>
        <v>-1.6129032258064502E-2</v>
      </c>
      <c r="AA569" s="5">
        <f>Z569-Y1274</f>
        <v>-2.0346351727338636E-2</v>
      </c>
      <c r="AD569" s="1">
        <v>44631</v>
      </c>
      <c r="AE569">
        <v>47.61</v>
      </c>
      <c r="AF569" s="29">
        <f t="shared" si="61"/>
        <v>-7.678883071553233E-2</v>
      </c>
    </row>
    <row r="570" spans="1:32">
      <c r="A570" s="3" t="s">
        <v>633</v>
      </c>
      <c r="B570" s="222">
        <v>27.5</v>
      </c>
      <c r="C570" s="227">
        <f t="shared" si="56"/>
        <v>3.5001881821603353E-2</v>
      </c>
      <c r="D570" s="5">
        <f>C570-C1275</f>
        <v>3.4923836252044461E-2</v>
      </c>
      <c r="F570" s="8"/>
      <c r="H570" t="s">
        <v>632</v>
      </c>
      <c r="I570">
        <v>14.64</v>
      </c>
      <c r="J570" s="227">
        <f t="shared" si="57"/>
        <v>-3.3663366336633693E-2</v>
      </c>
      <c r="K570" s="5">
        <f>J570-J1276</f>
        <v>-3.5799322252243651E-2</v>
      </c>
      <c r="M570" s="241">
        <v>44603</v>
      </c>
      <c r="N570">
        <v>3759.69</v>
      </c>
      <c r="O570" s="227">
        <f t="shared" si="58"/>
        <v>1.0699241106591817E-2</v>
      </c>
      <c r="P570" s="5">
        <f>O570-O1278</f>
        <v>1.1064998307504988E-2</v>
      </c>
      <c r="Q570" s="8">
        <f t="shared" si="62"/>
        <v>1.2243418754508825E-4</v>
      </c>
      <c r="S570" s="1">
        <v>44603</v>
      </c>
      <c r="T570">
        <v>2.71</v>
      </c>
      <c r="U570" s="29">
        <f t="shared" si="59"/>
        <v>-2.8673835125448077E-2</v>
      </c>
      <c r="V570" s="5">
        <f>U570-V1274</f>
        <v>-3.0410025901155116E-2</v>
      </c>
      <c r="X570" t="s">
        <v>629</v>
      </c>
      <c r="Y570">
        <v>2.39</v>
      </c>
      <c r="Z570" s="48">
        <f t="shared" si="60"/>
        <v>-2.0491803278688492E-2</v>
      </c>
      <c r="AA570" s="5">
        <f>Z570-Y1274</f>
        <v>-2.4709122747962626E-2</v>
      </c>
      <c r="AD570" s="1">
        <v>44603</v>
      </c>
      <c r="AE570">
        <v>45.12</v>
      </c>
      <c r="AF570" s="29">
        <f t="shared" si="61"/>
        <v>-5.2299936988027818E-2</v>
      </c>
    </row>
    <row r="571" spans="1:32">
      <c r="A571" s="3" t="s">
        <v>634</v>
      </c>
      <c r="B571" s="222">
        <v>27.82</v>
      </c>
      <c r="C571" s="227">
        <f t="shared" si="56"/>
        <v>1.1636363636363667E-2</v>
      </c>
      <c r="D571" s="5">
        <f>C571-C1275</f>
        <v>1.1558318066804778E-2</v>
      </c>
      <c r="E571" s="1"/>
      <c r="F571" s="8"/>
      <c r="H571" t="s">
        <v>633</v>
      </c>
      <c r="I571">
        <v>14.52</v>
      </c>
      <c r="J571" s="227">
        <f t="shared" si="57"/>
        <v>-8.19672131147553E-3</v>
      </c>
      <c r="K571" s="5">
        <f>J571-J1276</f>
        <v>-1.0332677227085488E-2</v>
      </c>
      <c r="M571" s="241">
        <v>44572</v>
      </c>
      <c r="N571">
        <v>3856.1</v>
      </c>
      <c r="O571" s="227">
        <f t="shared" si="58"/>
        <v>2.5643071636225256E-2</v>
      </c>
      <c r="P571" s="5">
        <f>O571-O1278</f>
        <v>2.6008828837138429E-2</v>
      </c>
      <c r="Q571" s="8">
        <f t="shared" si="62"/>
        <v>6.7645917747956351E-4</v>
      </c>
      <c r="S571" s="1">
        <v>44572</v>
      </c>
      <c r="T571">
        <v>2.64</v>
      </c>
      <c r="U571" s="29">
        <f t="shared" si="59"/>
        <v>-2.5830258302583009E-2</v>
      </c>
      <c r="V571" s="5">
        <f>U571-V1274</f>
        <v>-2.7566449078290048E-2</v>
      </c>
      <c r="X571" t="s">
        <v>630</v>
      </c>
      <c r="Y571">
        <v>2.5499999999999998</v>
      </c>
      <c r="Z571" s="48">
        <f t="shared" si="60"/>
        <v>6.6945606694560622E-2</v>
      </c>
      <c r="AA571" s="5">
        <f>Z571-Y1274</f>
        <v>6.2728287225286491E-2</v>
      </c>
      <c r="AD571" s="1">
        <v>44572</v>
      </c>
      <c r="AE571">
        <v>45.1</v>
      </c>
      <c r="AF571" s="29">
        <f t="shared" si="61"/>
        <v>-4.4326241134740041E-4</v>
      </c>
    </row>
    <row r="572" spans="1:32">
      <c r="A572" s="3" t="s">
        <v>635</v>
      </c>
      <c r="B572" s="222">
        <v>28.2</v>
      </c>
      <c r="C572" s="227">
        <f t="shared" si="56"/>
        <v>1.3659237958303372E-2</v>
      </c>
      <c r="D572" s="5">
        <f>C572-C1275</f>
        <v>1.3581192388744483E-2</v>
      </c>
      <c r="E572" s="1"/>
      <c r="F572" s="8"/>
      <c r="H572" t="s">
        <v>634</v>
      </c>
      <c r="I572">
        <v>14.63</v>
      </c>
      <c r="J572" s="227">
        <f t="shared" si="57"/>
        <v>7.575757575757569E-3</v>
      </c>
      <c r="K572" s="5">
        <f>J572-J1276</f>
        <v>5.4398016601476112E-3</v>
      </c>
      <c r="M572" s="240" t="s">
        <v>632</v>
      </c>
      <c r="N572">
        <v>3871.98</v>
      </c>
      <c r="O572" s="227">
        <f t="shared" si="58"/>
        <v>4.1181504629028698E-3</v>
      </c>
      <c r="P572" s="5">
        <f>O572-O1278</f>
        <v>4.4839076638160417E-3</v>
      </c>
      <c r="Q572" s="8">
        <f t="shared" si="62"/>
        <v>2.0105427937628233E-5</v>
      </c>
      <c r="S572" t="s">
        <v>632</v>
      </c>
      <c r="T572">
        <v>2.6</v>
      </c>
      <c r="U572" s="29">
        <f t="shared" si="59"/>
        <v>-1.5151515151515138E-2</v>
      </c>
      <c r="V572" s="5">
        <f>U572-V1274</f>
        <v>-1.6887705927222177E-2</v>
      </c>
      <c r="X572" t="s">
        <v>631</v>
      </c>
      <c r="Y572">
        <v>2.4300000000000002</v>
      </c>
      <c r="Z572" s="48">
        <f t="shared" si="60"/>
        <v>-4.7058823529411598E-2</v>
      </c>
      <c r="AA572" s="5">
        <f>Z572-Y1274</f>
        <v>-5.1276142998685728E-2</v>
      </c>
      <c r="AD572" t="s">
        <v>632</v>
      </c>
      <c r="AE572">
        <v>43.53</v>
      </c>
      <c r="AF572" s="29">
        <f t="shared" si="61"/>
        <v>-3.4811529933481133E-2</v>
      </c>
    </row>
    <row r="573" spans="1:32">
      <c r="A573" s="3" t="s">
        <v>636</v>
      </c>
      <c r="B573" s="222">
        <v>28.36</v>
      </c>
      <c r="C573" s="227">
        <f t="shared" si="56"/>
        <v>5.6737588652482351E-3</v>
      </c>
      <c r="D573" s="5">
        <f>C573-C1275</f>
        <v>5.5957132956893458E-3</v>
      </c>
      <c r="E573" s="1"/>
      <c r="F573" s="8"/>
      <c r="H573" t="s">
        <v>635</v>
      </c>
      <c r="I573">
        <v>14.76</v>
      </c>
      <c r="J573" s="227">
        <f t="shared" si="57"/>
        <v>8.8858509911140526E-3</v>
      </c>
      <c r="K573" s="5">
        <f>J573-J1276</f>
        <v>6.7498950755040948E-3</v>
      </c>
      <c r="M573" s="240" t="s">
        <v>633</v>
      </c>
      <c r="N573">
        <v>3901.06</v>
      </c>
      <c r="O573" s="227">
        <f t="shared" si="58"/>
        <v>7.5103693717426534E-3</v>
      </c>
      <c r="P573" s="5">
        <f>O573-O1278</f>
        <v>7.8761265726558245E-3</v>
      </c>
      <c r="Q573" s="8">
        <f t="shared" si="62"/>
        <v>6.2033369788495188E-5</v>
      </c>
      <c r="S573" t="s">
        <v>633</v>
      </c>
      <c r="T573">
        <v>2.54</v>
      </c>
      <c r="U573" s="29">
        <f t="shared" si="59"/>
        <v>-2.3076923076923106E-2</v>
      </c>
      <c r="V573" s="5">
        <f>U573-V1274</f>
        <v>-2.4813113852630145E-2</v>
      </c>
      <c r="X573" s="1">
        <v>44876</v>
      </c>
      <c r="Y573">
        <v>2.42</v>
      </c>
      <c r="Z573" s="48">
        <f t="shared" si="60"/>
        <v>-4.115226337448652E-3</v>
      </c>
      <c r="AA573" s="5">
        <f>Z573-Y1274</f>
        <v>-8.332545806722786E-3</v>
      </c>
      <c r="AD573" t="s">
        <v>633</v>
      </c>
      <c r="AE573">
        <v>47.06</v>
      </c>
      <c r="AF573" s="29">
        <f t="shared" si="61"/>
        <v>8.1093498736503511E-2</v>
      </c>
    </row>
    <row r="574" spans="1:32">
      <c r="A574" s="3" t="s">
        <v>637</v>
      </c>
      <c r="B574" s="222">
        <v>27.65</v>
      </c>
      <c r="C574" s="227">
        <f t="shared" si="56"/>
        <v>-2.5035260930888592E-2</v>
      </c>
      <c r="D574" s="5">
        <f>C574-C1275</f>
        <v>-2.5113306500447481E-2</v>
      </c>
      <c r="E574" s="1"/>
      <c r="F574" s="8"/>
      <c r="H574" t="s">
        <v>636</v>
      </c>
      <c r="I574">
        <v>14.81</v>
      </c>
      <c r="J574" s="227">
        <f t="shared" si="57"/>
        <v>3.3875338753388551E-3</v>
      </c>
      <c r="K574" s="5">
        <f>J574-J1276</f>
        <v>1.2515779597288973E-3</v>
      </c>
      <c r="M574" s="240" t="s">
        <v>634</v>
      </c>
      <c r="N574">
        <v>3807.3</v>
      </c>
      <c r="O574" s="227">
        <f t="shared" si="58"/>
        <v>-2.4034493189030615E-2</v>
      </c>
      <c r="P574" s="5">
        <f>O574-O1278</f>
        <v>-2.3668735988117442E-2</v>
      </c>
      <c r="Q574" s="8">
        <f t="shared" si="62"/>
        <v>5.602090632752057E-4</v>
      </c>
      <c r="S574" t="s">
        <v>634</v>
      </c>
      <c r="T574">
        <v>2.4700000000000002</v>
      </c>
      <c r="U574" s="29">
        <f t="shared" si="59"/>
        <v>-2.7559055118110187E-2</v>
      </c>
      <c r="V574" s="5">
        <f>U574-V1274</f>
        <v>-2.9295245893817226E-2</v>
      </c>
      <c r="X574" s="1">
        <v>44845</v>
      </c>
      <c r="Y574">
        <v>2.17</v>
      </c>
      <c r="Z574" s="48">
        <f t="shared" si="60"/>
        <v>-0.10330578512396693</v>
      </c>
      <c r="AA574" s="5">
        <f>Z574-Y1274</f>
        <v>-0.10752310459324106</v>
      </c>
      <c r="AD574" t="s">
        <v>634</v>
      </c>
      <c r="AE574">
        <v>46.34</v>
      </c>
      <c r="AF574" s="29">
        <f t="shared" si="61"/>
        <v>-1.5299617509562213E-2</v>
      </c>
    </row>
    <row r="575" spans="1:32">
      <c r="A575" s="3" t="s">
        <v>638</v>
      </c>
      <c r="B575" s="222">
        <v>28.02</v>
      </c>
      <c r="C575" s="227">
        <f t="shared" si="56"/>
        <v>1.3381555153707092E-2</v>
      </c>
      <c r="D575" s="5">
        <f>C575-C1275</f>
        <v>1.3303509584148204E-2</v>
      </c>
      <c r="E575" s="1"/>
      <c r="F575" s="8"/>
      <c r="H575" t="s">
        <v>637</v>
      </c>
      <c r="I575">
        <v>13.9</v>
      </c>
      <c r="J575" s="227">
        <f t="shared" si="57"/>
        <v>-6.1444969615124911E-2</v>
      </c>
      <c r="K575" s="5">
        <f>J575-J1276</f>
        <v>-6.3580925530734869E-2</v>
      </c>
      <c r="M575" s="240" t="s">
        <v>635</v>
      </c>
      <c r="N575">
        <v>3830.6</v>
      </c>
      <c r="O575" s="227">
        <f t="shared" si="58"/>
        <v>6.1198224463530071E-3</v>
      </c>
      <c r="P575" s="5">
        <f>O575-O1278</f>
        <v>6.485579647266179E-3</v>
      </c>
      <c r="Q575" s="8">
        <f t="shared" si="62"/>
        <v>4.2062743361033297E-5</v>
      </c>
      <c r="S575" t="s">
        <v>635</v>
      </c>
      <c r="T575">
        <v>2.52</v>
      </c>
      <c r="U575" s="29">
        <f t="shared" si="59"/>
        <v>2.0242914979756943E-2</v>
      </c>
      <c r="V575" s="5">
        <f>U575-V1274</f>
        <v>1.8506724204049904E-2</v>
      </c>
      <c r="X575" s="1">
        <v>44815</v>
      </c>
      <c r="Y575">
        <v>2.17</v>
      </c>
      <c r="Z575" s="48">
        <f t="shared" si="60"/>
        <v>0</v>
      </c>
      <c r="AA575" s="5">
        <f>Z575-Y1274</f>
        <v>-4.2173194692741341E-3</v>
      </c>
      <c r="AD575" t="s">
        <v>635</v>
      </c>
      <c r="AE575">
        <v>47.23</v>
      </c>
      <c r="AF575" s="29">
        <f t="shared" si="61"/>
        <v>1.9205869659041808E-2</v>
      </c>
    </row>
    <row r="576" spans="1:32">
      <c r="A576" s="3" t="s">
        <v>639</v>
      </c>
      <c r="B576" s="222">
        <v>27.87</v>
      </c>
      <c r="C576" s="227">
        <f t="shared" si="56"/>
        <v>-5.3533190578157752E-3</v>
      </c>
      <c r="D576" s="5">
        <f>C576-C1275</f>
        <v>-5.4313646273746645E-3</v>
      </c>
      <c r="E576" s="1"/>
      <c r="F576" s="8"/>
      <c r="H576" t="s">
        <v>638</v>
      </c>
      <c r="I576">
        <v>13.56</v>
      </c>
      <c r="J576" s="227">
        <f t="shared" si="57"/>
        <v>-2.4460431654676262E-2</v>
      </c>
      <c r="K576" s="5">
        <f>J576-J1276</f>
        <v>-2.659638757028622E-2</v>
      </c>
      <c r="M576" s="240" t="s">
        <v>636</v>
      </c>
      <c r="N576">
        <v>3859.11</v>
      </c>
      <c r="O576" s="227">
        <f t="shared" si="58"/>
        <v>7.44269827181121E-3</v>
      </c>
      <c r="P576" s="5">
        <f>O576-O1278</f>
        <v>7.8084554727243819E-3</v>
      </c>
      <c r="Q576" s="8">
        <f t="shared" si="62"/>
        <v>6.0971976869519354E-5</v>
      </c>
      <c r="S576" t="s">
        <v>636</v>
      </c>
      <c r="T576">
        <v>2.4</v>
      </c>
      <c r="U576" s="29">
        <f t="shared" si="59"/>
        <v>-4.7619047619047672E-2</v>
      </c>
      <c r="V576" s="5">
        <f>U576-V1274</f>
        <v>-4.9355238394754711E-2</v>
      </c>
      <c r="X576" s="1">
        <v>44784</v>
      </c>
      <c r="Y576">
        <v>2.25</v>
      </c>
      <c r="Z576" s="48">
        <f t="shared" si="60"/>
        <v>3.6866359447004671E-2</v>
      </c>
      <c r="AA576" s="5">
        <f>Z576-Y1274</f>
        <v>3.264903997773054E-2</v>
      </c>
      <c r="AD576" t="s">
        <v>636</v>
      </c>
      <c r="AE576">
        <v>47.46</v>
      </c>
      <c r="AF576" s="29">
        <f t="shared" si="61"/>
        <v>4.8697861528690378E-3</v>
      </c>
    </row>
    <row r="577" spans="1:32">
      <c r="A577" s="3" t="s">
        <v>640</v>
      </c>
      <c r="B577" s="222">
        <v>27.53</v>
      </c>
      <c r="C577" s="227">
        <f t="shared" si="56"/>
        <v>-1.2199497667743087E-2</v>
      </c>
      <c r="D577" s="5">
        <f>C577-C1275</f>
        <v>-1.2277543237301975E-2</v>
      </c>
      <c r="E577" s="1"/>
      <c r="F577" s="8"/>
      <c r="H577" t="s">
        <v>639</v>
      </c>
      <c r="I577">
        <v>13.31</v>
      </c>
      <c r="J577" s="227">
        <f t="shared" si="57"/>
        <v>-1.8436578171091456E-2</v>
      </c>
      <c r="K577" s="5">
        <f>J577-J1276</f>
        <v>-2.0572534086701413E-2</v>
      </c>
      <c r="M577" s="240" t="s">
        <v>637</v>
      </c>
      <c r="N577">
        <v>3797.34</v>
      </c>
      <c r="O577" s="227">
        <f t="shared" si="58"/>
        <v>-1.6006281241011555E-2</v>
      </c>
      <c r="P577" s="5">
        <f>O577-O1278</f>
        <v>-1.5640524040098382E-2</v>
      </c>
      <c r="Q577" s="8">
        <f t="shared" si="62"/>
        <v>2.446259922488954E-4</v>
      </c>
      <c r="S577" t="s">
        <v>637</v>
      </c>
      <c r="T577">
        <v>2.31</v>
      </c>
      <c r="U577" s="29">
        <f t="shared" si="59"/>
        <v>-3.7499999999999978E-2</v>
      </c>
      <c r="V577" s="5">
        <f>U577-V1274</f>
        <v>-3.9236190775707017E-2</v>
      </c>
      <c r="X577" s="1">
        <v>44753</v>
      </c>
      <c r="Y577">
        <v>2.06</v>
      </c>
      <c r="Z577" s="48">
        <f t="shared" si="60"/>
        <v>-8.4444444444444433E-2</v>
      </c>
      <c r="AA577" s="5">
        <f>Z577-Y1274</f>
        <v>-8.8661763913718564E-2</v>
      </c>
      <c r="AD577" t="s">
        <v>637</v>
      </c>
      <c r="AE577">
        <v>44.43</v>
      </c>
      <c r="AF577" s="29">
        <f t="shared" si="61"/>
        <v>-6.3843236409608095E-2</v>
      </c>
    </row>
    <row r="578" spans="1:32">
      <c r="A578" s="3" t="s">
        <v>641</v>
      </c>
      <c r="B578" s="222">
        <v>27.61</v>
      </c>
      <c r="C578" s="227">
        <f t="shared" si="56"/>
        <v>2.9059208136577031E-3</v>
      </c>
      <c r="D578" s="5">
        <f>C578-C1275</f>
        <v>2.8278752440988137E-3</v>
      </c>
      <c r="E578" s="1"/>
      <c r="F578" s="8"/>
      <c r="H578" t="s">
        <v>640</v>
      </c>
      <c r="I578">
        <v>13.02</v>
      </c>
      <c r="J578" s="227">
        <f t="shared" si="57"/>
        <v>-2.1788129226145814E-2</v>
      </c>
      <c r="K578" s="5">
        <f>J578-J1276</f>
        <v>-2.3924085141755771E-2</v>
      </c>
      <c r="M578" s="240" t="s">
        <v>638</v>
      </c>
      <c r="N578">
        <v>3752.75</v>
      </c>
      <c r="O578" s="227">
        <f t="shared" si="58"/>
        <v>-1.1742430227475009E-2</v>
      </c>
      <c r="P578" s="5">
        <f>O578-O1278</f>
        <v>-1.1376673026561838E-2</v>
      </c>
      <c r="Q578" s="8">
        <f t="shared" si="62"/>
        <v>1.294286891532997E-4</v>
      </c>
      <c r="S578" t="s">
        <v>638</v>
      </c>
      <c r="T578">
        <v>2.36</v>
      </c>
      <c r="U578" s="29">
        <f t="shared" si="59"/>
        <v>2.1645021645021467E-2</v>
      </c>
      <c r="V578" s="5">
        <f>U578-V1274</f>
        <v>1.9908830869314428E-2</v>
      </c>
      <c r="X578" s="1">
        <v>44662</v>
      </c>
      <c r="Y578">
        <v>2.13</v>
      </c>
      <c r="Z578" s="48">
        <f t="shared" si="60"/>
        <v>3.398058252427183E-2</v>
      </c>
      <c r="AA578" s="5">
        <f>Z578-Y1274</f>
        <v>2.9763263054997696E-2</v>
      </c>
      <c r="AD578" t="s">
        <v>638</v>
      </c>
      <c r="AE578">
        <v>45.23</v>
      </c>
      <c r="AF578" s="29">
        <f t="shared" si="61"/>
        <v>1.8005851901867986E-2</v>
      </c>
    </row>
    <row r="579" spans="1:32">
      <c r="A579" s="3" t="s">
        <v>642</v>
      </c>
      <c r="B579" s="222">
        <v>25.94</v>
      </c>
      <c r="C579" s="227">
        <f t="shared" si="56"/>
        <v>-6.0485331401666009E-2</v>
      </c>
      <c r="D579" s="5">
        <f>C579-C1275</f>
        <v>-6.0563376971224901E-2</v>
      </c>
      <c r="F579" s="8"/>
      <c r="H579" t="s">
        <v>641</v>
      </c>
      <c r="I579">
        <v>13.29</v>
      </c>
      <c r="J579" s="227">
        <f t="shared" si="57"/>
        <v>2.0737327188940169E-2</v>
      </c>
      <c r="K579" s="5">
        <f>J579-J1276</f>
        <v>1.8601371273330211E-2</v>
      </c>
      <c r="M579" s="240" t="s">
        <v>639</v>
      </c>
      <c r="N579">
        <v>3665.78</v>
      </c>
      <c r="O579" s="227">
        <f t="shared" si="58"/>
        <v>-2.3175004996335957E-2</v>
      </c>
      <c r="P579" s="5">
        <f>O579-O1278</f>
        <v>-2.2809247795422784E-2</v>
      </c>
      <c r="Q579" s="8">
        <f t="shared" si="62"/>
        <v>5.2026178499299915E-4</v>
      </c>
      <c r="S579" t="s">
        <v>639</v>
      </c>
      <c r="T579">
        <v>2.38</v>
      </c>
      <c r="U579" s="29">
        <f t="shared" si="59"/>
        <v>8.4745762711864181E-3</v>
      </c>
      <c r="V579" s="5">
        <f>U579-V1274</f>
        <v>6.7383854954793801E-3</v>
      </c>
      <c r="X579" s="1">
        <v>44631</v>
      </c>
      <c r="Y579">
        <v>1.94</v>
      </c>
      <c r="Z579" s="48">
        <f t="shared" si="60"/>
        <v>-8.9201877934272256E-2</v>
      </c>
      <c r="AA579" s="5">
        <f>Z579-Y1274</f>
        <v>-9.3419197403546386E-2</v>
      </c>
      <c r="AD579" t="s">
        <v>639</v>
      </c>
      <c r="AE579">
        <v>45.53</v>
      </c>
      <c r="AF579" s="29">
        <f t="shared" si="61"/>
        <v>6.6327658633651421E-3</v>
      </c>
    </row>
    <row r="580" spans="1:32">
      <c r="A580" s="3" t="s">
        <v>643</v>
      </c>
      <c r="B580" s="222">
        <v>24.71</v>
      </c>
      <c r="C580" s="227">
        <f t="shared" si="56"/>
        <v>-4.7417116422513561E-2</v>
      </c>
      <c r="D580" s="5">
        <f>C580-C1275</f>
        <v>-4.7495161992072453E-2</v>
      </c>
      <c r="F580" s="8"/>
      <c r="H580" t="s">
        <v>642</v>
      </c>
      <c r="I580">
        <v>12.66</v>
      </c>
      <c r="J580" s="227">
        <f t="shared" si="57"/>
        <v>-4.7404063205417568E-2</v>
      </c>
      <c r="K580" s="5">
        <f>J580-J1276</f>
        <v>-4.9540019121027526E-2</v>
      </c>
      <c r="M580" s="240" t="s">
        <v>640</v>
      </c>
      <c r="N580">
        <v>3695.16</v>
      </c>
      <c r="O580" s="227">
        <f t="shared" si="58"/>
        <v>8.0146653645334354E-3</v>
      </c>
      <c r="P580" s="5">
        <f>O580-O1278</f>
        <v>8.3804225654466064E-3</v>
      </c>
      <c r="Q580" s="8">
        <f t="shared" si="62"/>
        <v>7.0231482375446674E-5</v>
      </c>
      <c r="S580" t="s">
        <v>640</v>
      </c>
      <c r="T580">
        <v>2.38</v>
      </c>
      <c r="U580" s="29">
        <f t="shared" si="59"/>
        <v>0</v>
      </c>
      <c r="V580" s="5">
        <f>U580-V1274</f>
        <v>-1.736190775707038E-3</v>
      </c>
      <c r="X580" s="1">
        <v>44603</v>
      </c>
      <c r="Y580">
        <v>1.95</v>
      </c>
      <c r="Z580" s="48">
        <f t="shared" si="60"/>
        <v>5.1546391752577136E-3</v>
      </c>
      <c r="AA580" s="5">
        <f>Z580-Y1274</f>
        <v>9.3731970598357958E-4</v>
      </c>
      <c r="AD580" t="s">
        <v>640</v>
      </c>
      <c r="AE580">
        <v>45.78</v>
      </c>
      <c r="AF580" s="29">
        <f t="shared" si="61"/>
        <v>5.4908851306829654E-3</v>
      </c>
    </row>
    <row r="581" spans="1:32">
      <c r="A581" s="3" t="s">
        <v>644</v>
      </c>
      <c r="B581" s="222">
        <v>25</v>
      </c>
      <c r="C581" s="227">
        <f t="shared" si="56"/>
        <v>1.1736139214892694E-2</v>
      </c>
      <c r="D581" s="5">
        <f>C581-C1275</f>
        <v>1.1658093645333805E-2</v>
      </c>
      <c r="F581" s="8"/>
      <c r="H581" t="s">
        <v>643</v>
      </c>
      <c r="I581">
        <v>11.77</v>
      </c>
      <c r="J581" s="227">
        <f t="shared" si="57"/>
        <v>-7.0300157977883138E-2</v>
      </c>
      <c r="K581" s="5">
        <f>J581-J1276</f>
        <v>-7.2436113893493095E-2</v>
      </c>
      <c r="M581" s="240" t="s">
        <v>641</v>
      </c>
      <c r="N581">
        <v>3719.98</v>
      </c>
      <c r="O581" s="227">
        <f t="shared" si="58"/>
        <v>6.7168945323070606E-3</v>
      </c>
      <c r="P581" s="5">
        <f>O581-O1278</f>
        <v>7.0826517332202325E-3</v>
      </c>
      <c r="Q581" s="8">
        <f t="shared" si="62"/>
        <v>5.0163955574087564E-5</v>
      </c>
      <c r="S581" t="s">
        <v>641</v>
      </c>
      <c r="T581">
        <v>2.5</v>
      </c>
      <c r="U581" s="29">
        <f t="shared" si="59"/>
        <v>5.0420168067226934E-2</v>
      </c>
      <c r="V581" s="5">
        <f>U581-V1274</f>
        <v>4.8683977291519895E-2</v>
      </c>
      <c r="X581" s="1">
        <v>44572</v>
      </c>
      <c r="Y581">
        <v>1.99</v>
      </c>
      <c r="Z581" s="48">
        <f t="shared" si="60"/>
        <v>2.051282051282044E-2</v>
      </c>
      <c r="AA581" s="5">
        <f>Z581-Y1274</f>
        <v>1.6295501043546306E-2</v>
      </c>
      <c r="AD581" t="s">
        <v>641</v>
      </c>
      <c r="AE581">
        <v>46.9</v>
      </c>
      <c r="AF581" s="29">
        <f t="shared" si="61"/>
        <v>2.4464831804281273E-2</v>
      </c>
    </row>
    <row r="582" spans="1:32">
      <c r="A582" s="220">
        <v>44905</v>
      </c>
      <c r="B582" s="222">
        <v>25.98</v>
      </c>
      <c r="C582" s="227">
        <f t="shared" si="56"/>
        <v>3.9200000000000124E-2</v>
      </c>
      <c r="D582" s="5">
        <f>C582-C1275</f>
        <v>3.9121954430441232E-2</v>
      </c>
      <c r="F582" s="8"/>
      <c r="H582" t="s">
        <v>644</v>
      </c>
      <c r="I582">
        <v>11.99</v>
      </c>
      <c r="J582" s="227">
        <f t="shared" si="57"/>
        <v>1.8691588785046731E-2</v>
      </c>
      <c r="K582" s="5">
        <f>J582-J1276</f>
        <v>1.6555632869436773E-2</v>
      </c>
      <c r="M582" s="240" t="s">
        <v>642</v>
      </c>
      <c r="N582">
        <v>3677.95</v>
      </c>
      <c r="O582" s="227">
        <f t="shared" si="58"/>
        <v>-1.1298447841117443E-2</v>
      </c>
      <c r="P582" s="5">
        <f>O582-O1278</f>
        <v>-1.0932690640204272E-2</v>
      </c>
      <c r="Q582" s="8">
        <f t="shared" si="62"/>
        <v>1.1952372463441008E-4</v>
      </c>
      <c r="S582" t="s">
        <v>642</v>
      </c>
      <c r="T582">
        <v>2.46</v>
      </c>
      <c r="U582" s="29">
        <f t="shared" si="59"/>
        <v>-1.6000000000000014E-2</v>
      </c>
      <c r="V582" s="5">
        <f>U582-V1274</f>
        <v>-1.7736190775707053E-2</v>
      </c>
      <c r="X582" t="s">
        <v>632</v>
      </c>
      <c r="Y582">
        <v>1.95</v>
      </c>
      <c r="Z582" s="48">
        <f t="shared" si="60"/>
        <v>-2.010050251256279E-2</v>
      </c>
      <c r="AA582" s="5">
        <f>Z582-Y1274</f>
        <v>-2.4317821981836924E-2</v>
      </c>
      <c r="AD582" t="s">
        <v>642</v>
      </c>
      <c r="AE582">
        <v>45.71</v>
      </c>
      <c r="AF582" s="29">
        <f t="shared" si="61"/>
        <v>-2.5373134328358193E-2</v>
      </c>
    </row>
    <row r="583" spans="1:32">
      <c r="A583" s="220">
        <v>44875</v>
      </c>
      <c r="B583" s="222">
        <v>24.66</v>
      </c>
      <c r="C583" s="227">
        <f t="shared" si="56"/>
        <v>-5.0808314087759876E-2</v>
      </c>
      <c r="D583" s="5">
        <f>C583-C1275</f>
        <v>-5.0886359657318768E-2</v>
      </c>
      <c r="F583" s="8"/>
      <c r="H583" s="1">
        <v>44905</v>
      </c>
      <c r="I583">
        <v>11.9</v>
      </c>
      <c r="J583" s="227">
        <f t="shared" si="57"/>
        <v>-7.5062552126772264E-3</v>
      </c>
      <c r="K583" s="5">
        <f>J583-J1276</f>
        <v>-9.6422111282871842E-3</v>
      </c>
      <c r="M583" s="240" t="s">
        <v>643</v>
      </c>
      <c r="N583">
        <v>3583.07</v>
      </c>
      <c r="O583" s="227">
        <f t="shared" si="58"/>
        <v>-2.5796979295531375E-2</v>
      </c>
      <c r="P583" s="5">
        <f>O583-O1278</f>
        <v>-2.5431222094618202E-2</v>
      </c>
      <c r="Q583" s="8">
        <f t="shared" si="62"/>
        <v>6.4674705722579705E-4</v>
      </c>
      <c r="S583" t="s">
        <v>643</v>
      </c>
      <c r="T583">
        <v>2.39</v>
      </c>
      <c r="U583" s="29">
        <f t="shared" si="59"/>
        <v>-2.8455284552845517E-2</v>
      </c>
      <c r="V583" s="5">
        <f>U583-V1274</f>
        <v>-3.0191475328552556E-2</v>
      </c>
      <c r="X583" t="s">
        <v>633</v>
      </c>
      <c r="Y583">
        <v>1.98</v>
      </c>
      <c r="Z583" s="48">
        <f t="shared" si="60"/>
        <v>1.538461538461533E-2</v>
      </c>
      <c r="AA583" s="5">
        <f>Z583-Y1274</f>
        <v>1.1167295915341196E-2</v>
      </c>
      <c r="AD583" t="s">
        <v>643</v>
      </c>
      <c r="AE583">
        <v>43.06</v>
      </c>
      <c r="AF583" s="29">
        <f t="shared" si="61"/>
        <v>-5.7974185079851193E-2</v>
      </c>
    </row>
    <row r="584" spans="1:32">
      <c r="A584" s="220">
        <v>44844</v>
      </c>
      <c r="B584" s="222">
        <v>27.53</v>
      </c>
      <c r="C584" s="227">
        <f t="shared" si="56"/>
        <v>0.11638280616382812</v>
      </c>
      <c r="D584" s="5">
        <f>C584-C1275</f>
        <v>0.11630476059426924</v>
      </c>
      <c r="F584" s="8"/>
      <c r="H584" s="1">
        <v>44875</v>
      </c>
      <c r="I584">
        <v>11.27</v>
      </c>
      <c r="J584" s="227">
        <f t="shared" si="57"/>
        <v>-5.2941176470588269E-2</v>
      </c>
      <c r="K584" s="5">
        <f>J584-J1276</f>
        <v>-5.5077132386198227E-2</v>
      </c>
      <c r="M584" s="240" t="s">
        <v>644</v>
      </c>
      <c r="N584">
        <v>3669.91</v>
      </c>
      <c r="O584" s="227">
        <f t="shared" si="58"/>
        <v>2.4236199683511428E-2</v>
      </c>
      <c r="P584" s="5">
        <f>O584-O1278</f>
        <v>2.4601956884424601E-2</v>
      </c>
      <c r="Q584" s="8">
        <f t="shared" si="62"/>
        <v>6.05256282543087E-4</v>
      </c>
      <c r="S584" t="s">
        <v>644</v>
      </c>
      <c r="T584">
        <v>2.4700000000000002</v>
      </c>
      <c r="U584" s="29">
        <f t="shared" si="59"/>
        <v>3.3472803347280422E-2</v>
      </c>
      <c r="V584" s="5">
        <f>U584-V1274</f>
        <v>3.1736612571573383E-2</v>
      </c>
      <c r="X584" t="s">
        <v>634</v>
      </c>
      <c r="Y584">
        <v>1.95</v>
      </c>
      <c r="Z584" s="48">
        <f t="shared" si="60"/>
        <v>-1.5151515151515138E-2</v>
      </c>
      <c r="AA584" s="5">
        <f>Z584-Y1274</f>
        <v>-1.9368834620789272E-2</v>
      </c>
      <c r="AD584" t="s">
        <v>644</v>
      </c>
      <c r="AE584">
        <v>45.91</v>
      </c>
      <c r="AF584" s="29">
        <f t="shared" si="61"/>
        <v>6.6186716209939433E-2</v>
      </c>
    </row>
    <row r="585" spans="1:32">
      <c r="A585" s="220">
        <v>44752</v>
      </c>
      <c r="B585" s="222">
        <v>28.07</v>
      </c>
      <c r="C585" s="227">
        <f t="shared" si="56"/>
        <v>1.9614965492190217E-2</v>
      </c>
      <c r="D585" s="5">
        <f>C585-C1275</f>
        <v>1.9536919922631329E-2</v>
      </c>
      <c r="F585" s="8"/>
      <c r="H585" s="1">
        <v>44844</v>
      </c>
      <c r="I585">
        <v>12.81</v>
      </c>
      <c r="J585" s="227">
        <f t="shared" si="57"/>
        <v>0.13664596273291929</v>
      </c>
      <c r="K585" s="5">
        <f>J585-J1276</f>
        <v>0.13451000681730935</v>
      </c>
      <c r="M585" s="241">
        <v>44905</v>
      </c>
      <c r="N585">
        <v>3577.03</v>
      </c>
      <c r="O585" s="227">
        <f t="shared" si="58"/>
        <v>-2.5308522552324075E-2</v>
      </c>
      <c r="P585" s="5">
        <f>O585-O1278</f>
        <v>-2.4942765351410903E-2</v>
      </c>
      <c r="Q585" s="8">
        <f t="shared" si="62"/>
        <v>6.221415433755442E-4</v>
      </c>
      <c r="S585" s="1">
        <v>44905</v>
      </c>
      <c r="T585">
        <v>2.48</v>
      </c>
      <c r="U585" s="29">
        <f t="shared" si="59"/>
        <v>4.0485829959513442E-3</v>
      </c>
      <c r="V585" s="5">
        <f>U585-V1274</f>
        <v>2.3123922202443062E-3</v>
      </c>
      <c r="X585" t="s">
        <v>635</v>
      </c>
      <c r="Y585">
        <v>1.7</v>
      </c>
      <c r="Z585" s="48">
        <f t="shared" si="60"/>
        <v>-0.12820512820512819</v>
      </c>
      <c r="AA585" s="5">
        <f>Z585-Y1274</f>
        <v>-0.13242244767440234</v>
      </c>
      <c r="AD585" s="1">
        <v>44905</v>
      </c>
      <c r="AE585">
        <v>46.72</v>
      </c>
      <c r="AF585" s="29">
        <f t="shared" si="61"/>
        <v>1.7643214985841871E-2</v>
      </c>
    </row>
    <row r="586" spans="1:32">
      <c r="A586" s="220">
        <v>44722</v>
      </c>
      <c r="B586" s="222">
        <v>29.73</v>
      </c>
      <c r="C586" s="227">
        <f t="shared" si="56"/>
        <v>5.9137869611685101E-2</v>
      </c>
      <c r="D586" s="5">
        <f>C586-C1275</f>
        <v>5.9059824042126209E-2</v>
      </c>
      <c r="F586" s="8"/>
      <c r="H586" s="1">
        <v>44752</v>
      </c>
      <c r="I586">
        <v>12.51</v>
      </c>
      <c r="J586" s="227">
        <f t="shared" si="57"/>
        <v>-2.3419203747072626E-2</v>
      </c>
      <c r="K586" s="5">
        <f>J586-J1276</f>
        <v>-2.5555159662682583E-2</v>
      </c>
      <c r="M586" s="241">
        <v>44875</v>
      </c>
      <c r="N586">
        <v>3588.84</v>
      </c>
      <c r="O586" s="227">
        <f t="shared" si="58"/>
        <v>3.3016217364685296E-3</v>
      </c>
      <c r="P586" s="5">
        <f>O586-O1278</f>
        <v>3.6673789373817011E-3</v>
      </c>
      <c r="Q586" s="8">
        <f t="shared" si="62"/>
        <v>1.3449668270350935E-5</v>
      </c>
      <c r="S586" s="1">
        <v>44875</v>
      </c>
      <c r="T586">
        <v>2.57</v>
      </c>
      <c r="U586" s="29">
        <f t="shared" si="59"/>
        <v>3.6290322580645018E-2</v>
      </c>
      <c r="V586" s="5">
        <f>U586-V1274</f>
        <v>3.4554131804937979E-2</v>
      </c>
      <c r="X586" t="s">
        <v>636</v>
      </c>
      <c r="Y586">
        <v>1.64</v>
      </c>
      <c r="Z586" s="48">
        <f t="shared" si="60"/>
        <v>-3.5294117647058809E-2</v>
      </c>
      <c r="AA586" s="5">
        <f>Z586-Y1274</f>
        <v>-3.951143711633294E-2</v>
      </c>
      <c r="AD586" s="1">
        <v>44875</v>
      </c>
      <c r="AE586">
        <v>44.85</v>
      </c>
      <c r="AF586" s="29">
        <f t="shared" si="61"/>
        <v>-4.0025684931506822E-2</v>
      </c>
    </row>
    <row r="587" spans="1:32">
      <c r="A587" s="220">
        <v>44691</v>
      </c>
      <c r="B587" s="222">
        <v>29.18</v>
      </c>
      <c r="C587" s="227">
        <f t="shared" si="56"/>
        <v>-1.849983181971071E-2</v>
      </c>
      <c r="D587" s="5">
        <f>C587-C1275</f>
        <v>-1.8577877389269599E-2</v>
      </c>
      <c r="F587" s="8"/>
      <c r="H587" s="1">
        <v>44722</v>
      </c>
      <c r="I587">
        <v>13.7</v>
      </c>
      <c r="J587" s="227">
        <f t="shared" si="57"/>
        <v>9.5123900879296563E-2</v>
      </c>
      <c r="K587" s="5">
        <f>J587-J1276</f>
        <v>9.2987944963686606E-2</v>
      </c>
      <c r="M587" s="241">
        <v>44844</v>
      </c>
      <c r="N587">
        <v>3612.39</v>
      </c>
      <c r="O587" s="227">
        <f t="shared" si="58"/>
        <v>6.5620088942386356E-3</v>
      </c>
      <c r="P587" s="5">
        <f>O587-O1278</f>
        <v>6.9277660951518076E-3</v>
      </c>
      <c r="Q587" s="8">
        <f t="shared" si="62"/>
        <v>4.7993943069134923E-5</v>
      </c>
      <c r="S587" s="1">
        <v>44844</v>
      </c>
      <c r="T587">
        <v>2.68</v>
      </c>
      <c r="U587" s="29">
        <f t="shared" si="59"/>
        <v>4.2801556420233533E-2</v>
      </c>
      <c r="V587" s="5">
        <f>U587-V1274</f>
        <v>4.1065365644526494E-2</v>
      </c>
      <c r="X587" t="s">
        <v>637</v>
      </c>
      <c r="Y587">
        <v>1.48</v>
      </c>
      <c r="Z587" s="48">
        <f t="shared" si="60"/>
        <v>-9.7560975609756073E-2</v>
      </c>
      <c r="AA587" s="5">
        <f>Z587-Y1274</f>
        <v>-0.1017782950790302</v>
      </c>
      <c r="AD587" s="1">
        <v>44844</v>
      </c>
      <c r="AE587">
        <v>47.71</v>
      </c>
      <c r="AF587" s="29">
        <f t="shared" si="61"/>
        <v>6.3768115942028913E-2</v>
      </c>
    </row>
    <row r="588" spans="1:32">
      <c r="A588" s="220">
        <v>44661</v>
      </c>
      <c r="B588" s="222">
        <v>29.19</v>
      </c>
      <c r="C588" s="227">
        <f t="shared" si="56"/>
        <v>3.4270047978068874E-4</v>
      </c>
      <c r="D588" s="5">
        <f>C588-C1275</f>
        <v>2.6465491022179953E-4</v>
      </c>
      <c r="F588" s="8"/>
      <c r="H588" s="1">
        <v>44691</v>
      </c>
      <c r="I588">
        <v>13.75</v>
      </c>
      <c r="J588" s="227">
        <f t="shared" si="57"/>
        <v>3.6496350364965124E-3</v>
      </c>
      <c r="K588" s="5">
        <f>J588-J1276</f>
        <v>1.5136791208865547E-3</v>
      </c>
      <c r="M588" s="241">
        <v>44752</v>
      </c>
      <c r="N588">
        <v>3639.66</v>
      </c>
      <c r="O588" s="227">
        <f t="shared" si="58"/>
        <v>7.5490187936517739E-3</v>
      </c>
      <c r="P588" s="5">
        <f>O588-O1278</f>
        <v>7.9147759945649449E-3</v>
      </c>
      <c r="Q588" s="8">
        <f t="shared" si="62"/>
        <v>6.2643679044141517E-5</v>
      </c>
      <c r="S588" s="1">
        <v>44752</v>
      </c>
      <c r="T588">
        <v>2.81</v>
      </c>
      <c r="U588" s="29">
        <f t="shared" si="59"/>
        <v>4.8507462686567138E-2</v>
      </c>
      <c r="V588" s="5">
        <f>U588-V1274</f>
        <v>4.6771271910860099E-2</v>
      </c>
      <c r="X588" t="s">
        <v>638</v>
      </c>
      <c r="Y588">
        <v>1.59</v>
      </c>
      <c r="Z588" s="48">
        <f t="shared" si="60"/>
        <v>7.4324324324324342E-2</v>
      </c>
      <c r="AA588" s="5">
        <f>Z588-Y1274</f>
        <v>7.0107004855050212E-2</v>
      </c>
      <c r="AD588" s="1">
        <v>44752</v>
      </c>
      <c r="AE588">
        <v>49.39</v>
      </c>
      <c r="AF588" s="29">
        <f t="shared" si="61"/>
        <v>3.5212743659610135E-2</v>
      </c>
    </row>
    <row r="589" spans="1:32">
      <c r="A589" s="220">
        <v>44630</v>
      </c>
      <c r="B589" s="222">
        <v>26.72</v>
      </c>
      <c r="C589" s="227">
        <f t="shared" si="56"/>
        <v>-8.4618019869818539E-2</v>
      </c>
      <c r="D589" s="5">
        <f>C589-C1275</f>
        <v>-8.4696065439377424E-2</v>
      </c>
      <c r="F589" s="8"/>
      <c r="H589" s="1">
        <v>44661</v>
      </c>
      <c r="I589">
        <v>13.8</v>
      </c>
      <c r="J589" s="227">
        <f t="shared" si="57"/>
        <v>3.6363636363636598E-3</v>
      </c>
      <c r="K589" s="5">
        <f>J589-J1276</f>
        <v>1.500407720753702E-3</v>
      </c>
      <c r="M589" s="241">
        <v>44722</v>
      </c>
      <c r="N589">
        <v>3744.52</v>
      </c>
      <c r="O589" s="227">
        <f t="shared" si="58"/>
        <v>2.8810383387459337E-2</v>
      </c>
      <c r="P589" s="5">
        <f>O589-O1278</f>
        <v>2.917614058837251E-2</v>
      </c>
      <c r="Q589" s="8">
        <f t="shared" si="62"/>
        <v>8.512471796324778E-4</v>
      </c>
      <c r="S589" s="1">
        <v>44722</v>
      </c>
      <c r="T589">
        <v>3.01</v>
      </c>
      <c r="U589" s="29">
        <f t="shared" si="59"/>
        <v>7.1174377224199281E-2</v>
      </c>
      <c r="V589" s="5">
        <f>U589-V1274</f>
        <v>6.9438186448492242E-2</v>
      </c>
      <c r="X589" t="s">
        <v>639</v>
      </c>
      <c r="Y589">
        <v>1.63</v>
      </c>
      <c r="Z589" s="48">
        <f t="shared" si="60"/>
        <v>2.5157232704402288E-2</v>
      </c>
      <c r="AA589" s="5">
        <f>Z589-Y1274</f>
        <v>2.0939913235128154E-2</v>
      </c>
      <c r="AD589" s="1">
        <v>44722</v>
      </c>
      <c r="AE589">
        <v>52.99</v>
      </c>
      <c r="AF589" s="29">
        <f t="shared" si="61"/>
        <v>7.2889248835796838E-2</v>
      </c>
    </row>
    <row r="590" spans="1:32">
      <c r="A590" s="3" t="s">
        <v>645</v>
      </c>
      <c r="B590" s="222">
        <v>26.5</v>
      </c>
      <c r="C590" s="227">
        <f t="shared" si="56"/>
        <v>-8.2335329341316488E-3</v>
      </c>
      <c r="D590" s="5">
        <f>C590-C1275</f>
        <v>-8.3115785036905372E-3</v>
      </c>
      <c r="F590" s="8"/>
      <c r="H590" s="1">
        <v>44630</v>
      </c>
      <c r="I590">
        <v>12.95</v>
      </c>
      <c r="J590" s="227">
        <f t="shared" si="57"/>
        <v>-6.1594202898550776E-2</v>
      </c>
      <c r="K590" s="5">
        <f>J590-J1276</f>
        <v>-6.3730158814160734E-2</v>
      </c>
      <c r="M590" s="241">
        <v>44691</v>
      </c>
      <c r="N590">
        <v>3783.28</v>
      </c>
      <c r="O590" s="227">
        <f t="shared" si="58"/>
        <v>1.0351126446113357E-2</v>
      </c>
      <c r="P590" s="5">
        <f>O590-O1278</f>
        <v>1.0716883647026528E-2</v>
      </c>
      <c r="Q590" s="8">
        <f t="shared" si="62"/>
        <v>1.1485159510390461E-4</v>
      </c>
      <c r="S590" s="1">
        <v>44691</v>
      </c>
      <c r="T590">
        <v>2.86</v>
      </c>
      <c r="U590" s="29">
        <f t="shared" si="59"/>
        <v>-4.9833887043189362E-2</v>
      </c>
      <c r="V590" s="5">
        <f>U590-V1274</f>
        <v>-5.1570077818896401E-2</v>
      </c>
      <c r="X590" t="s">
        <v>640</v>
      </c>
      <c r="Y590">
        <v>1.66</v>
      </c>
      <c r="Z590" s="48">
        <f t="shared" si="60"/>
        <v>1.8404907975460238E-2</v>
      </c>
      <c r="AA590" s="5">
        <f>Z590-Y1274</f>
        <v>1.4187588506186104E-2</v>
      </c>
      <c r="AD590" s="1">
        <v>44691</v>
      </c>
      <c r="AE590">
        <v>52.99</v>
      </c>
      <c r="AF590" s="29">
        <f t="shared" si="61"/>
        <v>0</v>
      </c>
    </row>
    <row r="591" spans="1:32">
      <c r="A591" s="3" t="s">
        <v>646</v>
      </c>
      <c r="B591" s="222">
        <v>26.42</v>
      </c>
      <c r="C591" s="227">
        <f t="shared" si="56"/>
        <v>-3.0188679245282124E-3</v>
      </c>
      <c r="D591" s="5">
        <f>C591-C1275</f>
        <v>-3.0969134940871017E-3</v>
      </c>
      <c r="F591" s="8"/>
      <c r="H591" t="s">
        <v>645</v>
      </c>
      <c r="I591">
        <v>13.17</v>
      </c>
      <c r="J591" s="227">
        <f t="shared" si="57"/>
        <v>1.6988416988417132E-2</v>
      </c>
      <c r="K591" s="5">
        <f>J591-J1276</f>
        <v>1.4852461072807174E-2</v>
      </c>
      <c r="M591" s="241">
        <v>44661</v>
      </c>
      <c r="N591">
        <v>3790.93</v>
      </c>
      <c r="O591" s="227">
        <f t="shared" si="58"/>
        <v>2.0220549364571294E-3</v>
      </c>
      <c r="P591" s="5">
        <f>O591-O1278</f>
        <v>2.3878121373703009E-3</v>
      </c>
      <c r="Q591" s="8">
        <f t="shared" si="62"/>
        <v>5.7016468033729251E-6</v>
      </c>
      <c r="S591" s="1">
        <v>44661</v>
      </c>
      <c r="T591">
        <v>2.92</v>
      </c>
      <c r="U591" s="29">
        <f t="shared" si="59"/>
        <v>2.0979020979021046E-2</v>
      </c>
      <c r="V591" s="5">
        <f>U591-V1274</f>
        <v>1.9242830203314007E-2</v>
      </c>
      <c r="X591" t="s">
        <v>641</v>
      </c>
      <c r="Y591">
        <v>1.71</v>
      </c>
      <c r="Z591" s="48">
        <f t="shared" si="60"/>
        <v>3.0120481927710774E-2</v>
      </c>
      <c r="AA591" s="5">
        <f>Z591-Y1274</f>
        <v>2.590316245843664E-2</v>
      </c>
      <c r="AD591" s="1">
        <v>44661</v>
      </c>
      <c r="AE591">
        <v>54.16</v>
      </c>
      <c r="AF591" s="29">
        <f t="shared" si="61"/>
        <v>2.2079637667484331E-2</v>
      </c>
    </row>
    <row r="592" spans="1:32">
      <c r="A592" s="3" t="s">
        <v>647</v>
      </c>
      <c r="B592" s="222">
        <v>28.04</v>
      </c>
      <c r="C592" s="227">
        <f t="shared" si="56"/>
        <v>6.1317183951551835E-2</v>
      </c>
      <c r="D592" s="5">
        <f>C592-C1275</f>
        <v>6.1239138381992943E-2</v>
      </c>
      <c r="F592" s="8"/>
      <c r="H592" t="s">
        <v>646</v>
      </c>
      <c r="I592">
        <v>13.48</v>
      </c>
      <c r="J592" s="227">
        <f t="shared" si="57"/>
        <v>2.3538344722854987E-2</v>
      </c>
      <c r="K592" s="5">
        <f>J592-J1276</f>
        <v>2.1402388807245029E-2</v>
      </c>
      <c r="M592" s="241">
        <v>44630</v>
      </c>
      <c r="N592">
        <v>3678.43</v>
      </c>
      <c r="O592" s="227">
        <f t="shared" si="58"/>
        <v>-2.9676095311704564E-2</v>
      </c>
      <c r="P592" s="5">
        <f>O592-O1278</f>
        <v>-2.9310338110791392E-2</v>
      </c>
      <c r="Q592" s="8">
        <f t="shared" si="62"/>
        <v>8.5909592016891029E-4</v>
      </c>
      <c r="S592" s="1">
        <v>44630</v>
      </c>
      <c r="T592">
        <v>2.7</v>
      </c>
      <c r="U592" s="29">
        <f t="shared" si="59"/>
        <v>-7.5342465753424626E-2</v>
      </c>
      <c r="V592" s="5">
        <f>U592-V1274</f>
        <v>-7.7078656529131664E-2</v>
      </c>
      <c r="X592" t="s">
        <v>642</v>
      </c>
      <c r="Y592">
        <v>1.72</v>
      </c>
      <c r="Z592" s="48">
        <f t="shared" si="60"/>
        <v>5.8479532163742132E-3</v>
      </c>
      <c r="AA592" s="5">
        <f>Z592-Y1274</f>
        <v>1.6306337471000791E-3</v>
      </c>
      <c r="AD592" s="1">
        <v>44630</v>
      </c>
      <c r="AE592">
        <v>50.52</v>
      </c>
      <c r="AF592" s="29">
        <f t="shared" si="61"/>
        <v>-6.7208271787296825E-2</v>
      </c>
    </row>
    <row r="593" spans="1:32">
      <c r="A593" s="3" t="s">
        <v>648</v>
      </c>
      <c r="B593" s="222">
        <v>27.57</v>
      </c>
      <c r="C593" s="227">
        <f t="shared" si="56"/>
        <v>-1.6761768901569107E-2</v>
      </c>
      <c r="D593" s="5">
        <f>C593-C1275</f>
        <v>-1.6839814471127996E-2</v>
      </c>
      <c r="E593" s="1"/>
      <c r="F593" s="8"/>
      <c r="H593" t="s">
        <v>647</v>
      </c>
      <c r="I593">
        <v>14.5</v>
      </c>
      <c r="J593" s="227">
        <f t="shared" si="57"/>
        <v>7.5667655786350041E-2</v>
      </c>
      <c r="K593" s="5">
        <f>J593-J1276</f>
        <v>7.3531699870740083E-2</v>
      </c>
      <c r="M593" s="240" t="s">
        <v>645</v>
      </c>
      <c r="N593">
        <v>3585.62</v>
      </c>
      <c r="O593" s="227">
        <f t="shared" si="58"/>
        <v>-2.5230872953950434E-2</v>
      </c>
      <c r="P593" s="5">
        <f>O593-O1278</f>
        <v>-2.4865115753037261E-2</v>
      </c>
      <c r="Q593" s="8">
        <f t="shared" si="62"/>
        <v>6.1827398141194175E-4</v>
      </c>
      <c r="S593" t="s">
        <v>645</v>
      </c>
      <c r="T593">
        <v>2.63</v>
      </c>
      <c r="U593" s="29">
        <f t="shared" si="59"/>
        <v>-2.5925925925926019E-2</v>
      </c>
      <c r="V593" s="5">
        <f>U593-V1274</f>
        <v>-2.7662116701633058E-2</v>
      </c>
      <c r="X593" t="s">
        <v>643</v>
      </c>
      <c r="Y593">
        <v>1.68</v>
      </c>
      <c r="Z593" s="48">
        <f t="shared" si="60"/>
        <v>-2.3255813953488413E-2</v>
      </c>
      <c r="AA593" s="5">
        <f>Z593-Y1274</f>
        <v>-2.7473133422762547E-2</v>
      </c>
      <c r="AD593" t="s">
        <v>645</v>
      </c>
      <c r="AE593">
        <v>49.45</v>
      </c>
      <c r="AF593" s="29">
        <f t="shared" si="61"/>
        <v>-2.1179730799683272E-2</v>
      </c>
    </row>
    <row r="594" spans="1:32">
      <c r="A594" s="3" t="s">
        <v>649</v>
      </c>
      <c r="B594" s="222">
        <v>26.89</v>
      </c>
      <c r="C594" s="227">
        <f t="shared" ref="C594:C657" si="63">B594/B593-1</f>
        <v>-2.4664490388103033E-2</v>
      </c>
      <c r="D594" s="5">
        <f>C594-C1275</f>
        <v>-2.4742535957661922E-2</v>
      </c>
      <c r="E594" s="1"/>
      <c r="F594" s="8"/>
      <c r="H594" t="s">
        <v>648</v>
      </c>
      <c r="I594">
        <v>14.16</v>
      </c>
      <c r="J594" s="227">
        <f t="shared" si="57"/>
        <v>-2.344827586206899E-2</v>
      </c>
      <c r="K594" s="5">
        <f>J594-J1276</f>
        <v>-2.5584231777678948E-2</v>
      </c>
      <c r="M594" s="240" t="s">
        <v>646</v>
      </c>
      <c r="N594">
        <v>3640.47</v>
      </c>
      <c r="O594" s="227">
        <f t="shared" si="58"/>
        <v>1.5297214986529584E-2</v>
      </c>
      <c r="P594" s="5">
        <f>O594-O1278</f>
        <v>1.5662972187442756E-2</v>
      </c>
      <c r="Q594" s="8">
        <f t="shared" si="62"/>
        <v>2.4532869774460532E-4</v>
      </c>
      <c r="S594" t="s">
        <v>646</v>
      </c>
      <c r="T594">
        <v>2.56</v>
      </c>
      <c r="U594" s="29">
        <f t="shared" si="59"/>
        <v>-2.6615969581748944E-2</v>
      </c>
      <c r="V594" s="5">
        <f>U594-V1274</f>
        <v>-2.8352160357455983E-2</v>
      </c>
      <c r="X594" t="s">
        <v>644</v>
      </c>
      <c r="Y594">
        <v>1.77</v>
      </c>
      <c r="Z594" s="48">
        <f t="shared" si="60"/>
        <v>5.3571428571428603E-2</v>
      </c>
      <c r="AA594" s="5">
        <f>Z594-Y1274</f>
        <v>4.9354109102154473E-2</v>
      </c>
      <c r="AD594" t="s">
        <v>646</v>
      </c>
      <c r="AE594">
        <v>49.84</v>
      </c>
      <c r="AF594" s="29">
        <f t="shared" si="61"/>
        <v>7.8867542972700377E-3</v>
      </c>
    </row>
    <row r="595" spans="1:32">
      <c r="A595" s="3" t="s">
        <v>650</v>
      </c>
      <c r="B595" s="222">
        <v>27.82</v>
      </c>
      <c r="C595" s="227">
        <f t="shared" si="63"/>
        <v>3.4585347712904335E-2</v>
      </c>
      <c r="D595" s="5">
        <f>C595-C1275</f>
        <v>3.4507302143345443E-2</v>
      </c>
      <c r="E595" s="1"/>
      <c r="F595" s="8"/>
      <c r="H595" t="s">
        <v>649</v>
      </c>
      <c r="I595">
        <v>13.52</v>
      </c>
      <c r="J595" s="227">
        <f t="shared" si="57"/>
        <v>-4.5197740112994378E-2</v>
      </c>
      <c r="K595" s="5">
        <f>J595-J1276</f>
        <v>-4.7333696028604336E-2</v>
      </c>
      <c r="M595" s="240" t="s">
        <v>647</v>
      </c>
      <c r="N595">
        <v>3719.04</v>
      </c>
      <c r="O595" s="227">
        <f t="shared" si="58"/>
        <v>2.158237809953123E-2</v>
      </c>
      <c r="P595" s="5">
        <f>O595-O1278</f>
        <v>2.1948135300444403E-2</v>
      </c>
      <c r="Q595" s="8">
        <f t="shared" si="62"/>
        <v>4.8172064316661371E-4</v>
      </c>
      <c r="S595" t="s">
        <v>647</v>
      </c>
      <c r="T595">
        <v>2.81</v>
      </c>
      <c r="U595" s="29">
        <f t="shared" si="59"/>
        <v>9.765625E-2</v>
      </c>
      <c r="V595" s="5">
        <f>U595-V1274</f>
        <v>9.5920059224292961E-2</v>
      </c>
      <c r="X595" s="1">
        <v>44905</v>
      </c>
      <c r="Y595">
        <v>1.79</v>
      </c>
      <c r="Z595" s="48">
        <f t="shared" si="60"/>
        <v>1.1299435028248705E-2</v>
      </c>
      <c r="AA595" s="5">
        <f>Z595-Y1274</f>
        <v>7.0821155589745714E-3</v>
      </c>
      <c r="AD595" t="s">
        <v>647</v>
      </c>
      <c r="AE595">
        <v>52.7</v>
      </c>
      <c r="AF595" s="29">
        <f t="shared" si="61"/>
        <v>5.7383627608346588E-2</v>
      </c>
    </row>
    <row r="596" spans="1:32">
      <c r="A596" s="3" t="s">
        <v>651</v>
      </c>
      <c r="B596" s="222">
        <v>28.58</v>
      </c>
      <c r="C596" s="227">
        <f t="shared" si="63"/>
        <v>2.7318475916606744E-2</v>
      </c>
      <c r="D596" s="5">
        <f>C596-C1275</f>
        <v>2.7240430347047855E-2</v>
      </c>
      <c r="E596" s="1"/>
      <c r="F596" s="8"/>
      <c r="H596" t="s">
        <v>650</v>
      </c>
      <c r="I596">
        <v>13.99</v>
      </c>
      <c r="J596" s="227">
        <f t="shared" ref="J596:J659" si="64">I596/I595-1</f>
        <v>3.4763313609467605E-2</v>
      </c>
      <c r="K596" s="5">
        <f>J596-J1276</f>
        <v>3.2627357693857648E-2</v>
      </c>
      <c r="M596" s="240" t="s">
        <v>648</v>
      </c>
      <c r="N596">
        <v>3647.29</v>
      </c>
      <c r="O596" s="227">
        <f t="shared" si="58"/>
        <v>-1.9292613147478876E-2</v>
      </c>
      <c r="P596" s="5">
        <f>O596-O1278</f>
        <v>-1.8926855946565704E-2</v>
      </c>
      <c r="Q596" s="8">
        <f t="shared" si="62"/>
        <v>3.5822587602204954E-4</v>
      </c>
      <c r="S596" t="s">
        <v>648</v>
      </c>
      <c r="T596">
        <v>2.72</v>
      </c>
      <c r="U596" s="29">
        <f t="shared" si="59"/>
        <v>-3.2028469750889577E-2</v>
      </c>
      <c r="V596" s="5">
        <f>U596-V1274</f>
        <v>-3.3764660526596615E-2</v>
      </c>
      <c r="X596" s="1">
        <v>44875</v>
      </c>
      <c r="Y596">
        <v>1.71</v>
      </c>
      <c r="Z596" s="48">
        <f t="shared" si="60"/>
        <v>-4.4692737430167662E-2</v>
      </c>
      <c r="AA596" s="5">
        <f>Z596-Y1274</f>
        <v>-4.8910056899441792E-2</v>
      </c>
      <c r="AD596" t="s">
        <v>648</v>
      </c>
      <c r="AE596">
        <v>51.15</v>
      </c>
      <c r="AF596" s="29">
        <f t="shared" si="61"/>
        <v>-2.941176470588247E-2</v>
      </c>
    </row>
    <row r="597" spans="1:32">
      <c r="A597" s="3" t="s">
        <v>652</v>
      </c>
      <c r="B597" s="222">
        <v>30.47</v>
      </c>
      <c r="C597" s="227">
        <f t="shared" si="63"/>
        <v>6.6130160951714423E-2</v>
      </c>
      <c r="D597" s="5">
        <f>C597-C1275</f>
        <v>6.6052115382155538E-2</v>
      </c>
      <c r="E597" s="1"/>
      <c r="F597" s="8"/>
      <c r="H597" t="s">
        <v>651</v>
      </c>
      <c r="I597">
        <v>14.69</v>
      </c>
      <c r="J597" s="227">
        <f t="shared" si="64"/>
        <v>5.003573981415288E-2</v>
      </c>
      <c r="K597" s="5">
        <f>J597-J1276</f>
        <v>4.7899783898542922E-2</v>
      </c>
      <c r="M597" s="240" t="s">
        <v>649</v>
      </c>
      <c r="N597">
        <v>3655.04</v>
      </c>
      <c r="O597" s="227">
        <f t="shared" si="58"/>
        <v>2.1248653109569027E-3</v>
      </c>
      <c r="P597" s="5">
        <f>O597-O1278</f>
        <v>2.4906225118700742E-3</v>
      </c>
      <c r="Q597" s="8">
        <f t="shared" si="62"/>
        <v>6.2032004966339977E-6</v>
      </c>
      <c r="S597" t="s">
        <v>649</v>
      </c>
      <c r="T597">
        <v>2.81</v>
      </c>
      <c r="U597" s="29">
        <f t="shared" si="59"/>
        <v>3.308823529411753E-2</v>
      </c>
      <c r="V597" s="5">
        <f>U597-V1274</f>
        <v>3.1352044518410491E-2</v>
      </c>
      <c r="X597" s="1">
        <v>44844</v>
      </c>
      <c r="Y597">
        <v>1.83</v>
      </c>
      <c r="Z597" s="48">
        <f t="shared" si="60"/>
        <v>7.0175438596491224E-2</v>
      </c>
      <c r="AA597" s="5">
        <f>Z597-Y1274</f>
        <v>6.5958119127217094E-2</v>
      </c>
      <c r="AD597" t="s">
        <v>649</v>
      </c>
      <c r="AE597">
        <v>50.73</v>
      </c>
      <c r="AF597" s="29">
        <f t="shared" si="61"/>
        <v>-8.2111436950147443E-3</v>
      </c>
    </row>
    <row r="598" spans="1:32">
      <c r="A598" s="3" t="s">
        <v>653</v>
      </c>
      <c r="B598" s="222">
        <v>31.49</v>
      </c>
      <c r="C598" s="227">
        <f t="shared" si="63"/>
        <v>3.3475549721037057E-2</v>
      </c>
      <c r="D598" s="5">
        <f>C598-C1275</f>
        <v>3.3397504151478165E-2</v>
      </c>
      <c r="E598" s="1"/>
      <c r="F598" s="8"/>
      <c r="H598" t="s">
        <v>652</v>
      </c>
      <c r="I598">
        <v>15.94</v>
      </c>
      <c r="J598" s="227">
        <f t="shared" si="64"/>
        <v>8.5091899251191316E-2</v>
      </c>
      <c r="K598" s="5">
        <f>J598-J1276</f>
        <v>8.2955943335581359E-2</v>
      </c>
      <c r="M598" s="240" t="s">
        <v>650</v>
      </c>
      <c r="N598">
        <v>3693.23</v>
      </c>
      <c r="O598" s="227">
        <f t="shared" ref="O598:O661" si="65">N598/N597-1</f>
        <v>1.0448586061985621E-2</v>
      </c>
      <c r="P598" s="5">
        <f>O598-O1278</f>
        <v>1.0814343262898792E-2</v>
      </c>
      <c r="Q598" s="8">
        <f t="shared" si="62"/>
        <v>1.1695002020780449E-4</v>
      </c>
      <c r="S598" t="s">
        <v>650</v>
      </c>
      <c r="T598">
        <v>2.75</v>
      </c>
      <c r="U598" s="29">
        <f t="shared" ref="U598:U661" si="66">T598/T597-1</f>
        <v>-2.1352313167259829E-2</v>
      </c>
      <c r="V598" s="5">
        <f>U598-V1274</f>
        <v>-2.3088503942966868E-2</v>
      </c>
      <c r="X598" s="1">
        <v>44752</v>
      </c>
      <c r="Y598">
        <v>1.89</v>
      </c>
      <c r="Z598" s="48">
        <f t="shared" ref="Z598:Z661" si="67">Y598/Y597-1</f>
        <v>3.2786885245901454E-2</v>
      </c>
      <c r="AA598" s="5">
        <f>Z598-Y1274</f>
        <v>2.856956577662732E-2</v>
      </c>
      <c r="AD598" t="s">
        <v>650</v>
      </c>
      <c r="AE598">
        <v>52.01</v>
      </c>
      <c r="AF598" s="29">
        <f t="shared" ref="AF598:AF661" si="68">AE598/AE597-1</f>
        <v>2.5231618371772235E-2</v>
      </c>
    </row>
    <row r="599" spans="1:32">
      <c r="A599" s="3" t="s">
        <v>654</v>
      </c>
      <c r="B599" s="222">
        <v>31.49</v>
      </c>
      <c r="C599" s="227">
        <f t="shared" si="63"/>
        <v>0</v>
      </c>
      <c r="D599" s="5">
        <f>C599-C1275</f>
        <v>-7.8045569558889217E-5</v>
      </c>
      <c r="E599" s="1"/>
      <c r="F599" s="8"/>
      <c r="H599" t="s">
        <v>653</v>
      </c>
      <c r="I599">
        <v>16.87</v>
      </c>
      <c r="J599" s="227">
        <f t="shared" si="64"/>
        <v>5.8343789209535757E-2</v>
      </c>
      <c r="K599" s="5">
        <f>J599-J1276</f>
        <v>5.6207833293925799E-2</v>
      </c>
      <c r="M599" s="240" t="s">
        <v>651</v>
      </c>
      <c r="N599">
        <v>3757.99</v>
      </c>
      <c r="O599" s="227">
        <f t="shared" si="65"/>
        <v>1.753478662309127E-2</v>
      </c>
      <c r="P599" s="5">
        <f>O599-O1278</f>
        <v>1.7900543824004442E-2</v>
      </c>
      <c r="Q599" s="8">
        <f t="shared" ref="Q599:Q662" si="69">P599*P599</f>
        <v>3.2042946919510356E-4</v>
      </c>
      <c r="S599" t="s">
        <v>651</v>
      </c>
      <c r="T599">
        <v>2.7</v>
      </c>
      <c r="U599" s="29">
        <f t="shared" si="66"/>
        <v>-1.8181818181818077E-2</v>
      </c>
      <c r="V599" s="5">
        <f>U599-V1274</f>
        <v>-1.9918008957525116E-2</v>
      </c>
      <c r="X599" s="1">
        <v>44722</v>
      </c>
      <c r="Y599">
        <v>2</v>
      </c>
      <c r="Z599" s="48">
        <f t="shared" si="67"/>
        <v>5.8201058201058364E-2</v>
      </c>
      <c r="AA599" s="5">
        <f>Z599-Y1274</f>
        <v>5.3983738731784234E-2</v>
      </c>
      <c r="AD599" t="s">
        <v>651</v>
      </c>
      <c r="AE599">
        <v>54</v>
      </c>
      <c r="AF599" s="29">
        <f t="shared" si="68"/>
        <v>3.8261872716785383E-2</v>
      </c>
    </row>
    <row r="600" spans="1:32">
      <c r="A600" s="3" t="s">
        <v>655</v>
      </c>
      <c r="B600" s="222">
        <v>31.93</v>
      </c>
      <c r="C600" s="227">
        <f t="shared" si="63"/>
        <v>1.3972689742775435E-2</v>
      </c>
      <c r="D600" s="5">
        <f>C600-C1275</f>
        <v>1.3894644173216546E-2</v>
      </c>
      <c r="F600" s="8"/>
      <c r="H600" t="s">
        <v>654</v>
      </c>
      <c r="I600">
        <v>16.239999999999998</v>
      </c>
      <c r="J600" s="227">
        <f t="shared" si="64"/>
        <v>-3.7344398340249163E-2</v>
      </c>
      <c r="K600" s="5">
        <f>J600-J1276</f>
        <v>-3.9480354255859121E-2</v>
      </c>
      <c r="M600" s="240" t="s">
        <v>652</v>
      </c>
      <c r="N600">
        <v>3789.93</v>
      </c>
      <c r="O600" s="227">
        <f t="shared" si="65"/>
        <v>8.4992243193835471E-3</v>
      </c>
      <c r="P600" s="5">
        <f>O600-O1278</f>
        <v>8.8649815202967181E-3</v>
      </c>
      <c r="Q600" s="8">
        <f t="shared" si="69"/>
        <v>7.858789735520231E-5</v>
      </c>
      <c r="S600" t="s">
        <v>652</v>
      </c>
      <c r="T600">
        <v>2.84</v>
      </c>
      <c r="U600" s="29">
        <f t="shared" si="66"/>
        <v>5.1851851851851816E-2</v>
      </c>
      <c r="V600" s="5">
        <f>U600-V1274</f>
        <v>5.0115661076144777E-2</v>
      </c>
      <c r="X600" s="1">
        <v>44691</v>
      </c>
      <c r="Y600">
        <v>2.02</v>
      </c>
      <c r="Z600" s="48">
        <f t="shared" si="67"/>
        <v>1.0000000000000009E-2</v>
      </c>
      <c r="AA600" s="5">
        <f>Z600-Y1274</f>
        <v>5.7826805307258748E-3</v>
      </c>
      <c r="AD600" t="s">
        <v>652</v>
      </c>
      <c r="AE600">
        <v>57.17</v>
      </c>
      <c r="AF600" s="29">
        <f t="shared" si="68"/>
        <v>5.8703703703703702E-2</v>
      </c>
    </row>
    <row r="601" spans="1:32">
      <c r="A601" s="3" t="s">
        <v>656</v>
      </c>
      <c r="B601" s="222">
        <v>33.130000000000003</v>
      </c>
      <c r="C601" s="227">
        <f t="shared" si="63"/>
        <v>3.7582211086752304E-2</v>
      </c>
      <c r="D601" s="5">
        <f>C601-C1275</f>
        <v>3.7504165517193412E-2</v>
      </c>
      <c r="F601" s="8"/>
      <c r="H601" t="s">
        <v>655</v>
      </c>
      <c r="I601">
        <v>16.27</v>
      </c>
      <c r="J601" s="227">
        <f t="shared" si="64"/>
        <v>1.847290640394128E-3</v>
      </c>
      <c r="K601" s="5">
        <f>J601-J1276</f>
        <v>-2.8866527521582974E-4</v>
      </c>
      <c r="M601" s="240" t="s">
        <v>653</v>
      </c>
      <c r="N601">
        <v>3855.93</v>
      </c>
      <c r="O601" s="227">
        <f t="shared" si="65"/>
        <v>1.7414569662236534E-2</v>
      </c>
      <c r="P601" s="5">
        <f>O601-O1278</f>
        <v>1.7780326863149707E-2</v>
      </c>
      <c r="Q601" s="8">
        <f t="shared" si="69"/>
        <v>3.161400233604431E-4</v>
      </c>
      <c r="S601" t="s">
        <v>653</v>
      </c>
      <c r="T601">
        <v>2.95</v>
      </c>
      <c r="U601" s="29">
        <f t="shared" si="66"/>
        <v>3.8732394366197243E-2</v>
      </c>
      <c r="V601" s="5">
        <f>U601-V1274</f>
        <v>3.6996203590490204E-2</v>
      </c>
      <c r="X601" s="1">
        <v>44661</v>
      </c>
      <c r="Y601">
        <v>2.0499999999999998</v>
      </c>
      <c r="Z601" s="48">
        <f t="shared" si="67"/>
        <v>1.4851485148514865E-2</v>
      </c>
      <c r="AA601" s="5">
        <f>Z601-Y1274</f>
        <v>1.0634165679240731E-2</v>
      </c>
      <c r="AD601" t="s">
        <v>653</v>
      </c>
      <c r="AE601">
        <v>57.66</v>
      </c>
      <c r="AF601" s="29">
        <f t="shared" si="68"/>
        <v>8.5709288088158253E-3</v>
      </c>
    </row>
    <row r="602" spans="1:32">
      <c r="A602" s="3" t="s">
        <v>657</v>
      </c>
      <c r="B602" s="222">
        <v>33.049999999999997</v>
      </c>
      <c r="C602" s="227">
        <f t="shared" si="63"/>
        <v>-2.4147298520980076E-3</v>
      </c>
      <c r="D602" s="5">
        <f>C602-C1275</f>
        <v>-2.4927754216568969E-3</v>
      </c>
      <c r="F602" s="8"/>
      <c r="H602" t="s">
        <v>656</v>
      </c>
      <c r="I602">
        <v>16.989999999999998</v>
      </c>
      <c r="J602" s="227">
        <f t="shared" si="64"/>
        <v>4.4253226797787315E-2</v>
      </c>
      <c r="K602" s="5">
        <f>J602-J1276</f>
        <v>4.2117270882177357E-2</v>
      </c>
      <c r="M602" s="240" t="s">
        <v>654</v>
      </c>
      <c r="N602">
        <v>3899.89</v>
      </c>
      <c r="O602" s="227">
        <f t="shared" si="65"/>
        <v>1.1400621899256391E-2</v>
      </c>
      <c r="P602" s="5">
        <f>O602-O1278</f>
        <v>1.1766379100169562E-2</v>
      </c>
      <c r="Q602" s="8">
        <f t="shared" si="69"/>
        <v>1.3844767712890707E-4</v>
      </c>
      <c r="S602" t="s">
        <v>654</v>
      </c>
      <c r="T602">
        <v>3.14</v>
      </c>
      <c r="U602" s="29">
        <f t="shared" si="66"/>
        <v>6.4406779661016822E-2</v>
      </c>
      <c r="V602" s="5">
        <f>U602-V1274</f>
        <v>6.2670588885309783E-2</v>
      </c>
      <c r="X602" s="1">
        <v>44630</v>
      </c>
      <c r="Y602">
        <v>1.94</v>
      </c>
      <c r="Z602" s="48">
        <f t="shared" si="67"/>
        <v>-5.365853658536579E-2</v>
      </c>
      <c r="AA602" s="5">
        <f>Z602-Y1274</f>
        <v>-5.7875856054639921E-2</v>
      </c>
      <c r="AD602" t="s">
        <v>654</v>
      </c>
      <c r="AE602">
        <v>58.88</v>
      </c>
      <c r="AF602" s="29">
        <f t="shared" si="68"/>
        <v>2.1158515435310443E-2</v>
      </c>
    </row>
    <row r="603" spans="1:32">
      <c r="A603" s="3" t="s">
        <v>658</v>
      </c>
      <c r="B603" s="222">
        <v>31.32</v>
      </c>
      <c r="C603" s="227">
        <f t="shared" si="63"/>
        <v>-5.2344931921331272E-2</v>
      </c>
      <c r="D603" s="5">
        <f>C603-C1275</f>
        <v>-5.2422977490890164E-2</v>
      </c>
      <c r="F603" s="8"/>
      <c r="H603" t="s">
        <v>657</v>
      </c>
      <c r="I603">
        <v>17.11</v>
      </c>
      <c r="J603" s="227">
        <f t="shared" si="64"/>
        <v>7.0629782224838067E-3</v>
      </c>
      <c r="K603" s="5">
        <f>J603-J1276</f>
        <v>4.9270223068738489E-3</v>
      </c>
      <c r="M603" s="240" t="s">
        <v>655</v>
      </c>
      <c r="N603">
        <v>3873.33</v>
      </c>
      <c r="O603" s="227">
        <f t="shared" si="65"/>
        <v>-6.8104484998294801E-3</v>
      </c>
      <c r="P603" s="5">
        <f>O603-O1278</f>
        <v>-6.4446912989163082E-3</v>
      </c>
      <c r="Q603" s="8">
        <f t="shared" si="69"/>
        <v>4.153404593832757E-5</v>
      </c>
      <c r="S603" t="s">
        <v>655</v>
      </c>
      <c r="T603">
        <v>2.98</v>
      </c>
      <c r="U603" s="29">
        <f t="shared" si="66"/>
        <v>-5.0955414012738842E-2</v>
      </c>
      <c r="V603" s="5">
        <f>U603-V1274</f>
        <v>-5.2691604788445881E-2</v>
      </c>
      <c r="X603" t="s">
        <v>645</v>
      </c>
      <c r="Y603">
        <v>1.837</v>
      </c>
      <c r="Z603" s="48">
        <f t="shared" si="67"/>
        <v>-5.3092783505154673E-2</v>
      </c>
      <c r="AA603" s="5">
        <f>Z603-Y1274</f>
        <v>-5.7310102974428803E-2</v>
      </c>
      <c r="AD603" t="s">
        <v>655</v>
      </c>
      <c r="AE603">
        <v>59.13</v>
      </c>
      <c r="AF603" s="29">
        <f t="shared" si="68"/>
        <v>4.245923913043459E-3</v>
      </c>
    </row>
    <row r="604" spans="1:32">
      <c r="A604" s="220">
        <v>44904</v>
      </c>
      <c r="B604" s="222">
        <v>32.5</v>
      </c>
      <c r="C604" s="227">
        <f t="shared" si="63"/>
        <v>3.7675606641123904E-2</v>
      </c>
      <c r="D604" s="5">
        <f>C604-C1275</f>
        <v>3.7597561071565012E-2</v>
      </c>
      <c r="F604" s="8"/>
      <c r="H604" t="s">
        <v>658</v>
      </c>
      <c r="I604">
        <v>16.88</v>
      </c>
      <c r="J604" s="227">
        <f t="shared" si="64"/>
        <v>-1.3442431326709525E-2</v>
      </c>
      <c r="K604" s="5">
        <f>J604-J1276</f>
        <v>-1.5578387242319483E-2</v>
      </c>
      <c r="M604" s="240" t="s">
        <v>656</v>
      </c>
      <c r="N604">
        <v>3901.35</v>
      </c>
      <c r="O604" s="227">
        <f t="shared" si="65"/>
        <v>7.2340853993850818E-3</v>
      </c>
      <c r="P604" s="5">
        <f>O604-O1278</f>
        <v>7.5998426002982537E-3</v>
      </c>
      <c r="Q604" s="8">
        <f t="shared" si="69"/>
        <v>5.775760754930812E-5</v>
      </c>
      <c r="S604" t="s">
        <v>656</v>
      </c>
      <c r="T604">
        <v>2.95</v>
      </c>
      <c r="U604" s="29">
        <f t="shared" si="66"/>
        <v>-1.0067114093959662E-2</v>
      </c>
      <c r="V604" s="5">
        <f>U604-V1274</f>
        <v>-1.18033048696667E-2</v>
      </c>
      <c r="X604" t="s">
        <v>646</v>
      </c>
      <c r="Y604">
        <v>1.9</v>
      </c>
      <c r="Z604" s="48">
        <f t="shared" si="67"/>
        <v>3.4295046271094254E-2</v>
      </c>
      <c r="AA604" s="5">
        <f>Z604-Y1274</f>
        <v>3.007772680182012E-2</v>
      </c>
      <c r="AD604" t="s">
        <v>656</v>
      </c>
      <c r="AE604">
        <v>64.41</v>
      </c>
      <c r="AF604" s="29">
        <f t="shared" si="68"/>
        <v>8.9294774226281071E-2</v>
      </c>
    </row>
    <row r="605" spans="1:32">
      <c r="A605" s="220">
        <v>44813</v>
      </c>
      <c r="B605" s="222">
        <v>31.78</v>
      </c>
      <c r="C605" s="227">
        <f t="shared" si="63"/>
        <v>-2.215384615384608E-2</v>
      </c>
      <c r="D605" s="5">
        <f>C605-C1275</f>
        <v>-2.2231891723404968E-2</v>
      </c>
      <c r="F605" s="8"/>
      <c r="H605" s="1">
        <v>44904</v>
      </c>
      <c r="I605">
        <v>18.190000000000001</v>
      </c>
      <c r="J605" s="227">
        <f t="shared" si="64"/>
        <v>7.7606635071090224E-2</v>
      </c>
      <c r="K605" s="5">
        <f>J605-J1276</f>
        <v>7.5470679155480266E-2</v>
      </c>
      <c r="M605" s="240" t="s">
        <v>657</v>
      </c>
      <c r="N605">
        <v>3946.01</v>
      </c>
      <c r="O605" s="227">
        <f t="shared" si="65"/>
        <v>1.1447319517603027E-2</v>
      </c>
      <c r="P605" s="5">
        <f>O605-O1278</f>
        <v>1.1813076718516198E-2</v>
      </c>
      <c r="Q605" s="8">
        <f t="shared" si="69"/>
        <v>1.3954878155754945E-4</v>
      </c>
      <c r="S605" t="s">
        <v>657</v>
      </c>
      <c r="T605">
        <v>3.05</v>
      </c>
      <c r="U605" s="29">
        <f t="shared" si="66"/>
        <v>3.3898305084745672E-2</v>
      </c>
      <c r="V605" s="5">
        <f>U605-V1274</f>
        <v>3.2162114309038634E-2</v>
      </c>
      <c r="X605" t="s">
        <v>647</v>
      </c>
      <c r="Y605">
        <v>1.97</v>
      </c>
      <c r="Z605" s="48">
        <f t="shared" si="67"/>
        <v>3.6842105263158009E-2</v>
      </c>
      <c r="AA605" s="5">
        <f>Z605-Y1274</f>
        <v>3.2624785793883879E-2</v>
      </c>
      <c r="AD605" t="s">
        <v>657</v>
      </c>
      <c r="AE605">
        <v>64.53</v>
      </c>
      <c r="AF605" s="29">
        <f t="shared" si="68"/>
        <v>1.8630647414998869E-3</v>
      </c>
    </row>
    <row r="606" spans="1:32">
      <c r="A606" s="220">
        <v>44782</v>
      </c>
      <c r="B606" s="222">
        <v>30.68</v>
      </c>
      <c r="C606" s="227">
        <f t="shared" si="63"/>
        <v>-3.4612964128382662E-2</v>
      </c>
      <c r="D606" s="5">
        <f>C606-C1275</f>
        <v>-3.4691009697941554E-2</v>
      </c>
      <c r="F606" s="8"/>
      <c r="H606" s="1">
        <v>44813</v>
      </c>
      <c r="I606">
        <v>18.11</v>
      </c>
      <c r="J606" s="227">
        <f t="shared" si="64"/>
        <v>-4.3980208905993745E-3</v>
      </c>
      <c r="K606" s="5">
        <f>J606-J1276</f>
        <v>-6.5339768062093323E-3</v>
      </c>
      <c r="M606" s="240" t="s">
        <v>658</v>
      </c>
      <c r="N606">
        <v>3932.69</v>
      </c>
      <c r="O606" s="227">
        <f t="shared" si="65"/>
        <v>-3.3755616432802338E-3</v>
      </c>
      <c r="P606" s="5">
        <f>O606-O1278</f>
        <v>-3.0098044423670623E-3</v>
      </c>
      <c r="Q606" s="8">
        <f t="shared" si="69"/>
        <v>9.0589227812925035E-6</v>
      </c>
      <c r="S606" t="s">
        <v>658</v>
      </c>
      <c r="T606">
        <v>3.09</v>
      </c>
      <c r="U606" s="29">
        <f t="shared" si="66"/>
        <v>1.3114754098360715E-2</v>
      </c>
      <c r="V606" s="5">
        <f>U606-V1274</f>
        <v>1.1378563322653676E-2</v>
      </c>
      <c r="X606" t="s">
        <v>648</v>
      </c>
      <c r="Y606">
        <v>1.95</v>
      </c>
      <c r="Z606" s="48">
        <f t="shared" si="67"/>
        <v>-1.0152284263959421E-2</v>
      </c>
      <c r="AA606" s="5">
        <f>Z606-Y1274</f>
        <v>-1.4369603733233555E-2</v>
      </c>
      <c r="AD606" t="s">
        <v>658</v>
      </c>
      <c r="AE606">
        <v>62.07</v>
      </c>
      <c r="AF606" s="29">
        <f t="shared" si="68"/>
        <v>-3.8121803812180444E-2</v>
      </c>
    </row>
    <row r="607" spans="1:32">
      <c r="A607" s="220">
        <v>44751</v>
      </c>
      <c r="B607" s="222">
        <v>30.03</v>
      </c>
      <c r="C607" s="227">
        <f t="shared" si="63"/>
        <v>-2.1186440677966045E-2</v>
      </c>
      <c r="D607" s="5">
        <f>C607-C1275</f>
        <v>-2.1264486247524934E-2</v>
      </c>
      <c r="F607" s="8"/>
      <c r="H607" s="1">
        <v>44782</v>
      </c>
      <c r="I607">
        <v>17.170000000000002</v>
      </c>
      <c r="J607" s="227">
        <f t="shared" si="64"/>
        <v>-5.1905024848150072E-2</v>
      </c>
      <c r="K607" s="5">
        <f>J607-J1276</f>
        <v>-5.404098076376003E-2</v>
      </c>
      <c r="M607" s="241">
        <v>44904</v>
      </c>
      <c r="N607">
        <v>4110.41</v>
      </c>
      <c r="O607" s="227">
        <f t="shared" si="65"/>
        <v>4.519044216554069E-2</v>
      </c>
      <c r="P607" s="5">
        <f>O607-O1278</f>
        <v>4.5556199366453859E-2</v>
      </c>
      <c r="Q607" s="8">
        <f t="shared" si="69"/>
        <v>2.0753673007160912E-3</v>
      </c>
      <c r="S607" s="1">
        <v>44904</v>
      </c>
      <c r="T607">
        <v>3.38</v>
      </c>
      <c r="U607" s="29">
        <f t="shared" si="66"/>
        <v>9.3851132686084249E-2</v>
      </c>
      <c r="V607" s="5">
        <f>U607-V1274</f>
        <v>9.211494191037721E-2</v>
      </c>
      <c r="X607" t="s">
        <v>649</v>
      </c>
      <c r="Y607">
        <v>1.93</v>
      </c>
      <c r="Z607" s="48">
        <f t="shared" si="67"/>
        <v>-1.025641025641022E-2</v>
      </c>
      <c r="AA607" s="5">
        <f>Z607-Y1274</f>
        <v>-1.4473729725684354E-2</v>
      </c>
      <c r="AD607" s="1">
        <v>44904</v>
      </c>
      <c r="AE607">
        <v>65.87</v>
      </c>
      <c r="AF607" s="29">
        <f t="shared" si="68"/>
        <v>6.1221201868857822E-2</v>
      </c>
    </row>
    <row r="608" spans="1:32">
      <c r="A608" s="220">
        <v>44721</v>
      </c>
      <c r="B608" s="222">
        <v>28.89</v>
      </c>
      <c r="C608" s="227">
        <f t="shared" si="63"/>
        <v>-3.7962037962038009E-2</v>
      </c>
      <c r="D608" s="5">
        <f>C608-C1275</f>
        <v>-3.8040083531596901E-2</v>
      </c>
      <c r="F608" s="8"/>
      <c r="H608" s="1">
        <v>44751</v>
      </c>
      <c r="I608">
        <v>14.69</v>
      </c>
      <c r="J608" s="227">
        <f t="shared" si="64"/>
        <v>-0.14443797320908569</v>
      </c>
      <c r="K608" s="5">
        <f>J608-J1276</f>
        <v>-0.14657392912469563</v>
      </c>
      <c r="M608" s="241">
        <v>44813</v>
      </c>
      <c r="N608">
        <v>4067.36</v>
      </c>
      <c r="O608" s="227">
        <f t="shared" si="65"/>
        <v>-1.0473407762242593E-2</v>
      </c>
      <c r="P608" s="5">
        <f>O608-O1278</f>
        <v>-1.0107650561329421E-2</v>
      </c>
      <c r="Q608" s="8">
        <f t="shared" si="69"/>
        <v>1.0216459986994296E-4</v>
      </c>
      <c r="S608" s="1">
        <v>44813</v>
      </c>
      <c r="T608">
        <v>3.15</v>
      </c>
      <c r="U608" s="29">
        <f t="shared" si="66"/>
        <v>-6.8047337278106523E-2</v>
      </c>
      <c r="V608" s="5">
        <f>U608-V1274</f>
        <v>-6.9783528053813562E-2</v>
      </c>
      <c r="X608" t="s">
        <v>650</v>
      </c>
      <c r="Y608">
        <v>1.98</v>
      </c>
      <c r="Z608" s="48">
        <f t="shared" si="67"/>
        <v>2.5906735751295429E-2</v>
      </c>
      <c r="AA608" s="5">
        <f>Z608-Y1274</f>
        <v>2.1689416282021295E-2</v>
      </c>
      <c r="AD608" s="1">
        <v>44813</v>
      </c>
      <c r="AE608">
        <v>64.31</v>
      </c>
      <c r="AF608" s="29">
        <f t="shared" si="68"/>
        <v>-2.3683011993320235E-2</v>
      </c>
    </row>
    <row r="609" spans="1:32">
      <c r="A609" s="220">
        <v>44601</v>
      </c>
      <c r="B609" s="222">
        <v>29.05</v>
      </c>
      <c r="C609" s="227">
        <f t="shared" si="63"/>
        <v>5.5382485289028338E-3</v>
      </c>
      <c r="D609" s="5">
        <f>C609-C1275</f>
        <v>5.4602029593439445E-3</v>
      </c>
      <c r="F609" s="8"/>
      <c r="H609" s="1">
        <v>44721</v>
      </c>
      <c r="I609">
        <v>13.97</v>
      </c>
      <c r="J609" s="227">
        <f t="shared" si="64"/>
        <v>-4.9012933968686112E-2</v>
      </c>
      <c r="K609" s="5">
        <f>J609-J1276</f>
        <v>-5.114888988429607E-2</v>
      </c>
      <c r="M609" s="241">
        <v>44782</v>
      </c>
      <c r="N609">
        <v>4006.18</v>
      </c>
      <c r="O609" s="227">
        <f t="shared" si="65"/>
        <v>-1.5041697808898191E-2</v>
      </c>
      <c r="P609" s="5">
        <f>O609-O1278</f>
        <v>-1.467594060798502E-2</v>
      </c>
      <c r="Q609" s="8">
        <f t="shared" si="69"/>
        <v>2.1538323272910371E-4</v>
      </c>
      <c r="S609" s="1">
        <v>44782</v>
      </c>
      <c r="T609">
        <v>3.09</v>
      </c>
      <c r="U609" s="29">
        <f t="shared" si="66"/>
        <v>-1.9047619047619091E-2</v>
      </c>
      <c r="V609" s="5">
        <f>U609-V1274</f>
        <v>-2.078380982332613E-2</v>
      </c>
      <c r="X609" t="s">
        <v>651</v>
      </c>
      <c r="Y609">
        <v>2.06</v>
      </c>
      <c r="Z609" s="48">
        <f t="shared" si="67"/>
        <v>4.0404040404040442E-2</v>
      </c>
      <c r="AA609" s="5">
        <f>Z609-Y1274</f>
        <v>3.6186720934766312E-2</v>
      </c>
      <c r="AD609" s="1">
        <v>44782</v>
      </c>
      <c r="AE609">
        <v>59.33</v>
      </c>
      <c r="AF609" s="29">
        <f t="shared" si="68"/>
        <v>-7.7437412533043148E-2</v>
      </c>
    </row>
    <row r="610" spans="1:32">
      <c r="A610" s="220">
        <v>44570</v>
      </c>
      <c r="B610" s="222">
        <v>28.92</v>
      </c>
      <c r="C610" s="227">
        <f t="shared" si="63"/>
        <v>-4.4750430292598287E-3</v>
      </c>
      <c r="D610" s="5">
        <f>C610-C1275</f>
        <v>-4.553088598818718E-3</v>
      </c>
      <c r="F610" s="8"/>
      <c r="H610" s="1">
        <v>44601</v>
      </c>
      <c r="I610">
        <v>14.6</v>
      </c>
      <c r="J610" s="227">
        <f t="shared" si="64"/>
        <v>4.509663564781663E-2</v>
      </c>
      <c r="K610" s="5">
        <f>J610-J1276</f>
        <v>4.2960679732206672E-2</v>
      </c>
      <c r="M610" s="241">
        <v>44751</v>
      </c>
      <c r="N610">
        <v>3979.87</v>
      </c>
      <c r="O610" s="227">
        <f t="shared" si="65"/>
        <v>-6.5673534389367738E-3</v>
      </c>
      <c r="P610" s="5">
        <f>O610-O1278</f>
        <v>-6.2015962380236019E-3</v>
      </c>
      <c r="Q610" s="8">
        <f t="shared" si="69"/>
        <v>3.8459795899468488E-5</v>
      </c>
      <c r="S610" s="1">
        <v>44751</v>
      </c>
      <c r="T610">
        <v>3.06</v>
      </c>
      <c r="U610" s="29">
        <f t="shared" si="66"/>
        <v>-9.7087378640775546E-3</v>
      </c>
      <c r="V610" s="5">
        <f>U610-V1274</f>
        <v>-1.1444928639784593E-2</v>
      </c>
      <c r="X610" t="s">
        <v>652</v>
      </c>
      <c r="Y610">
        <v>2.13</v>
      </c>
      <c r="Z610" s="48">
        <f t="shared" si="67"/>
        <v>3.398058252427183E-2</v>
      </c>
      <c r="AA610" s="5">
        <f>Z610-Y1274</f>
        <v>2.9763263054997696E-2</v>
      </c>
      <c r="AD610" s="1">
        <v>44751</v>
      </c>
      <c r="AE610">
        <v>59.12</v>
      </c>
      <c r="AF610" s="29">
        <f t="shared" si="68"/>
        <v>-3.539524692398488E-3</v>
      </c>
    </row>
    <row r="611" spans="1:32">
      <c r="A611" s="3" t="s">
        <v>659</v>
      </c>
      <c r="B611" s="222">
        <v>28.76</v>
      </c>
      <c r="C611" s="227">
        <f t="shared" si="63"/>
        <v>-5.5325034578146415E-3</v>
      </c>
      <c r="D611" s="5">
        <f>C611-C1275</f>
        <v>-5.6105490273735308E-3</v>
      </c>
      <c r="F611" s="8"/>
      <c r="H611" s="1">
        <v>44570</v>
      </c>
      <c r="I611">
        <v>14.67</v>
      </c>
      <c r="J611" s="227">
        <f t="shared" si="64"/>
        <v>4.794520547945158E-3</v>
      </c>
      <c r="K611" s="5">
        <f>J611-J1276</f>
        <v>2.6585646323352002E-3</v>
      </c>
      <c r="M611" s="241">
        <v>44721</v>
      </c>
      <c r="N611">
        <v>3908.19</v>
      </c>
      <c r="O611" s="227">
        <f t="shared" si="65"/>
        <v>-1.8010638538444645E-2</v>
      </c>
      <c r="P611" s="5">
        <f>O611-O1278</f>
        <v>-1.7644881337531473E-2</v>
      </c>
      <c r="Q611" s="8">
        <f t="shared" si="69"/>
        <v>3.1134183741556644E-4</v>
      </c>
      <c r="S611" s="1">
        <v>44721</v>
      </c>
      <c r="T611">
        <v>2.9</v>
      </c>
      <c r="U611" s="29">
        <f t="shared" si="66"/>
        <v>-5.2287581699346442E-2</v>
      </c>
      <c r="V611" s="5">
        <f>U611-V1274</f>
        <v>-5.402377247505348E-2</v>
      </c>
      <c r="X611" t="s">
        <v>653</v>
      </c>
      <c r="Y611">
        <v>2.23</v>
      </c>
      <c r="Z611" s="48">
        <f t="shared" si="67"/>
        <v>4.6948356807511749E-2</v>
      </c>
      <c r="AA611" s="5">
        <f>Z611-Y1274</f>
        <v>4.2731037338237618E-2</v>
      </c>
      <c r="AD611" s="1">
        <v>44721</v>
      </c>
      <c r="AE611">
        <v>58.23</v>
      </c>
      <c r="AF611" s="29">
        <f t="shared" si="68"/>
        <v>-1.5054127198917522E-2</v>
      </c>
    </row>
    <row r="612" spans="1:32">
      <c r="A612" s="3" t="s">
        <v>660</v>
      </c>
      <c r="B612" s="222">
        <v>28.71</v>
      </c>
      <c r="C612" s="227">
        <f t="shared" si="63"/>
        <v>-1.738525730180851E-3</v>
      </c>
      <c r="D612" s="5">
        <f>C612-C1275</f>
        <v>-1.8165712997397403E-3</v>
      </c>
      <c r="F612" s="8"/>
      <c r="H612" t="s">
        <v>659</v>
      </c>
      <c r="I612">
        <v>14.73</v>
      </c>
      <c r="J612" s="227">
        <f t="shared" si="64"/>
        <v>4.0899795501023739E-3</v>
      </c>
      <c r="K612" s="5">
        <f>J612-J1276</f>
        <v>1.9540236344924161E-3</v>
      </c>
      <c r="M612" s="241">
        <v>44601</v>
      </c>
      <c r="N612">
        <v>3924.26</v>
      </c>
      <c r="O612" s="227">
        <f t="shared" si="65"/>
        <v>4.1118778769713149E-3</v>
      </c>
      <c r="P612" s="5">
        <f>O612-O1278</f>
        <v>4.4776350778844868E-3</v>
      </c>
      <c r="Q612" s="8">
        <f t="shared" si="69"/>
        <v>2.0049215890701614E-5</v>
      </c>
      <c r="S612" s="1">
        <v>44601</v>
      </c>
      <c r="T612">
        <v>2.96</v>
      </c>
      <c r="U612" s="29">
        <f t="shared" si="66"/>
        <v>2.0689655172413834E-2</v>
      </c>
      <c r="V612" s="5">
        <f>U612-V1274</f>
        <v>1.8953464396706796E-2</v>
      </c>
      <c r="X612" t="s">
        <v>654</v>
      </c>
      <c r="Y612">
        <v>2.13</v>
      </c>
      <c r="Z612" s="48">
        <f t="shared" si="67"/>
        <v>-4.4843049327354279E-2</v>
      </c>
      <c r="AA612" s="5">
        <f>Z612-Y1274</f>
        <v>-4.9060368796628409E-2</v>
      </c>
      <c r="AD612" s="1">
        <v>44601</v>
      </c>
      <c r="AE612">
        <v>58.23</v>
      </c>
      <c r="AF612" s="29">
        <f t="shared" si="68"/>
        <v>0</v>
      </c>
    </row>
    <row r="613" spans="1:32">
      <c r="A613" s="3" t="s">
        <v>661</v>
      </c>
      <c r="B613" s="222">
        <v>28.74</v>
      </c>
      <c r="C613" s="227">
        <f t="shared" si="63"/>
        <v>1.0449320794148065E-3</v>
      </c>
      <c r="D613" s="5">
        <f>C613-C1275</f>
        <v>9.6688650985591728E-4</v>
      </c>
      <c r="E613" s="1"/>
      <c r="F613" s="8"/>
      <c r="H613" t="s">
        <v>660</v>
      </c>
      <c r="I613">
        <v>14.72</v>
      </c>
      <c r="J613" s="227">
        <f t="shared" si="64"/>
        <v>-6.7888662593340587E-4</v>
      </c>
      <c r="K613" s="5">
        <f>J613-J1276</f>
        <v>-2.8148425415433637E-3</v>
      </c>
      <c r="M613" s="241">
        <v>44570</v>
      </c>
      <c r="N613">
        <v>3966.85</v>
      </c>
      <c r="O613" s="227">
        <f t="shared" si="65"/>
        <v>1.0853001585012123E-2</v>
      </c>
      <c r="P613" s="5">
        <f>O613-O1278</f>
        <v>1.1218758785925294E-2</v>
      </c>
      <c r="Q613" s="8">
        <f t="shared" si="69"/>
        <v>1.2586054869677597E-4</v>
      </c>
      <c r="S613" s="1">
        <v>44570</v>
      </c>
      <c r="T613">
        <v>2.87</v>
      </c>
      <c r="U613" s="29">
        <f t="shared" si="66"/>
        <v>-3.0405405405405372E-2</v>
      </c>
      <c r="V613" s="5">
        <f>U613-V1274</f>
        <v>-3.2141596181112411E-2</v>
      </c>
      <c r="X613" t="s">
        <v>655</v>
      </c>
      <c r="Y613">
        <v>2.2000000000000002</v>
      </c>
      <c r="Z613" s="48">
        <f t="shared" si="67"/>
        <v>3.2863849765258246E-2</v>
      </c>
      <c r="AA613" s="5">
        <f>Z613-Y1274</f>
        <v>2.8646530295984112E-2</v>
      </c>
      <c r="AD613" s="1">
        <v>44570</v>
      </c>
      <c r="AE613">
        <v>58.88</v>
      </c>
      <c r="AF613" s="29">
        <f t="shared" si="68"/>
        <v>1.1162630946247809E-2</v>
      </c>
    </row>
    <row r="614" spans="1:32">
      <c r="A614" s="3" t="s">
        <v>662</v>
      </c>
      <c r="B614" s="222">
        <v>28.58</v>
      </c>
      <c r="C614" s="227">
        <f t="shared" si="63"/>
        <v>-5.5671537926235137E-3</v>
      </c>
      <c r="D614" s="5">
        <f>C614-C1275</f>
        <v>-5.645199362182403E-3</v>
      </c>
      <c r="E614" s="1"/>
      <c r="F614" s="8"/>
      <c r="H614" t="s">
        <v>661</v>
      </c>
      <c r="I614">
        <v>14.73</v>
      </c>
      <c r="J614" s="227">
        <f t="shared" si="64"/>
        <v>6.7934782608691791E-4</v>
      </c>
      <c r="K614" s="5">
        <f>J614-J1276</f>
        <v>-1.4566080895230399E-3</v>
      </c>
      <c r="M614" s="240" t="s">
        <v>659</v>
      </c>
      <c r="N614">
        <v>3955</v>
      </c>
      <c r="O614" s="227">
        <f t="shared" si="65"/>
        <v>-2.9872568914881548E-3</v>
      </c>
      <c r="P614" s="5">
        <f>O614-O1278</f>
        <v>-2.6214996905749833E-3</v>
      </c>
      <c r="Q614" s="8">
        <f t="shared" si="69"/>
        <v>6.8722606276847328E-6</v>
      </c>
      <c r="S614" t="s">
        <v>659</v>
      </c>
      <c r="T614">
        <v>2.85</v>
      </c>
      <c r="U614" s="29">
        <f t="shared" si="66"/>
        <v>-6.9686411149826322E-3</v>
      </c>
      <c r="V614" s="5">
        <f>U614-V1274</f>
        <v>-8.704831890689671E-3</v>
      </c>
      <c r="X614" t="s">
        <v>656</v>
      </c>
      <c r="Y614">
        <v>2.41</v>
      </c>
      <c r="Z614" s="48">
        <f t="shared" si="67"/>
        <v>9.5454545454545459E-2</v>
      </c>
      <c r="AA614" s="5">
        <f>Z614-Y1274</f>
        <v>9.1237225985271328E-2</v>
      </c>
      <c r="AD614" t="s">
        <v>659</v>
      </c>
      <c r="AE614">
        <v>59.9</v>
      </c>
      <c r="AF614" s="29">
        <f t="shared" si="68"/>
        <v>1.7323369565217295E-2</v>
      </c>
    </row>
    <row r="615" spans="1:32">
      <c r="A615" s="3" t="s">
        <v>663</v>
      </c>
      <c r="B615" s="222">
        <v>29.62</v>
      </c>
      <c r="C615" s="227">
        <f t="shared" si="63"/>
        <v>3.6389083275017553E-2</v>
      </c>
      <c r="D615" s="5">
        <f>C615-C1275</f>
        <v>3.6311037705458661E-2</v>
      </c>
      <c r="E615" s="1"/>
      <c r="F615" s="8"/>
      <c r="H615" t="s">
        <v>662</v>
      </c>
      <c r="I615">
        <v>14.97</v>
      </c>
      <c r="J615" s="227">
        <f t="shared" si="64"/>
        <v>1.6293279022403295E-2</v>
      </c>
      <c r="K615" s="5">
        <f>J615-J1276</f>
        <v>1.4157323106793337E-2</v>
      </c>
      <c r="M615" s="240" t="s">
        <v>660</v>
      </c>
      <c r="N615">
        <v>3986.16</v>
      </c>
      <c r="O615" s="227">
        <f t="shared" si="65"/>
        <v>7.8786346396966245E-3</v>
      </c>
      <c r="P615" s="5">
        <f>O615-O1278</f>
        <v>8.2443918406097955E-3</v>
      </c>
      <c r="Q615" s="8">
        <f t="shared" si="69"/>
        <v>6.7969996821513366E-5</v>
      </c>
      <c r="S615" t="s">
        <v>660</v>
      </c>
      <c r="T615">
        <v>3.06</v>
      </c>
      <c r="U615" s="29">
        <f t="shared" si="66"/>
        <v>7.3684210526315796E-2</v>
      </c>
      <c r="V615" s="5">
        <f>U615-V1274</f>
        <v>7.1948019750608758E-2</v>
      </c>
      <c r="X615" t="s">
        <v>657</v>
      </c>
      <c r="Y615">
        <v>2.46</v>
      </c>
      <c r="Z615" s="48">
        <f t="shared" si="67"/>
        <v>2.0746887966804906E-2</v>
      </c>
      <c r="AA615" s="5">
        <f>Z615-Y1274</f>
        <v>1.6529568497530771E-2</v>
      </c>
      <c r="AD615" t="s">
        <v>660</v>
      </c>
      <c r="AE615">
        <v>61.42</v>
      </c>
      <c r="AF615" s="29">
        <f t="shared" si="68"/>
        <v>2.5375626043405708E-2</v>
      </c>
    </row>
    <row r="616" spans="1:32">
      <c r="A616" s="3" t="s">
        <v>664</v>
      </c>
      <c r="B616" s="222">
        <v>28.71</v>
      </c>
      <c r="C616" s="227">
        <f t="shared" si="63"/>
        <v>-3.0722484807562456E-2</v>
      </c>
      <c r="D616" s="5">
        <f>C616-C1275</f>
        <v>-3.0800530377121344E-2</v>
      </c>
      <c r="E616" s="1"/>
      <c r="F616" s="8"/>
      <c r="H616" t="s">
        <v>663</v>
      </c>
      <c r="I616">
        <v>15.84</v>
      </c>
      <c r="J616" s="227">
        <f t="shared" si="64"/>
        <v>5.8116232464929807E-2</v>
      </c>
      <c r="K616" s="5">
        <f>J616-J1276</f>
        <v>5.5980276549319849E-2</v>
      </c>
      <c r="M616" s="240" t="s">
        <v>661</v>
      </c>
      <c r="N616">
        <v>4030.61</v>
      </c>
      <c r="O616" s="227">
        <f t="shared" si="65"/>
        <v>1.1151082746302166E-2</v>
      </c>
      <c r="P616" s="5">
        <f>O616-O1278</f>
        <v>1.1516839947215337E-2</v>
      </c>
      <c r="Q616" s="8">
        <f t="shared" si="69"/>
        <v>1.3263760236977495E-4</v>
      </c>
      <c r="S616" t="s">
        <v>661</v>
      </c>
      <c r="T616">
        <v>2.99</v>
      </c>
      <c r="U616" s="29">
        <f t="shared" si="66"/>
        <v>-2.2875816993463971E-2</v>
      </c>
      <c r="V616" s="5">
        <f>U616-V1274</f>
        <v>-2.461200776917101E-2</v>
      </c>
      <c r="X616" t="s">
        <v>658</v>
      </c>
      <c r="Y616">
        <v>2.5001000000000002</v>
      </c>
      <c r="Z616" s="48">
        <f t="shared" si="67"/>
        <v>1.6300813008130133E-2</v>
      </c>
      <c r="AA616" s="5">
        <f>Z616-Y1274</f>
        <v>1.2083493538855999E-2</v>
      </c>
      <c r="AD616" t="s">
        <v>661</v>
      </c>
      <c r="AE616">
        <v>60.56</v>
      </c>
      <c r="AF616" s="29">
        <f t="shared" si="68"/>
        <v>-1.4001953760989894E-2</v>
      </c>
    </row>
    <row r="617" spans="1:32">
      <c r="A617" s="3" t="s">
        <v>665</v>
      </c>
      <c r="B617" s="222">
        <v>27.81</v>
      </c>
      <c r="C617" s="227">
        <f t="shared" si="63"/>
        <v>-3.1347962382445194E-2</v>
      </c>
      <c r="D617" s="5">
        <f>C617-C1275</f>
        <v>-3.1426007952004086E-2</v>
      </c>
      <c r="E617" s="1"/>
      <c r="F617" s="8"/>
      <c r="H617" t="s">
        <v>664</v>
      </c>
      <c r="I617">
        <v>15.39</v>
      </c>
      <c r="J617" s="227">
        <f t="shared" si="64"/>
        <v>-2.8409090909090828E-2</v>
      </c>
      <c r="K617" s="5">
        <f>J617-J1276</f>
        <v>-3.0545046824700786E-2</v>
      </c>
      <c r="M617" s="240" t="s">
        <v>662</v>
      </c>
      <c r="N617">
        <v>4057.66</v>
      </c>
      <c r="O617" s="227">
        <f t="shared" si="65"/>
        <v>6.7111429783579535E-3</v>
      </c>
      <c r="P617" s="5">
        <f>O617-O1278</f>
        <v>7.0769001792711254E-3</v>
      </c>
      <c r="Q617" s="8">
        <f t="shared" si="69"/>
        <v>5.0082516147367684E-5</v>
      </c>
      <c r="S617" t="s">
        <v>662</v>
      </c>
      <c r="T617">
        <v>3.05</v>
      </c>
      <c r="U617" s="29">
        <f t="shared" si="66"/>
        <v>2.0066889632106788E-2</v>
      </c>
      <c r="V617" s="5">
        <f>U617-V1274</f>
        <v>1.8330698856399749E-2</v>
      </c>
      <c r="X617" s="1">
        <v>44904</v>
      </c>
      <c r="Y617">
        <v>2.58</v>
      </c>
      <c r="Z617" s="48">
        <f t="shared" si="67"/>
        <v>3.1958721651133892E-2</v>
      </c>
      <c r="AA617" s="5">
        <f>Z617-Y1274</f>
        <v>2.7741402181859758E-2</v>
      </c>
      <c r="AD617" t="s">
        <v>662</v>
      </c>
      <c r="AE617">
        <v>61.66</v>
      </c>
      <c r="AF617" s="29">
        <f t="shared" si="68"/>
        <v>1.8163804491413416E-2</v>
      </c>
    </row>
    <row r="618" spans="1:32">
      <c r="A618" s="3" t="s">
        <v>666</v>
      </c>
      <c r="B618" s="222">
        <v>28</v>
      </c>
      <c r="C618" s="227">
        <f t="shared" si="63"/>
        <v>6.832074793239995E-3</v>
      </c>
      <c r="D618" s="5">
        <f>C618-C1275</f>
        <v>6.7540292236811057E-3</v>
      </c>
      <c r="E618" s="1"/>
      <c r="F618" s="8"/>
      <c r="H618" t="s">
        <v>665</v>
      </c>
      <c r="I618">
        <v>15.35</v>
      </c>
      <c r="J618" s="227">
        <f t="shared" si="64"/>
        <v>-2.5990903183886749E-3</v>
      </c>
      <c r="K618" s="5">
        <f>J618-J1276</f>
        <v>-4.7350462339986327E-3</v>
      </c>
      <c r="M618" s="240" t="s">
        <v>663</v>
      </c>
      <c r="N618">
        <v>4199.12</v>
      </c>
      <c r="O618" s="227">
        <f t="shared" si="65"/>
        <v>3.4862457672648839E-2</v>
      </c>
      <c r="P618" s="5">
        <f>O618-O1278</f>
        <v>3.5228214873562008E-2</v>
      </c>
      <c r="Q618" s="8">
        <f t="shared" si="69"/>
        <v>1.2410271231778555E-3</v>
      </c>
      <c r="S618" t="s">
        <v>663</v>
      </c>
      <c r="T618">
        <v>3.16</v>
      </c>
      <c r="U618" s="29">
        <f t="shared" si="66"/>
        <v>3.6065573770492021E-2</v>
      </c>
      <c r="V618" s="5">
        <f>U618-V1274</f>
        <v>3.4329382994784982E-2</v>
      </c>
      <c r="X618" s="1">
        <v>44813</v>
      </c>
      <c r="Y618">
        <v>2.62</v>
      </c>
      <c r="Z618" s="48">
        <f t="shared" si="67"/>
        <v>1.5503875968992276E-2</v>
      </c>
      <c r="AA618" s="5">
        <f>Z618-Y1274</f>
        <v>1.1286556499718142E-2</v>
      </c>
      <c r="AD618" t="s">
        <v>663</v>
      </c>
      <c r="AE618">
        <v>64.95</v>
      </c>
      <c r="AF618" s="29">
        <f t="shared" si="68"/>
        <v>5.3357119688615118E-2</v>
      </c>
    </row>
    <row r="619" spans="1:32">
      <c r="A619" s="3" t="s">
        <v>667</v>
      </c>
      <c r="B619" s="222">
        <v>29.01</v>
      </c>
      <c r="C619" s="227">
        <f t="shared" si="63"/>
        <v>3.6071428571428532E-2</v>
      </c>
      <c r="D619" s="5">
        <f>C619-C1275</f>
        <v>3.599338300186964E-2</v>
      </c>
      <c r="E619" s="1"/>
      <c r="F619" s="8"/>
      <c r="H619" t="s">
        <v>666</v>
      </c>
      <c r="I619">
        <v>15.52</v>
      </c>
      <c r="J619" s="227">
        <f t="shared" si="64"/>
        <v>1.1074918566775338E-2</v>
      </c>
      <c r="K619" s="5">
        <f>J619-J1276</f>
        <v>8.9389626511653802E-3</v>
      </c>
      <c r="M619" s="240" t="s">
        <v>664</v>
      </c>
      <c r="N619">
        <v>4140.7700000000004</v>
      </c>
      <c r="O619" s="227">
        <f t="shared" si="65"/>
        <v>-1.3895768637238182E-2</v>
      </c>
      <c r="P619" s="5">
        <f>O619-O1278</f>
        <v>-1.3530011436325011E-2</v>
      </c>
      <c r="Q619" s="8">
        <f t="shared" si="69"/>
        <v>1.8306120946708556E-4</v>
      </c>
      <c r="S619" t="s">
        <v>664</v>
      </c>
      <c r="T619">
        <v>3.6</v>
      </c>
      <c r="U619" s="29">
        <f t="shared" si="66"/>
        <v>0.139240506329114</v>
      </c>
      <c r="V619" s="5">
        <f>U619-V1274</f>
        <v>0.13750431555340697</v>
      </c>
      <c r="X619" s="1">
        <v>44782</v>
      </c>
      <c r="Y619">
        <v>2.5499999999999998</v>
      </c>
      <c r="Z619" s="48">
        <f t="shared" si="67"/>
        <v>-2.6717557251908497E-2</v>
      </c>
      <c r="AA619" s="5">
        <f>Z619-Y1274</f>
        <v>-3.0934876721182631E-2</v>
      </c>
      <c r="AD619" t="s">
        <v>664</v>
      </c>
      <c r="AE619">
        <v>64.12</v>
      </c>
      <c r="AF619" s="29">
        <f t="shared" si="68"/>
        <v>-1.2779060816012322E-2</v>
      </c>
    </row>
    <row r="620" spans="1:32">
      <c r="A620" s="3" t="s">
        <v>668</v>
      </c>
      <c r="B620" s="222">
        <v>30.15</v>
      </c>
      <c r="C620" s="227">
        <f t="shared" si="63"/>
        <v>3.9296794208893315E-2</v>
      </c>
      <c r="D620" s="5">
        <f>C620-C1275</f>
        <v>3.9218748639334423E-2</v>
      </c>
      <c r="E620" s="1"/>
      <c r="F620" s="8"/>
      <c r="H620" t="s">
        <v>667</v>
      </c>
      <c r="I620">
        <v>16.649999999999999</v>
      </c>
      <c r="J620" s="227">
        <f t="shared" si="64"/>
        <v>7.2809278350515427E-2</v>
      </c>
      <c r="K620" s="5">
        <f>J620-J1276</f>
        <v>7.067332243490547E-2</v>
      </c>
      <c r="M620" s="240" t="s">
        <v>665</v>
      </c>
      <c r="N620">
        <v>4128.7299999999996</v>
      </c>
      <c r="O620" s="227">
        <f t="shared" si="65"/>
        <v>-2.9076717615325043E-3</v>
      </c>
      <c r="P620" s="5">
        <f>O620-O1278</f>
        <v>-2.5419145606193328E-3</v>
      </c>
      <c r="Q620" s="8">
        <f t="shared" si="69"/>
        <v>6.4613296334885759E-6</v>
      </c>
      <c r="S620" t="s">
        <v>665</v>
      </c>
      <c r="T620">
        <v>3.47</v>
      </c>
      <c r="U620" s="29">
        <f t="shared" si="66"/>
        <v>-3.6111111111111094E-2</v>
      </c>
      <c r="V620" s="5">
        <f>U620-V1274</f>
        <v>-3.7847301886818133E-2</v>
      </c>
      <c r="X620" s="1">
        <v>44751</v>
      </c>
      <c r="Y620">
        <v>2.4900000000000002</v>
      </c>
      <c r="Z620" s="48">
        <f t="shared" si="67"/>
        <v>-2.3529411764705688E-2</v>
      </c>
      <c r="AA620" s="5">
        <f>Z620-Y1274</f>
        <v>-2.7746731233979822E-2</v>
      </c>
      <c r="AD620" t="s">
        <v>665</v>
      </c>
      <c r="AE620">
        <v>63.62</v>
      </c>
      <c r="AF620" s="29">
        <f t="shared" si="68"/>
        <v>-7.7978789769184154E-3</v>
      </c>
    </row>
    <row r="621" spans="1:32">
      <c r="A621" s="3" t="s">
        <v>669</v>
      </c>
      <c r="B621" s="222">
        <v>30.72</v>
      </c>
      <c r="C621" s="227">
        <f t="shared" si="63"/>
        <v>1.8905472636815857E-2</v>
      </c>
      <c r="D621" s="5">
        <f>C621-C1275</f>
        <v>1.8827427067256968E-2</v>
      </c>
      <c r="E621" s="1"/>
      <c r="F621" s="8"/>
      <c r="H621" t="s">
        <v>668</v>
      </c>
      <c r="I621">
        <v>17.600000000000001</v>
      </c>
      <c r="J621" s="227">
        <f t="shared" si="64"/>
        <v>5.7057057057057214E-2</v>
      </c>
      <c r="K621" s="5">
        <f>J621-J1276</f>
        <v>5.4921101141447257E-2</v>
      </c>
      <c r="M621" s="240" t="s">
        <v>666</v>
      </c>
      <c r="N621">
        <v>4137.99</v>
      </c>
      <c r="O621" s="227">
        <f t="shared" si="65"/>
        <v>2.2428204314643985E-3</v>
      </c>
      <c r="P621" s="5">
        <f>O621-O1278</f>
        <v>2.60857763237757E-3</v>
      </c>
      <c r="Q621" s="8">
        <f t="shared" si="69"/>
        <v>6.8046772641405685E-6</v>
      </c>
      <c r="S621" t="s">
        <v>666</v>
      </c>
      <c r="T621">
        <v>3.4</v>
      </c>
      <c r="U621" s="29">
        <f t="shared" si="66"/>
        <v>-2.0172910662824339E-2</v>
      </c>
      <c r="V621" s="5">
        <f>U621-V1274</f>
        <v>-2.1909101438531378E-2</v>
      </c>
      <c r="X621" s="1">
        <v>44721</v>
      </c>
      <c r="Y621">
        <v>2.5</v>
      </c>
      <c r="Z621" s="48">
        <f t="shared" si="67"/>
        <v>4.0160642570279403E-3</v>
      </c>
      <c r="AA621" s="5">
        <f>Z621-Y1274</f>
        <v>-2.0125521224619372E-4</v>
      </c>
      <c r="AD621" t="s">
        <v>666</v>
      </c>
      <c r="AE621">
        <v>63.33</v>
      </c>
      <c r="AF621" s="29">
        <f t="shared" si="68"/>
        <v>-4.5583149952844737E-3</v>
      </c>
    </row>
    <row r="622" spans="1:32">
      <c r="A622" s="3" t="s">
        <v>670</v>
      </c>
      <c r="B622" s="222">
        <v>32.380000000000003</v>
      </c>
      <c r="C622" s="227">
        <f t="shared" si="63"/>
        <v>5.4036458333333481E-2</v>
      </c>
      <c r="D622" s="5">
        <f>C622-C1275</f>
        <v>5.3958412763774589E-2</v>
      </c>
      <c r="E622" s="1"/>
      <c r="F622" s="8"/>
      <c r="H622" t="s">
        <v>669</v>
      </c>
      <c r="I622">
        <v>17.97</v>
      </c>
      <c r="J622" s="227">
        <f t="shared" si="64"/>
        <v>2.1022727272727026E-2</v>
      </c>
      <c r="K622" s="5">
        <f>J622-J1276</f>
        <v>1.8886771357117069E-2</v>
      </c>
      <c r="M622" s="240" t="s">
        <v>667</v>
      </c>
      <c r="N622">
        <v>4228.4799999999996</v>
      </c>
      <c r="O622" s="227">
        <f t="shared" si="65"/>
        <v>2.1868105046169761E-2</v>
      </c>
      <c r="P622" s="5">
        <f>O622-O1278</f>
        <v>2.2233862247082934E-2</v>
      </c>
      <c r="Q622" s="8">
        <f t="shared" si="69"/>
        <v>4.9434463042225983E-4</v>
      </c>
      <c r="S622" t="s">
        <v>667</v>
      </c>
      <c r="T622">
        <v>3.44</v>
      </c>
      <c r="U622" s="29">
        <f t="shared" si="66"/>
        <v>1.1764705882352899E-2</v>
      </c>
      <c r="V622" s="5">
        <f>U622-V1274</f>
        <v>1.0028515106645861E-2</v>
      </c>
      <c r="X622" s="1">
        <v>44601</v>
      </c>
      <c r="Y622">
        <v>2.56</v>
      </c>
      <c r="Z622" s="48">
        <f t="shared" si="67"/>
        <v>2.4000000000000021E-2</v>
      </c>
      <c r="AA622" s="5">
        <f>Z622-Y1274</f>
        <v>1.9782680530725887E-2</v>
      </c>
      <c r="AD622" t="s">
        <v>667</v>
      </c>
      <c r="AE622">
        <v>64.989999999999995</v>
      </c>
      <c r="AF622" s="29">
        <f t="shared" si="68"/>
        <v>2.6211905889783615E-2</v>
      </c>
    </row>
    <row r="623" spans="1:32">
      <c r="A623" s="3" t="s">
        <v>671</v>
      </c>
      <c r="B623" s="222">
        <v>32.49</v>
      </c>
      <c r="C623" s="227">
        <f t="shared" si="63"/>
        <v>3.3971587399628245E-3</v>
      </c>
      <c r="D623" s="5">
        <f>C623-C1275</f>
        <v>3.3191131704039352E-3</v>
      </c>
      <c r="F623" s="8"/>
      <c r="H623" t="s">
        <v>670</v>
      </c>
      <c r="I623">
        <v>19.34</v>
      </c>
      <c r="J623" s="227">
        <f t="shared" si="64"/>
        <v>7.6238174735670627E-2</v>
      </c>
      <c r="K623" s="5">
        <f>J623-J1276</f>
        <v>7.410221882006067E-2</v>
      </c>
      <c r="M623" s="240" t="s">
        <v>668</v>
      </c>
      <c r="N623">
        <v>4283.74</v>
      </c>
      <c r="O623" s="227">
        <f t="shared" si="65"/>
        <v>1.3068525805963516E-2</v>
      </c>
      <c r="P623" s="5">
        <f>O623-O1278</f>
        <v>1.3434283006876687E-2</v>
      </c>
      <c r="Q623" s="8">
        <f t="shared" si="69"/>
        <v>1.8047995990885571E-4</v>
      </c>
      <c r="S623" t="s">
        <v>668</v>
      </c>
      <c r="T623">
        <v>3.51</v>
      </c>
      <c r="U623" s="29">
        <f t="shared" si="66"/>
        <v>2.0348837209302362E-2</v>
      </c>
      <c r="V623" s="5">
        <f>U623-V1274</f>
        <v>1.8612646433595323E-2</v>
      </c>
      <c r="X623" s="1">
        <v>44570</v>
      </c>
      <c r="Y623">
        <v>2.52</v>
      </c>
      <c r="Z623" s="48">
        <f t="shared" si="67"/>
        <v>-1.5625E-2</v>
      </c>
      <c r="AA623" s="5">
        <f>Z623-Y1274</f>
        <v>-1.9842319469274134E-2</v>
      </c>
      <c r="AD623" t="s">
        <v>668</v>
      </c>
      <c r="AE623">
        <v>66.7</v>
      </c>
      <c r="AF623" s="29">
        <f t="shared" si="68"/>
        <v>2.631174026773353E-2</v>
      </c>
    </row>
    <row r="624" spans="1:32">
      <c r="A624" s="220">
        <v>44903</v>
      </c>
      <c r="B624" s="222">
        <v>32.47</v>
      </c>
      <c r="C624" s="227">
        <f t="shared" si="63"/>
        <v>-6.1557402277634399E-4</v>
      </c>
      <c r="D624" s="5">
        <f>C624-C1275</f>
        <v>-6.9361959233523319E-4</v>
      </c>
      <c r="F624" s="8"/>
      <c r="H624" t="s">
        <v>671</v>
      </c>
      <c r="I624">
        <v>19.29</v>
      </c>
      <c r="J624" s="227">
        <f t="shared" si="64"/>
        <v>-2.585315408479838E-3</v>
      </c>
      <c r="K624" s="5">
        <f>J624-J1276</f>
        <v>-4.7212713240897958E-3</v>
      </c>
      <c r="M624" s="240" t="s">
        <v>669</v>
      </c>
      <c r="N624">
        <v>4274.04</v>
      </c>
      <c r="O624" s="227">
        <f t="shared" si="65"/>
        <v>-2.2643764560873469E-3</v>
      </c>
      <c r="P624" s="5">
        <f>O624-O1278</f>
        <v>-1.8986192551741755E-3</v>
      </c>
      <c r="Q624" s="8">
        <f t="shared" si="69"/>
        <v>3.6047550761181406E-6</v>
      </c>
      <c r="S624" t="s">
        <v>669</v>
      </c>
      <c r="T624">
        <v>3.57</v>
      </c>
      <c r="U624" s="29">
        <f t="shared" si="66"/>
        <v>1.7094017094017033E-2</v>
      </c>
      <c r="V624" s="5">
        <f>U624-V1274</f>
        <v>1.5357826318309994E-2</v>
      </c>
      <c r="X624" t="s">
        <v>659</v>
      </c>
      <c r="Y624">
        <v>2.5499999999999998</v>
      </c>
      <c r="Z624" s="48">
        <f t="shared" si="67"/>
        <v>1.1904761904761862E-2</v>
      </c>
      <c r="AA624" s="5">
        <f>Z624-Y1274</f>
        <v>7.6874424354877284E-3</v>
      </c>
      <c r="AD624" t="s">
        <v>669</v>
      </c>
      <c r="AE624">
        <v>68.180000000000007</v>
      </c>
      <c r="AF624" s="29">
        <f t="shared" si="68"/>
        <v>2.2188905547226412E-2</v>
      </c>
    </row>
    <row r="625" spans="1:32">
      <c r="A625" s="220">
        <v>44873</v>
      </c>
      <c r="B625" s="222">
        <v>32.24</v>
      </c>
      <c r="C625" s="227">
        <f t="shared" si="63"/>
        <v>-7.0834616569139808E-3</v>
      </c>
      <c r="D625" s="5">
        <f>C625-C1275</f>
        <v>-7.1615072264728701E-3</v>
      </c>
      <c r="F625" s="8"/>
      <c r="H625" s="1">
        <v>44903</v>
      </c>
      <c r="I625">
        <v>19.399999999999999</v>
      </c>
      <c r="J625" s="227">
        <f t="shared" si="64"/>
        <v>5.7024364955935436E-3</v>
      </c>
      <c r="K625" s="5">
        <f>J625-J1276</f>
        <v>3.5664805799835858E-3</v>
      </c>
      <c r="M625" s="240" t="s">
        <v>670</v>
      </c>
      <c r="N625">
        <v>4305.2</v>
      </c>
      <c r="O625" s="227">
        <f t="shared" si="65"/>
        <v>7.2905260596531907E-3</v>
      </c>
      <c r="P625" s="5">
        <f>O625-O1278</f>
        <v>7.6562832605663626E-3</v>
      </c>
      <c r="Q625" s="8">
        <f t="shared" si="69"/>
        <v>5.8618673366028694E-5</v>
      </c>
      <c r="S625" t="s">
        <v>670</v>
      </c>
      <c r="T625">
        <v>3.66</v>
      </c>
      <c r="U625" s="29">
        <f t="shared" si="66"/>
        <v>2.5210084033613578E-2</v>
      </c>
      <c r="V625" s="5">
        <f>U625-V1274</f>
        <v>2.3473893257906539E-2</v>
      </c>
      <c r="X625" t="s">
        <v>660</v>
      </c>
      <c r="Y625">
        <v>2.4</v>
      </c>
      <c r="Z625" s="48">
        <f t="shared" si="67"/>
        <v>-5.8823529411764719E-2</v>
      </c>
      <c r="AA625" s="5">
        <f>Z625-Y1274</f>
        <v>-6.304084888103885E-2</v>
      </c>
      <c r="AD625" t="s">
        <v>670</v>
      </c>
      <c r="AE625">
        <v>73.569999999999993</v>
      </c>
      <c r="AF625" s="29">
        <f t="shared" si="68"/>
        <v>7.9055441478439237E-2</v>
      </c>
    </row>
    <row r="626" spans="1:32">
      <c r="A626" s="220">
        <v>44842</v>
      </c>
      <c r="B626" s="222">
        <v>32.799999999999997</v>
      </c>
      <c r="C626" s="227">
        <f t="shared" si="63"/>
        <v>1.7369727047146233E-2</v>
      </c>
      <c r="D626" s="5">
        <f>C626-C1275</f>
        <v>1.7291681477587344E-2</v>
      </c>
      <c r="F626" s="8"/>
      <c r="H626" s="1">
        <v>44873</v>
      </c>
      <c r="I626">
        <v>18.899999999999999</v>
      </c>
      <c r="J626" s="227">
        <f t="shared" si="64"/>
        <v>-2.5773195876288679E-2</v>
      </c>
      <c r="K626" s="5">
        <f>J626-J1276</f>
        <v>-2.7909151791898637E-2</v>
      </c>
      <c r="M626" s="240" t="s">
        <v>671</v>
      </c>
      <c r="N626">
        <v>4297.1400000000003</v>
      </c>
      <c r="O626" s="227">
        <f t="shared" si="65"/>
        <v>-1.8721546037349102E-3</v>
      </c>
      <c r="P626" s="5">
        <f>O626-O1278</f>
        <v>-1.5063974028217387E-3</v>
      </c>
      <c r="Q626" s="8">
        <f t="shared" si="69"/>
        <v>2.2692331352280795E-6</v>
      </c>
      <c r="S626" t="s">
        <v>671</v>
      </c>
      <c r="T626">
        <v>3.77</v>
      </c>
      <c r="U626" s="29">
        <f t="shared" si="66"/>
        <v>3.0054644808743092E-2</v>
      </c>
      <c r="V626" s="5">
        <f>U626-V1274</f>
        <v>2.8318454033036053E-2</v>
      </c>
      <c r="X626" t="s">
        <v>661</v>
      </c>
      <c r="Y626">
        <v>2.59</v>
      </c>
      <c r="Z626" s="48">
        <f t="shared" si="67"/>
        <v>7.9166666666666607E-2</v>
      </c>
      <c r="AA626" s="5">
        <f>Z626-Y1274</f>
        <v>7.4949347197392477E-2</v>
      </c>
      <c r="AD626" t="s">
        <v>671</v>
      </c>
      <c r="AE626">
        <v>77.760000000000005</v>
      </c>
      <c r="AF626" s="29">
        <f t="shared" si="68"/>
        <v>5.6952562185673683E-2</v>
      </c>
    </row>
    <row r="627" spans="1:32">
      <c r="A627" s="220">
        <v>44812</v>
      </c>
      <c r="B627" s="222">
        <v>31.06</v>
      </c>
      <c r="C627" s="227">
        <f t="shared" si="63"/>
        <v>-5.3048780487804814E-2</v>
      </c>
      <c r="D627" s="5">
        <f>C627-C1275</f>
        <v>-5.3126826057363706E-2</v>
      </c>
      <c r="F627" s="8"/>
      <c r="H627" s="1">
        <v>44842</v>
      </c>
      <c r="I627">
        <v>19.399999999999999</v>
      </c>
      <c r="J627" s="227">
        <f t="shared" si="64"/>
        <v>2.6455026455026509E-2</v>
      </c>
      <c r="K627" s="5">
        <f>J627-J1276</f>
        <v>2.4319070539416551E-2</v>
      </c>
      <c r="M627" s="241">
        <v>44903</v>
      </c>
      <c r="N627">
        <v>4280.1499999999996</v>
      </c>
      <c r="O627" s="227">
        <f t="shared" si="65"/>
        <v>-3.9537925224686354E-3</v>
      </c>
      <c r="P627" s="5">
        <f>O627-O1278</f>
        <v>-3.5880353215554639E-3</v>
      </c>
      <c r="Q627" s="8">
        <f t="shared" si="69"/>
        <v>1.2873997468729621E-5</v>
      </c>
      <c r="S627" s="1">
        <v>44903</v>
      </c>
      <c r="T627">
        <v>3.85</v>
      </c>
      <c r="U627" s="29">
        <f t="shared" si="66"/>
        <v>2.1220159151193574E-2</v>
      </c>
      <c r="V627" s="5">
        <f>U627-V1274</f>
        <v>1.9483968375486535E-2</v>
      </c>
      <c r="X627" t="s">
        <v>662</v>
      </c>
      <c r="Y627">
        <v>2.66</v>
      </c>
      <c r="Z627" s="48">
        <f t="shared" si="67"/>
        <v>2.7027027027027195E-2</v>
      </c>
      <c r="AA627" s="5">
        <f>Z627-Y1274</f>
        <v>2.2809707557753061E-2</v>
      </c>
      <c r="AD627" s="1">
        <v>44903</v>
      </c>
      <c r="AE627">
        <v>77.37</v>
      </c>
      <c r="AF627" s="29">
        <f t="shared" si="68"/>
        <v>-5.0154320987654266E-3</v>
      </c>
    </row>
    <row r="628" spans="1:32">
      <c r="A628" s="220">
        <v>44781</v>
      </c>
      <c r="B628" s="222">
        <v>31.85</v>
      </c>
      <c r="C628" s="227">
        <f t="shared" si="63"/>
        <v>2.543464262717321E-2</v>
      </c>
      <c r="D628" s="5">
        <f>C628-C1275</f>
        <v>2.5356597057614321E-2</v>
      </c>
      <c r="F628" s="8"/>
      <c r="H628" s="1">
        <v>44812</v>
      </c>
      <c r="I628">
        <v>18.670000000000002</v>
      </c>
      <c r="J628" s="227">
        <f t="shared" si="64"/>
        <v>-3.762886597938131E-2</v>
      </c>
      <c r="K628" s="5">
        <f>J628-J1276</f>
        <v>-3.9764821894991267E-2</v>
      </c>
      <c r="M628" s="241">
        <v>44873</v>
      </c>
      <c r="N628">
        <v>4207.2700000000004</v>
      </c>
      <c r="O628" s="227">
        <f t="shared" si="65"/>
        <v>-1.7027440627080614E-2</v>
      </c>
      <c r="P628" s="5">
        <f>O628-O1278</f>
        <v>-1.6661683426167442E-2</v>
      </c>
      <c r="Q628" s="8">
        <f t="shared" si="69"/>
        <v>2.7761169459382282E-4</v>
      </c>
      <c r="S628" s="1">
        <v>44873</v>
      </c>
      <c r="T628">
        <v>3.76</v>
      </c>
      <c r="U628" s="29">
        <f t="shared" si="66"/>
        <v>-2.3376623376623495E-2</v>
      </c>
      <c r="V628" s="5">
        <f>U628-V1274</f>
        <v>-2.5112814152330534E-2</v>
      </c>
      <c r="X628" t="s">
        <v>663</v>
      </c>
      <c r="Y628">
        <v>2.71</v>
      </c>
      <c r="Z628" s="48">
        <f t="shared" si="67"/>
        <v>1.8796992481203034E-2</v>
      </c>
      <c r="AA628" s="5">
        <f>Z628-Y1274</f>
        <v>1.45796730119289E-2</v>
      </c>
      <c r="AD628" s="1">
        <v>44873</v>
      </c>
      <c r="AE628">
        <v>77.89</v>
      </c>
      <c r="AF628" s="29">
        <f t="shared" si="68"/>
        <v>6.7209512731032373E-3</v>
      </c>
    </row>
    <row r="629" spans="1:32">
      <c r="A629" s="220">
        <v>44689</v>
      </c>
      <c r="B629" s="222">
        <v>32.01</v>
      </c>
      <c r="C629" s="227">
        <f t="shared" si="63"/>
        <v>5.0235478806905931E-3</v>
      </c>
      <c r="D629" s="5">
        <f>C629-C1275</f>
        <v>4.9455023111317038E-3</v>
      </c>
      <c r="F629" s="8"/>
      <c r="H629" s="1">
        <v>44781</v>
      </c>
      <c r="I629">
        <v>19.829999999999998</v>
      </c>
      <c r="J629" s="227">
        <f t="shared" si="64"/>
        <v>6.2131762185323902E-2</v>
      </c>
      <c r="K629" s="5">
        <f>J629-J1276</f>
        <v>5.9995806269713944E-2</v>
      </c>
      <c r="M629" s="241">
        <v>44842</v>
      </c>
      <c r="N629">
        <v>4210.24</v>
      </c>
      <c r="O629" s="227">
        <f t="shared" si="65"/>
        <v>7.0592094160804031E-4</v>
      </c>
      <c r="P629" s="5">
        <f>O629-O1278</f>
        <v>1.0716781425212118E-3</v>
      </c>
      <c r="Q629" s="8">
        <f t="shared" si="69"/>
        <v>1.1484940411577148E-6</v>
      </c>
      <c r="S629" s="1">
        <v>44842</v>
      </c>
      <c r="T629">
        <v>3.68</v>
      </c>
      <c r="U629" s="29">
        <f t="shared" si="66"/>
        <v>-2.1276595744680771E-2</v>
      </c>
      <c r="V629" s="5">
        <f>U629-V1274</f>
        <v>-2.301278652038781E-2</v>
      </c>
      <c r="X629" t="s">
        <v>664</v>
      </c>
      <c r="Y629">
        <v>2.62</v>
      </c>
      <c r="Z629" s="48">
        <f t="shared" si="67"/>
        <v>-3.3210332103321027E-2</v>
      </c>
      <c r="AA629" s="5">
        <f>Z629-Y1274</f>
        <v>-3.7427651572595158E-2</v>
      </c>
      <c r="AD629" s="1">
        <v>44842</v>
      </c>
      <c r="AE629">
        <v>80.599999999999994</v>
      </c>
      <c r="AF629" s="29">
        <f t="shared" si="68"/>
        <v>3.4792656310181025E-2</v>
      </c>
    </row>
    <row r="630" spans="1:32">
      <c r="A630" s="220">
        <v>44659</v>
      </c>
      <c r="B630" s="222">
        <v>31.85</v>
      </c>
      <c r="C630" s="227">
        <f t="shared" si="63"/>
        <v>-4.9984379881286012E-3</v>
      </c>
      <c r="D630" s="5">
        <f>C630-C1275</f>
        <v>-5.0764835576874905E-3</v>
      </c>
      <c r="F630" s="8"/>
      <c r="H630" s="1">
        <v>44689</v>
      </c>
      <c r="I630">
        <v>20.28</v>
      </c>
      <c r="J630" s="227">
        <f t="shared" si="64"/>
        <v>2.2692889561271024E-2</v>
      </c>
      <c r="K630" s="5">
        <f>J630-J1276</f>
        <v>2.0556933645661066E-2</v>
      </c>
      <c r="M630" s="241">
        <v>44812</v>
      </c>
      <c r="N630">
        <v>4122.47</v>
      </c>
      <c r="O630" s="227">
        <f t="shared" si="65"/>
        <v>-2.0846792581895479E-2</v>
      </c>
      <c r="P630" s="5">
        <f>O630-O1278</f>
        <v>-2.0481035380982306E-2</v>
      </c>
      <c r="Q630" s="8">
        <f t="shared" si="69"/>
        <v>4.1947281027704907E-4</v>
      </c>
      <c r="S630" s="1">
        <v>44812</v>
      </c>
      <c r="T630">
        <v>3.56</v>
      </c>
      <c r="U630" s="29">
        <f t="shared" si="66"/>
        <v>-3.2608695652173947E-2</v>
      </c>
      <c r="V630" s="5">
        <f>U630-V1274</f>
        <v>-3.4344886427880986E-2</v>
      </c>
      <c r="X630" t="s">
        <v>665</v>
      </c>
      <c r="Y630">
        <v>2.61</v>
      </c>
      <c r="Z630" s="48">
        <f t="shared" si="67"/>
        <v>-3.8167938931298329E-3</v>
      </c>
      <c r="AA630" s="5">
        <f>Z630-Y1274</f>
        <v>-8.0341133624039669E-3</v>
      </c>
      <c r="AD630" s="1">
        <v>44812</v>
      </c>
      <c r="AE630">
        <v>73.03</v>
      </c>
      <c r="AF630" s="29">
        <f t="shared" si="68"/>
        <v>-9.392059553349863E-2</v>
      </c>
    </row>
    <row r="631" spans="1:32">
      <c r="A631" s="220">
        <v>44628</v>
      </c>
      <c r="B631" s="222">
        <v>30.19</v>
      </c>
      <c r="C631" s="227">
        <f t="shared" si="63"/>
        <v>-5.2119309262166458E-2</v>
      </c>
      <c r="D631" s="5">
        <f>C631-C1275</f>
        <v>-5.219735483172535E-2</v>
      </c>
      <c r="F631" s="8"/>
      <c r="H631" s="1">
        <v>44659</v>
      </c>
      <c r="I631">
        <v>17.39</v>
      </c>
      <c r="J631" s="227">
        <f t="shared" si="64"/>
        <v>-0.14250493096646943</v>
      </c>
      <c r="K631" s="5">
        <f>J631-J1276</f>
        <v>-0.14464088688207938</v>
      </c>
      <c r="M631" s="241">
        <v>44781</v>
      </c>
      <c r="N631">
        <v>4140.0600000000004</v>
      </c>
      <c r="O631" s="227">
        <f t="shared" si="65"/>
        <v>4.2668594313604036E-3</v>
      </c>
      <c r="P631" s="5">
        <f>O631-O1278</f>
        <v>4.6326166322735755E-3</v>
      </c>
      <c r="Q631" s="8">
        <f t="shared" si="69"/>
        <v>2.1461136861617766E-5</v>
      </c>
      <c r="S631" s="1">
        <v>44781</v>
      </c>
      <c r="T631">
        <v>3.74</v>
      </c>
      <c r="U631" s="29">
        <f t="shared" si="66"/>
        <v>5.0561797752809001E-2</v>
      </c>
      <c r="V631" s="5">
        <f>U631-V1274</f>
        <v>4.8825606977101962E-2</v>
      </c>
      <c r="X631" t="s">
        <v>666</v>
      </c>
      <c r="Y631">
        <v>2.61</v>
      </c>
      <c r="Z631" s="48">
        <f t="shared" si="67"/>
        <v>0</v>
      </c>
      <c r="AA631" s="5">
        <f>Z631-Y1274</f>
        <v>-4.2173194692741341E-3</v>
      </c>
      <c r="AD631" s="1">
        <v>44781</v>
      </c>
      <c r="AE631">
        <v>75.540000000000006</v>
      </c>
      <c r="AF631" s="29">
        <f t="shared" si="68"/>
        <v>3.4369437217581789E-2</v>
      </c>
    </row>
    <row r="632" spans="1:32">
      <c r="A632" s="220">
        <v>44600</v>
      </c>
      <c r="B632" s="222">
        <v>29.25</v>
      </c>
      <c r="C632" s="227">
        <f t="shared" si="63"/>
        <v>-3.1136137793971508E-2</v>
      </c>
      <c r="D632" s="5">
        <f>C632-C1275</f>
        <v>-3.1214183363530396E-2</v>
      </c>
      <c r="F632" s="8"/>
      <c r="H632" s="1">
        <v>44628</v>
      </c>
      <c r="I632">
        <v>16.71</v>
      </c>
      <c r="J632" s="227">
        <f t="shared" si="64"/>
        <v>-3.910293271995402E-2</v>
      </c>
      <c r="K632" s="5">
        <f>J632-J1276</f>
        <v>-4.1238888635563978E-2</v>
      </c>
      <c r="M632" s="241">
        <v>44689</v>
      </c>
      <c r="N632">
        <v>4145.1899999999996</v>
      </c>
      <c r="O632" s="227">
        <f t="shared" si="65"/>
        <v>1.239112476630666E-3</v>
      </c>
      <c r="P632" s="5">
        <f>O632-O1278</f>
        <v>1.6048696775438375E-3</v>
      </c>
      <c r="Q632" s="8">
        <f t="shared" si="69"/>
        <v>2.5756066818996612E-6</v>
      </c>
      <c r="S632" s="1">
        <v>44689</v>
      </c>
      <c r="T632">
        <v>3.81</v>
      </c>
      <c r="U632" s="29">
        <f t="shared" si="66"/>
        <v>1.8716577540106805E-2</v>
      </c>
      <c r="V632" s="5">
        <f>U632-V1274</f>
        <v>1.6980386764399766E-2</v>
      </c>
      <c r="X632" t="s">
        <v>667</v>
      </c>
      <c r="Y632">
        <v>2.82</v>
      </c>
      <c r="Z632" s="48">
        <f t="shared" si="67"/>
        <v>8.0459770114942541E-2</v>
      </c>
      <c r="AA632" s="5">
        <f>Z632-Y1274</f>
        <v>7.6242450645668411E-2</v>
      </c>
      <c r="AD632" s="1">
        <v>44689</v>
      </c>
      <c r="AE632">
        <v>80.290000000000006</v>
      </c>
      <c r="AF632" s="29">
        <f t="shared" si="68"/>
        <v>6.2880593063277646E-2</v>
      </c>
    </row>
    <row r="633" spans="1:32">
      <c r="A633" s="220">
        <v>44569</v>
      </c>
      <c r="B633" s="222">
        <v>24.6</v>
      </c>
      <c r="C633" s="227">
        <f t="shared" si="63"/>
        <v>-0.15897435897435896</v>
      </c>
      <c r="D633" s="5">
        <f>C633-C1275</f>
        <v>-0.15905240454391786</v>
      </c>
      <c r="F633" s="8"/>
      <c r="H633" s="1">
        <v>44600</v>
      </c>
      <c r="I633">
        <v>16.16</v>
      </c>
      <c r="J633" s="227">
        <f t="shared" si="64"/>
        <v>-3.2914422501496121E-2</v>
      </c>
      <c r="K633" s="5">
        <f>J633-J1276</f>
        <v>-3.5050378417106079E-2</v>
      </c>
      <c r="M633" s="241">
        <v>44659</v>
      </c>
      <c r="N633">
        <v>4151.9399999999996</v>
      </c>
      <c r="O633" s="227">
        <f t="shared" si="65"/>
        <v>1.6283933908940451E-3</v>
      </c>
      <c r="P633" s="5">
        <f>O633-O1278</f>
        <v>1.9941505918072166E-3</v>
      </c>
      <c r="Q633" s="8">
        <f t="shared" si="69"/>
        <v>3.9766365828050719E-6</v>
      </c>
      <c r="S633" s="1">
        <v>44659</v>
      </c>
      <c r="T633">
        <v>3.62</v>
      </c>
      <c r="U633" s="29">
        <f t="shared" si="66"/>
        <v>-4.986876640419946E-2</v>
      </c>
      <c r="V633" s="5">
        <f>U633-V1274</f>
        <v>-5.1604957179906499E-2</v>
      </c>
      <c r="X633" t="s">
        <v>668</v>
      </c>
      <c r="Y633">
        <v>2.94</v>
      </c>
      <c r="Z633" s="48">
        <f t="shared" si="67"/>
        <v>4.2553191489361764E-2</v>
      </c>
      <c r="AA633" s="5">
        <f>Z633-Y1274</f>
        <v>3.8335872020087633E-2</v>
      </c>
      <c r="AD633" s="1">
        <v>44659</v>
      </c>
      <c r="AE633">
        <v>81.36</v>
      </c>
      <c r="AF633" s="29">
        <f t="shared" si="68"/>
        <v>1.3326690746045422E-2</v>
      </c>
    </row>
    <row r="634" spans="1:32">
      <c r="A634" s="3" t="s">
        <v>672</v>
      </c>
      <c r="B634" s="222">
        <v>23.45</v>
      </c>
      <c r="C634" s="227">
        <f t="shared" si="63"/>
        <v>-4.6747967479674912E-2</v>
      </c>
      <c r="D634" s="5">
        <f>C634-C1275</f>
        <v>-4.6826013049233804E-2</v>
      </c>
      <c r="F634" s="8"/>
      <c r="H634" s="1">
        <v>44569</v>
      </c>
      <c r="I634">
        <v>13.9</v>
      </c>
      <c r="J634" s="227">
        <f t="shared" si="64"/>
        <v>-0.13985148514851486</v>
      </c>
      <c r="K634" s="5">
        <f>J634-J1276</f>
        <v>-0.14198744106412481</v>
      </c>
      <c r="M634" s="241">
        <v>44628</v>
      </c>
      <c r="N634">
        <v>4155.17</v>
      </c>
      <c r="O634" s="227">
        <f t="shared" si="65"/>
        <v>7.7794958501331557E-4</v>
      </c>
      <c r="P634" s="5">
        <f>O634-O1278</f>
        <v>1.1437067859264871E-3</v>
      </c>
      <c r="Q634" s="8">
        <f t="shared" si="69"/>
        <v>1.3080652121742953E-6</v>
      </c>
      <c r="S634" s="1">
        <v>44628</v>
      </c>
      <c r="T634">
        <v>3.3</v>
      </c>
      <c r="U634" s="29">
        <f t="shared" si="66"/>
        <v>-8.8397790055248726E-2</v>
      </c>
      <c r="V634" s="5">
        <f>U634-V1274</f>
        <v>-9.0133980830955765E-2</v>
      </c>
      <c r="X634" t="s">
        <v>669</v>
      </c>
      <c r="Y634">
        <v>2.8</v>
      </c>
      <c r="Z634" s="48">
        <f t="shared" si="67"/>
        <v>-4.7619047619047672E-2</v>
      </c>
      <c r="AA634" s="5">
        <f>Z634-Y1274</f>
        <v>-5.1836367088321803E-2</v>
      </c>
      <c r="AD634" s="1">
        <v>44628</v>
      </c>
      <c r="AE634">
        <v>79.5</v>
      </c>
      <c r="AF634" s="29">
        <f t="shared" si="68"/>
        <v>-2.2861356932153409E-2</v>
      </c>
    </row>
    <row r="635" spans="1:32">
      <c r="A635" s="3" t="s">
        <v>673</v>
      </c>
      <c r="B635" s="222">
        <v>23.31</v>
      </c>
      <c r="C635" s="227">
        <f t="shared" si="63"/>
        <v>-5.9701492537314049E-3</v>
      </c>
      <c r="D635" s="5">
        <f>C635-C1275</f>
        <v>-6.0481948232902942E-3</v>
      </c>
      <c r="F635" s="8"/>
      <c r="H635" t="s">
        <v>672</v>
      </c>
      <c r="I635">
        <v>13.86</v>
      </c>
      <c r="J635" s="227">
        <f t="shared" si="64"/>
        <v>-2.8776978417266452E-3</v>
      </c>
      <c r="K635" s="5">
        <f>J635-J1276</f>
        <v>-5.013653757336603E-3</v>
      </c>
      <c r="M635" s="241">
        <v>44600</v>
      </c>
      <c r="N635">
        <v>4091.19</v>
      </c>
      <c r="O635" s="227">
        <f t="shared" si="65"/>
        <v>-1.5397685293261132E-2</v>
      </c>
      <c r="P635" s="5">
        <f>O635-O1278</f>
        <v>-1.5031928092347961E-2</v>
      </c>
      <c r="Q635" s="8">
        <f t="shared" si="69"/>
        <v>2.2595886217351981E-4</v>
      </c>
      <c r="S635" s="1">
        <v>44600</v>
      </c>
      <c r="T635">
        <v>3.1</v>
      </c>
      <c r="U635" s="29">
        <f t="shared" si="66"/>
        <v>-6.0606060606060552E-2</v>
      </c>
      <c r="V635" s="5">
        <f>U635-V1274</f>
        <v>-6.2342251381767591E-2</v>
      </c>
      <c r="X635" t="s">
        <v>670</v>
      </c>
      <c r="Y635">
        <v>2.89</v>
      </c>
      <c r="Z635" s="48">
        <f t="shared" si="67"/>
        <v>3.2142857142857251E-2</v>
      </c>
      <c r="AA635" s="5">
        <f>Z635-Y1274</f>
        <v>2.7925537673583117E-2</v>
      </c>
      <c r="AD635" s="1">
        <v>44600</v>
      </c>
      <c r="AE635">
        <v>75.739999999999995</v>
      </c>
      <c r="AF635" s="29">
        <f t="shared" si="68"/>
        <v>-4.7295597484276808E-2</v>
      </c>
    </row>
    <row r="636" spans="1:32">
      <c r="A636" s="3" t="s">
        <v>674</v>
      </c>
      <c r="B636" s="222">
        <v>23.09</v>
      </c>
      <c r="C636" s="227">
        <f t="shared" si="63"/>
        <v>-9.4380094380094315E-3</v>
      </c>
      <c r="D636" s="5">
        <f>C636-C1275</f>
        <v>-9.5160550075683199E-3</v>
      </c>
      <c r="E636" s="1"/>
      <c r="F636" s="8"/>
      <c r="H636" t="s">
        <v>673</v>
      </c>
      <c r="I636">
        <v>13.88</v>
      </c>
      <c r="J636" s="227">
        <f t="shared" si="64"/>
        <v>1.4430014430015792E-3</v>
      </c>
      <c r="K636" s="5">
        <f>J636-J1276</f>
        <v>-6.9295447260837861E-4</v>
      </c>
      <c r="M636" s="241">
        <v>44569</v>
      </c>
      <c r="N636">
        <v>4118.63</v>
      </c>
      <c r="O636" s="227">
        <f t="shared" si="65"/>
        <v>6.7070950016987485E-3</v>
      </c>
      <c r="P636" s="5">
        <f>O636-O1278</f>
        <v>7.0728522026119204E-3</v>
      </c>
      <c r="Q636" s="8">
        <f t="shared" si="69"/>
        <v>5.0025238279992291E-5</v>
      </c>
      <c r="S636" s="1">
        <v>44569</v>
      </c>
      <c r="T636">
        <v>2.88</v>
      </c>
      <c r="U636" s="29">
        <f t="shared" si="66"/>
        <v>-7.0967741935483941E-2</v>
      </c>
      <c r="V636" s="5">
        <f>U636-V1274</f>
        <v>-7.270393271119098E-2</v>
      </c>
      <c r="X636" t="s">
        <v>671</v>
      </c>
      <c r="Y636">
        <v>2.88</v>
      </c>
      <c r="Z636" s="48">
        <f t="shared" si="67"/>
        <v>-3.4602076124568004E-3</v>
      </c>
      <c r="AA636" s="5">
        <f>Z636-Y1274</f>
        <v>-7.6775270817309345E-3</v>
      </c>
      <c r="AD636" s="1">
        <v>44569</v>
      </c>
      <c r="AE636">
        <v>72.03</v>
      </c>
      <c r="AF636" s="29">
        <f t="shared" si="68"/>
        <v>-4.8983364140480545E-2</v>
      </c>
    </row>
    <row r="637" spans="1:32">
      <c r="A637" s="3" t="s">
        <v>675</v>
      </c>
      <c r="B637" s="222">
        <v>22.55</v>
      </c>
      <c r="C637" s="227">
        <f t="shared" si="63"/>
        <v>-2.3386747509744454E-2</v>
      </c>
      <c r="D637" s="5">
        <f>C637-C1275</f>
        <v>-2.3464793079303343E-2</v>
      </c>
      <c r="E637" s="1"/>
      <c r="F637" s="8"/>
      <c r="H637" t="s">
        <v>674</v>
      </c>
      <c r="I637">
        <v>13.31</v>
      </c>
      <c r="J637" s="227">
        <f t="shared" si="64"/>
        <v>-4.1066282420749278E-2</v>
      </c>
      <c r="K637" s="5">
        <f>J637-J1276</f>
        <v>-4.3202238336359236E-2</v>
      </c>
      <c r="M637" s="240" t="s">
        <v>672</v>
      </c>
      <c r="N637">
        <v>4130.29</v>
      </c>
      <c r="O637" s="227">
        <f t="shared" si="65"/>
        <v>2.8310384763865493E-3</v>
      </c>
      <c r="P637" s="5">
        <f>O637-O1278</f>
        <v>3.1967956772997208E-3</v>
      </c>
      <c r="Q637" s="8">
        <f t="shared" si="69"/>
        <v>1.021950260240218E-5</v>
      </c>
      <c r="S637" t="s">
        <v>672</v>
      </c>
      <c r="T637">
        <v>2.95</v>
      </c>
      <c r="U637" s="29">
        <f t="shared" si="66"/>
        <v>2.430555555555558E-2</v>
      </c>
      <c r="V637" s="5">
        <f>U637-V1274</f>
        <v>2.2569364779848541E-2</v>
      </c>
      <c r="X637" s="1">
        <v>44903</v>
      </c>
      <c r="Y637">
        <v>2.94</v>
      </c>
      <c r="Z637" s="48">
        <f t="shared" si="67"/>
        <v>2.0833333333333259E-2</v>
      </c>
      <c r="AA637" s="5">
        <f>Z637-Y1274</f>
        <v>1.6616013864059125E-2</v>
      </c>
      <c r="AD637" t="s">
        <v>672</v>
      </c>
      <c r="AE637">
        <v>69.75</v>
      </c>
      <c r="AF637" s="29">
        <f t="shared" si="68"/>
        <v>-3.1653477717617728E-2</v>
      </c>
    </row>
    <row r="638" spans="1:32">
      <c r="A638" s="3" t="s">
        <v>676</v>
      </c>
      <c r="B638" s="222">
        <v>23.35</v>
      </c>
      <c r="C638" s="227">
        <f t="shared" si="63"/>
        <v>3.5476718403547602E-2</v>
      </c>
      <c r="D638" s="5">
        <f>C638-C1275</f>
        <v>3.5398672833988711E-2</v>
      </c>
      <c r="E638" s="1"/>
      <c r="F638" s="8"/>
      <c r="H638" t="s">
        <v>675</v>
      </c>
      <c r="I638">
        <v>12.53</v>
      </c>
      <c r="J638" s="227">
        <f t="shared" si="64"/>
        <v>-5.8602554470323143E-2</v>
      </c>
      <c r="K638" s="5">
        <f>J638-J1276</f>
        <v>-6.07385103859331E-2</v>
      </c>
      <c r="M638" s="240" t="s">
        <v>673</v>
      </c>
      <c r="N638">
        <v>4072.43</v>
      </c>
      <c r="O638" s="227">
        <f t="shared" si="65"/>
        <v>-1.40087015681708E-2</v>
      </c>
      <c r="P638" s="5">
        <f>O638-O1278</f>
        <v>-1.3642944367257629E-2</v>
      </c>
      <c r="Q638" s="8">
        <f t="shared" si="69"/>
        <v>1.8612993100808667E-4</v>
      </c>
      <c r="S638" t="s">
        <v>673</v>
      </c>
      <c r="T638">
        <v>2.97</v>
      </c>
      <c r="U638" s="29">
        <f t="shared" si="66"/>
        <v>6.7796610169492677E-3</v>
      </c>
      <c r="V638" s="5">
        <f>U638-V1274</f>
        <v>5.0434702412422297E-3</v>
      </c>
      <c r="X638" s="1">
        <v>44873</v>
      </c>
      <c r="Y638">
        <v>3.01</v>
      </c>
      <c r="Z638" s="48">
        <f t="shared" si="67"/>
        <v>2.3809523809523725E-2</v>
      </c>
      <c r="AA638" s="5">
        <f>Z638-Y1274</f>
        <v>1.9592204340249591E-2</v>
      </c>
      <c r="AD638" t="s">
        <v>673</v>
      </c>
      <c r="AE638">
        <v>70.069999999999993</v>
      </c>
      <c r="AF638" s="29">
        <f t="shared" si="68"/>
        <v>4.5878136200716568E-3</v>
      </c>
    </row>
    <row r="639" spans="1:32">
      <c r="A639" s="3" t="s">
        <v>677</v>
      </c>
      <c r="B639" s="222">
        <v>23.3</v>
      </c>
      <c r="C639" s="227">
        <f t="shared" si="63"/>
        <v>-2.1413276231263545E-3</v>
      </c>
      <c r="D639" s="5">
        <f>C639-C1275</f>
        <v>-2.2193731926852438E-3</v>
      </c>
      <c r="E639" s="1"/>
      <c r="F639" s="8"/>
      <c r="H639" t="s">
        <v>676</v>
      </c>
      <c r="I639">
        <v>13.31</v>
      </c>
      <c r="J639" s="227">
        <f t="shared" si="64"/>
        <v>6.2250598563447834E-2</v>
      </c>
      <c r="K639" s="5">
        <f>J639-J1276</f>
        <v>6.0114642647837876E-2</v>
      </c>
      <c r="M639" s="240" t="s">
        <v>674</v>
      </c>
      <c r="N639">
        <v>4023.61</v>
      </c>
      <c r="O639" s="227">
        <f t="shared" si="65"/>
        <v>-1.1987928583179985E-2</v>
      </c>
      <c r="P639" s="5">
        <f>O639-O1278</f>
        <v>-1.1622171382266814E-2</v>
      </c>
      <c r="Q639" s="8">
        <f t="shared" si="69"/>
        <v>1.350748676387817E-4</v>
      </c>
      <c r="S639" t="s">
        <v>674</v>
      </c>
      <c r="T639">
        <v>2.93</v>
      </c>
      <c r="U639" s="29">
        <f t="shared" si="66"/>
        <v>-1.3468013468013518E-2</v>
      </c>
      <c r="V639" s="5">
        <f>U639-V1274</f>
        <v>-1.5204204243720557E-2</v>
      </c>
      <c r="X639" s="1">
        <v>44842</v>
      </c>
      <c r="Y639">
        <v>3</v>
      </c>
      <c r="Z639" s="48">
        <f t="shared" si="67"/>
        <v>-3.3222591362125353E-3</v>
      </c>
      <c r="AA639" s="5">
        <f>Z639-Y1274</f>
        <v>-7.5395786054866694E-3</v>
      </c>
      <c r="AD639" t="s">
        <v>674</v>
      </c>
      <c r="AE639">
        <v>71.42</v>
      </c>
      <c r="AF639" s="29">
        <f t="shared" si="68"/>
        <v>1.9266447837876566E-2</v>
      </c>
    </row>
    <row r="640" spans="1:32">
      <c r="A640" s="3" t="s">
        <v>678</v>
      </c>
      <c r="B640" s="222">
        <v>24.23</v>
      </c>
      <c r="C640" s="227">
        <f t="shared" si="63"/>
        <v>3.991416309012874E-2</v>
      </c>
      <c r="D640" s="5">
        <f>C640-C1275</f>
        <v>3.9836117520569848E-2</v>
      </c>
      <c r="E640" s="1"/>
      <c r="F640" s="8"/>
      <c r="H640" t="s">
        <v>677</v>
      </c>
      <c r="I640">
        <v>13.54</v>
      </c>
      <c r="J640" s="227">
        <f t="shared" si="64"/>
        <v>1.728024042073617E-2</v>
      </c>
      <c r="K640" s="5">
        <f>J640-J1276</f>
        <v>1.5144284505126213E-2</v>
      </c>
      <c r="M640" s="240" t="s">
        <v>675</v>
      </c>
      <c r="N640">
        <v>3921.05</v>
      </c>
      <c r="O640" s="227">
        <f t="shared" si="65"/>
        <v>-2.5489547943264856E-2</v>
      </c>
      <c r="P640" s="5">
        <f>O640-O1278</f>
        <v>-2.5123790742351684E-2</v>
      </c>
      <c r="Q640" s="8">
        <f t="shared" si="69"/>
        <v>6.3120486126547616E-4</v>
      </c>
      <c r="S640" t="s">
        <v>675</v>
      </c>
      <c r="T640">
        <v>2.89</v>
      </c>
      <c r="U640" s="29">
        <f t="shared" si="66"/>
        <v>-1.3651877133105783E-2</v>
      </c>
      <c r="V640" s="5">
        <f>U640-V1274</f>
        <v>-1.5388067908812822E-2</v>
      </c>
      <c r="X640" s="1">
        <v>44812</v>
      </c>
      <c r="Y640">
        <v>3.07</v>
      </c>
      <c r="Z640" s="48">
        <f t="shared" si="67"/>
        <v>2.3333333333333206E-2</v>
      </c>
      <c r="AA640" s="5">
        <f>Z640-Y1274</f>
        <v>1.9116013864059072E-2</v>
      </c>
      <c r="AD640" t="s">
        <v>675</v>
      </c>
      <c r="AE640">
        <v>68.7</v>
      </c>
      <c r="AF640" s="29">
        <f t="shared" si="68"/>
        <v>-3.8084570148417818E-2</v>
      </c>
    </row>
    <row r="641" spans="1:32">
      <c r="A641" s="3" t="s">
        <v>679</v>
      </c>
      <c r="B641" s="222">
        <v>24.12</v>
      </c>
      <c r="C641" s="227">
        <f t="shared" si="63"/>
        <v>-4.5398266611638149E-3</v>
      </c>
      <c r="D641" s="5">
        <f>C641-C1275</f>
        <v>-4.6178722307227043E-3</v>
      </c>
      <c r="E641" s="1"/>
      <c r="F641" s="8"/>
      <c r="H641" t="s">
        <v>678</v>
      </c>
      <c r="I641">
        <v>14.17</v>
      </c>
      <c r="J641" s="227">
        <f t="shared" si="64"/>
        <v>4.6528803545051733E-2</v>
      </c>
      <c r="K641" s="5">
        <f>J641-J1276</f>
        <v>4.4392847629441776E-2</v>
      </c>
      <c r="M641" s="240" t="s">
        <v>676</v>
      </c>
      <c r="N641">
        <v>3966.84</v>
      </c>
      <c r="O641" s="227">
        <f t="shared" si="65"/>
        <v>1.1677994414761361E-2</v>
      </c>
      <c r="P641" s="5">
        <f>O641-O1278</f>
        <v>1.2043751615674532E-2</v>
      </c>
      <c r="Q641" s="8">
        <f t="shared" si="69"/>
        <v>1.4505195298006291E-4</v>
      </c>
      <c r="S641" t="s">
        <v>676</v>
      </c>
      <c r="T641">
        <v>2.75</v>
      </c>
      <c r="U641" s="29">
        <f t="shared" si="66"/>
        <v>-4.844290657439454E-2</v>
      </c>
      <c r="V641" s="5">
        <f>U641-V1274</f>
        <v>-5.0179097350101579E-2</v>
      </c>
      <c r="X641" s="1">
        <v>44781</v>
      </c>
      <c r="Y641">
        <v>2.8935</v>
      </c>
      <c r="Z641" s="48">
        <f t="shared" si="67"/>
        <v>-5.7491856677524433E-2</v>
      </c>
      <c r="AA641" s="5">
        <f>Z641-Y1274</f>
        <v>-6.1709176146798564E-2</v>
      </c>
      <c r="AD641" t="s">
        <v>676</v>
      </c>
      <c r="AE641">
        <v>71.760000000000005</v>
      </c>
      <c r="AF641" s="29">
        <f t="shared" si="68"/>
        <v>4.4541484716157154E-2</v>
      </c>
    </row>
    <row r="642" spans="1:32">
      <c r="A642" s="3" t="s">
        <v>680</v>
      </c>
      <c r="B642" s="222">
        <v>22.67</v>
      </c>
      <c r="C642" s="227">
        <f t="shared" si="63"/>
        <v>-6.0116086235489141E-2</v>
      </c>
      <c r="D642" s="5">
        <f>C642-C1275</f>
        <v>-6.0194131805048033E-2</v>
      </c>
      <c r="E642" s="1"/>
      <c r="F642" s="8"/>
      <c r="H642" t="s">
        <v>679</v>
      </c>
      <c r="I642">
        <v>14.7</v>
      </c>
      <c r="J642" s="227">
        <f t="shared" si="64"/>
        <v>3.7402964008468542E-2</v>
      </c>
      <c r="K642" s="5">
        <f>J642-J1276</f>
        <v>3.5267008092858584E-2</v>
      </c>
      <c r="M642" s="240" t="s">
        <v>677</v>
      </c>
      <c r="N642">
        <v>3961.63</v>
      </c>
      <c r="O642" s="227">
        <f t="shared" si="65"/>
        <v>-1.3133879864073439E-3</v>
      </c>
      <c r="P642" s="5">
        <f>O642-O1278</f>
        <v>-9.476307854941724E-4</v>
      </c>
      <c r="Q642" s="8">
        <f t="shared" si="69"/>
        <v>8.9800410561630221E-7</v>
      </c>
      <c r="S642" t="s">
        <v>677</v>
      </c>
      <c r="T642">
        <v>2.73</v>
      </c>
      <c r="U642" s="29">
        <f t="shared" si="66"/>
        <v>-7.2727272727273196E-3</v>
      </c>
      <c r="V642" s="5">
        <f>U642-V1274</f>
        <v>-9.0089180484343584E-3</v>
      </c>
      <c r="X642" s="1">
        <v>44689</v>
      </c>
      <c r="Y642">
        <v>2.82</v>
      </c>
      <c r="Z642" s="48">
        <f t="shared" si="67"/>
        <v>-2.5401762571280462E-2</v>
      </c>
      <c r="AA642" s="5">
        <f>Z642-Y1274</f>
        <v>-2.9619082040554596E-2</v>
      </c>
      <c r="AD642" t="s">
        <v>677</v>
      </c>
      <c r="AE642">
        <v>73.45</v>
      </c>
      <c r="AF642" s="29">
        <f t="shared" si="68"/>
        <v>2.3550724637681153E-2</v>
      </c>
    </row>
    <row r="643" spans="1:32">
      <c r="A643" s="3" t="s">
        <v>681</v>
      </c>
      <c r="B643" s="222">
        <v>22.58</v>
      </c>
      <c r="C643" s="227">
        <f t="shared" si="63"/>
        <v>-3.9700044111161681E-3</v>
      </c>
      <c r="D643" s="5">
        <f>C643-C1275</f>
        <v>-4.0480499806750574E-3</v>
      </c>
      <c r="F643" s="8"/>
      <c r="H643" t="s">
        <v>680</v>
      </c>
      <c r="I643">
        <v>13.66</v>
      </c>
      <c r="J643" s="227">
        <f t="shared" si="64"/>
        <v>-7.0748299319727814E-2</v>
      </c>
      <c r="K643" s="5">
        <f>J643-J1276</f>
        <v>-7.2884255235337772E-2</v>
      </c>
      <c r="M643" s="240" t="s">
        <v>678</v>
      </c>
      <c r="N643">
        <v>3998.95</v>
      </c>
      <c r="O643" s="227">
        <f t="shared" si="65"/>
        <v>9.4203648498218939E-3</v>
      </c>
      <c r="P643" s="5">
        <f>O643-O1278</f>
        <v>9.786122050735065E-3</v>
      </c>
      <c r="Q643" s="8">
        <f t="shared" si="69"/>
        <v>9.5768184791883071E-5</v>
      </c>
      <c r="S643" t="s">
        <v>678</v>
      </c>
      <c r="T643">
        <v>2.93</v>
      </c>
      <c r="U643" s="29">
        <f t="shared" si="66"/>
        <v>7.3260073260073222E-2</v>
      </c>
      <c r="V643" s="5">
        <f>U643-V1274</f>
        <v>7.1523882484366183E-2</v>
      </c>
      <c r="X643" s="1">
        <v>44659</v>
      </c>
      <c r="Y643">
        <v>2.92</v>
      </c>
      <c r="Z643" s="48">
        <f t="shared" si="67"/>
        <v>3.5460992907801359E-2</v>
      </c>
      <c r="AA643" s="5">
        <f>Z643-Y1274</f>
        <v>3.1243673438527225E-2</v>
      </c>
      <c r="AD643" t="s">
        <v>678</v>
      </c>
      <c r="AE643">
        <v>77.61</v>
      </c>
      <c r="AF643" s="29">
        <f t="shared" si="68"/>
        <v>5.663716814159292E-2</v>
      </c>
    </row>
    <row r="644" spans="1:32">
      <c r="A644" s="3" t="s">
        <v>682</v>
      </c>
      <c r="B644" s="222">
        <v>21.67</v>
      </c>
      <c r="C644" s="227">
        <f t="shared" si="63"/>
        <v>-4.0301151461470175E-2</v>
      </c>
      <c r="D644" s="5">
        <f>C644-C1275</f>
        <v>-4.0379197031029067E-2</v>
      </c>
      <c r="F644" s="8"/>
      <c r="H644" t="s">
        <v>681</v>
      </c>
      <c r="I644">
        <v>13.41</v>
      </c>
      <c r="J644" s="227">
        <f t="shared" si="64"/>
        <v>-1.8301610541727631E-2</v>
      </c>
      <c r="K644" s="5">
        <f>J644-J1276</f>
        <v>-2.0437566457337589E-2</v>
      </c>
      <c r="M644" s="240" t="s">
        <v>679</v>
      </c>
      <c r="N644">
        <v>3959.9</v>
      </c>
      <c r="O644" s="227">
        <f t="shared" si="65"/>
        <v>-9.7650633291238575E-3</v>
      </c>
      <c r="P644" s="5">
        <f>O644-O1278</f>
        <v>-9.3993061282106865E-3</v>
      </c>
      <c r="Q644" s="8">
        <f t="shared" si="69"/>
        <v>8.8346955691818961E-5</v>
      </c>
      <c r="S644" t="s">
        <v>679</v>
      </c>
      <c r="T644">
        <v>2.89</v>
      </c>
      <c r="U644" s="29">
        <f t="shared" si="66"/>
        <v>-1.3651877133105783E-2</v>
      </c>
      <c r="V644" s="5">
        <f>U644-V1274</f>
        <v>-1.5388067908812822E-2</v>
      </c>
      <c r="X644" s="1">
        <v>44628</v>
      </c>
      <c r="Y644">
        <v>2.87</v>
      </c>
      <c r="Z644" s="48">
        <f t="shared" si="67"/>
        <v>-1.7123287671232834E-2</v>
      </c>
      <c r="AA644" s="5">
        <f>Z644-Y1274</f>
        <v>-2.1340607140506968E-2</v>
      </c>
      <c r="AD644" t="s">
        <v>679</v>
      </c>
      <c r="AE644">
        <v>77.17</v>
      </c>
      <c r="AF644" s="29">
        <f t="shared" si="68"/>
        <v>-5.6693725035433795E-3</v>
      </c>
    </row>
    <row r="645" spans="1:32">
      <c r="A645" s="3" t="s">
        <v>683</v>
      </c>
      <c r="B645" s="222">
        <v>20.65</v>
      </c>
      <c r="C645" s="227">
        <f t="shared" si="63"/>
        <v>-4.7069681587448176E-2</v>
      </c>
      <c r="D645" s="5">
        <f>C645-C1275</f>
        <v>-4.7147727157007067E-2</v>
      </c>
      <c r="F645" s="8"/>
      <c r="H645" t="s">
        <v>682</v>
      </c>
      <c r="I645">
        <v>12.94</v>
      </c>
      <c r="J645" s="227">
        <f t="shared" si="64"/>
        <v>-3.5048471290082039E-2</v>
      </c>
      <c r="K645" s="5">
        <f>J645-J1276</f>
        <v>-3.7184427205691997E-2</v>
      </c>
      <c r="M645" s="240" t="s">
        <v>680</v>
      </c>
      <c r="N645">
        <v>3936.69</v>
      </c>
      <c r="O645" s="227">
        <f t="shared" si="65"/>
        <v>-5.8612591227050759E-3</v>
      </c>
      <c r="P645" s="5">
        <f>O645-O1278</f>
        <v>-5.495501921791904E-3</v>
      </c>
      <c r="Q645" s="8">
        <f t="shared" si="69"/>
        <v>3.0200541372418508E-5</v>
      </c>
      <c r="S645" t="s">
        <v>680</v>
      </c>
      <c r="T645">
        <v>2.82</v>
      </c>
      <c r="U645" s="29">
        <f t="shared" si="66"/>
        <v>-2.4221453287197381E-2</v>
      </c>
      <c r="V645" s="5">
        <f>U645-V1274</f>
        <v>-2.595764406290442E-2</v>
      </c>
      <c r="X645" s="1">
        <v>44600</v>
      </c>
      <c r="Y645">
        <v>2.64</v>
      </c>
      <c r="Z645" s="48">
        <f t="shared" si="67"/>
        <v>-8.0139372822299659E-2</v>
      </c>
      <c r="AA645" s="5">
        <f>Z645-Y1274</f>
        <v>-8.435669229157379E-2</v>
      </c>
      <c r="AD645" t="s">
        <v>680</v>
      </c>
      <c r="AE645">
        <v>73.739999999999995</v>
      </c>
      <c r="AF645" s="29">
        <f t="shared" si="68"/>
        <v>-4.4447324089672224E-2</v>
      </c>
    </row>
    <row r="646" spans="1:32">
      <c r="A646" s="3" t="s">
        <v>684</v>
      </c>
      <c r="B646" s="222">
        <v>21.5</v>
      </c>
      <c r="C646" s="227">
        <f t="shared" si="63"/>
        <v>4.1162227602905554E-2</v>
      </c>
      <c r="D646" s="5">
        <f>C646-C1275</f>
        <v>4.1084182033346663E-2</v>
      </c>
      <c r="F646" s="8"/>
      <c r="H646" t="s">
        <v>683</v>
      </c>
      <c r="I646">
        <v>12.09</v>
      </c>
      <c r="J646" s="227">
        <f t="shared" si="64"/>
        <v>-6.5687789799072638E-2</v>
      </c>
      <c r="K646" s="5">
        <f>J646-J1276</f>
        <v>-6.7823745714682596E-2</v>
      </c>
      <c r="M646" s="240" t="s">
        <v>681</v>
      </c>
      <c r="N646">
        <v>3830.85</v>
      </c>
      <c r="O646" s="227">
        <f t="shared" si="65"/>
        <v>-2.6885530737751795E-2</v>
      </c>
      <c r="P646" s="5">
        <f>O646-O1278</f>
        <v>-2.6519773536838622E-2</v>
      </c>
      <c r="Q646" s="8">
        <f t="shared" si="69"/>
        <v>7.0329838844520611E-4</v>
      </c>
      <c r="S646" t="s">
        <v>681</v>
      </c>
      <c r="T646">
        <v>2.73</v>
      </c>
      <c r="U646" s="29">
        <f t="shared" si="66"/>
        <v>-3.1914893617021267E-2</v>
      </c>
      <c r="V646" s="5">
        <f>U646-V1274</f>
        <v>-3.3651084392728306E-2</v>
      </c>
      <c r="X646" s="1">
        <v>44569</v>
      </c>
      <c r="Y646">
        <v>2.5499999999999998</v>
      </c>
      <c r="Z646" s="48">
        <f t="shared" si="67"/>
        <v>-3.4090909090909172E-2</v>
      </c>
      <c r="AA646" s="5">
        <f>Z646-Y1274</f>
        <v>-3.8308228560183302E-2</v>
      </c>
      <c r="AD646" t="s">
        <v>681</v>
      </c>
      <c r="AE646">
        <v>72.44</v>
      </c>
      <c r="AF646" s="29">
        <f t="shared" si="68"/>
        <v>-1.7629509085977713E-2</v>
      </c>
    </row>
    <row r="647" spans="1:32">
      <c r="A647" s="220">
        <v>44902</v>
      </c>
      <c r="B647" s="222">
        <v>21.57</v>
      </c>
      <c r="C647" s="227">
        <f t="shared" si="63"/>
        <v>3.2558139534883956E-3</v>
      </c>
      <c r="D647" s="5">
        <f>C647-C1275</f>
        <v>3.1777683839295063E-3</v>
      </c>
      <c r="F647" s="8"/>
      <c r="H647" t="s">
        <v>684</v>
      </c>
      <c r="I647">
        <v>12.51</v>
      </c>
      <c r="J647" s="227">
        <f t="shared" si="64"/>
        <v>3.4739454094292688E-2</v>
      </c>
      <c r="K647" s="5">
        <f>J647-J1276</f>
        <v>3.260349817868273E-2</v>
      </c>
      <c r="M647" s="240" t="s">
        <v>682</v>
      </c>
      <c r="N647">
        <v>3863.16</v>
      </c>
      <c r="O647" s="227">
        <f t="shared" si="65"/>
        <v>8.4341595207328979E-3</v>
      </c>
      <c r="P647" s="5">
        <f>O647-O1278</f>
        <v>8.7999167216460689E-3</v>
      </c>
      <c r="Q647" s="8">
        <f t="shared" si="69"/>
        <v>7.7438534307906092E-5</v>
      </c>
      <c r="S647" t="s">
        <v>682</v>
      </c>
      <c r="T647">
        <v>2.4900000000000002</v>
      </c>
      <c r="U647" s="29">
        <f t="shared" si="66"/>
        <v>-8.7912087912087822E-2</v>
      </c>
      <c r="V647" s="5">
        <f>U647-V1274</f>
        <v>-8.9648278687794861E-2</v>
      </c>
      <c r="X647" t="s">
        <v>672</v>
      </c>
      <c r="Y647">
        <v>2.86</v>
      </c>
      <c r="Z647" s="48">
        <f t="shared" si="67"/>
        <v>0.1215686274509804</v>
      </c>
      <c r="AA647" s="5">
        <f>Z647-Y1274</f>
        <v>0.11735130798170627</v>
      </c>
      <c r="AD647" t="s">
        <v>682</v>
      </c>
      <c r="AE647">
        <v>70.099999999999994</v>
      </c>
      <c r="AF647" s="29">
        <f t="shared" si="68"/>
        <v>-3.2302595251242461E-2</v>
      </c>
    </row>
    <row r="648" spans="1:32">
      <c r="A648" s="220">
        <v>44872</v>
      </c>
      <c r="B648" s="222">
        <v>21.19</v>
      </c>
      <c r="C648" s="227">
        <f t="shared" si="63"/>
        <v>-1.7617060732498802E-2</v>
      </c>
      <c r="D648" s="5">
        <f>C648-C1275</f>
        <v>-1.769510630205769E-2</v>
      </c>
      <c r="F648" s="8"/>
      <c r="H648" s="1">
        <v>44902</v>
      </c>
      <c r="I648">
        <v>12.61</v>
      </c>
      <c r="J648" s="227">
        <f t="shared" si="64"/>
        <v>7.9936051159072985E-3</v>
      </c>
      <c r="K648" s="5">
        <f>J648-J1276</f>
        <v>5.8576492002973407E-3</v>
      </c>
      <c r="M648" s="240" t="s">
        <v>683</v>
      </c>
      <c r="N648">
        <v>3790.38</v>
      </c>
      <c r="O648" s="227">
        <f t="shared" si="65"/>
        <v>-1.8839499270027593E-2</v>
      </c>
      <c r="P648" s="5">
        <f>O648-O1278</f>
        <v>-1.847374206911442E-2</v>
      </c>
      <c r="Q648" s="8">
        <f t="shared" si="69"/>
        <v>3.4127914603616796E-4</v>
      </c>
      <c r="S648" t="s">
        <v>683</v>
      </c>
      <c r="T648">
        <v>2.48</v>
      </c>
      <c r="U648" s="29">
        <f t="shared" si="66"/>
        <v>-4.0160642570281624E-3</v>
      </c>
      <c r="V648" s="5">
        <f>U648-V1274</f>
        <v>-5.7522550327352004E-3</v>
      </c>
      <c r="X648" t="s">
        <v>673</v>
      </c>
      <c r="Y648">
        <v>3.09</v>
      </c>
      <c r="Z648" s="48">
        <f t="shared" si="67"/>
        <v>8.0419580419580416E-2</v>
      </c>
      <c r="AA648" s="5">
        <f>Z648-Y1274</f>
        <v>7.6202260950306286E-2</v>
      </c>
      <c r="AD648" t="s">
        <v>683</v>
      </c>
      <c r="AE648">
        <v>69.33</v>
      </c>
      <c r="AF648" s="29">
        <f t="shared" si="68"/>
        <v>-1.0984308131241072E-2</v>
      </c>
    </row>
    <row r="649" spans="1:32">
      <c r="A649" s="220">
        <v>44780</v>
      </c>
      <c r="B649" s="222">
        <v>22.34</v>
      </c>
      <c r="C649" s="227">
        <f t="shared" si="63"/>
        <v>5.4270882491741279E-2</v>
      </c>
      <c r="D649" s="5">
        <f>C649-C1275</f>
        <v>5.4192836922182387E-2</v>
      </c>
      <c r="F649" s="8"/>
      <c r="H649" s="1">
        <v>44872</v>
      </c>
      <c r="I649">
        <v>12.36</v>
      </c>
      <c r="J649" s="227">
        <f t="shared" si="64"/>
        <v>-1.9825535289452856E-2</v>
      </c>
      <c r="K649" s="5">
        <f>J649-J1276</f>
        <v>-2.1961491205062814E-2</v>
      </c>
      <c r="M649" s="240" t="s">
        <v>684</v>
      </c>
      <c r="N649">
        <v>3801.78</v>
      </c>
      <c r="O649" s="227">
        <f t="shared" si="65"/>
        <v>3.0076140123154183E-3</v>
      </c>
      <c r="P649" s="5">
        <f>O649-O1278</f>
        <v>3.3733712132285897E-3</v>
      </c>
      <c r="Q649" s="8">
        <f t="shared" si="69"/>
        <v>1.1379633342239328E-5</v>
      </c>
      <c r="S649" t="s">
        <v>684</v>
      </c>
      <c r="T649">
        <v>2.5</v>
      </c>
      <c r="U649" s="29">
        <f t="shared" si="66"/>
        <v>8.0645161290322509E-3</v>
      </c>
      <c r="V649" s="5">
        <f>U649-V1274</f>
        <v>6.3283253533252129E-3</v>
      </c>
      <c r="X649" t="s">
        <v>674</v>
      </c>
      <c r="Y649">
        <v>3.05</v>
      </c>
      <c r="Z649" s="48">
        <f t="shared" si="67"/>
        <v>-1.2944983818770184E-2</v>
      </c>
      <c r="AA649" s="5">
        <f>Z649-Y1274</f>
        <v>-1.7162303288044318E-2</v>
      </c>
      <c r="AD649" t="s">
        <v>684</v>
      </c>
      <c r="AE649">
        <v>71.739999999999995</v>
      </c>
      <c r="AF649" s="29">
        <f t="shared" si="68"/>
        <v>3.4761286600317298E-2</v>
      </c>
    </row>
    <row r="650" spans="1:32">
      <c r="A650" s="220">
        <v>44749</v>
      </c>
      <c r="B650" s="222">
        <v>22.74</v>
      </c>
      <c r="C650" s="227">
        <f t="shared" si="63"/>
        <v>1.7905102954342E-2</v>
      </c>
      <c r="D650" s="5">
        <f>C650-C1275</f>
        <v>1.7827057384783112E-2</v>
      </c>
      <c r="F650" s="8"/>
      <c r="H650" s="1">
        <v>44780</v>
      </c>
      <c r="I650">
        <v>13.4</v>
      </c>
      <c r="J650" s="227">
        <f t="shared" si="64"/>
        <v>8.4142394822006583E-2</v>
      </c>
      <c r="K650" s="5">
        <f>J650-J1276</f>
        <v>8.2006438906396625E-2</v>
      </c>
      <c r="M650" s="241">
        <v>44902</v>
      </c>
      <c r="N650">
        <v>3818.8</v>
      </c>
      <c r="O650" s="227">
        <f t="shared" si="65"/>
        <v>4.4768503174827945E-3</v>
      </c>
      <c r="P650" s="5">
        <f>O650-O1278</f>
        <v>4.8426075183959664E-3</v>
      </c>
      <c r="Q650" s="8">
        <f t="shared" si="69"/>
        <v>2.3450847577225141E-5</v>
      </c>
      <c r="S650" s="1">
        <v>44902</v>
      </c>
      <c r="T650">
        <v>2.5099999999999998</v>
      </c>
      <c r="U650" s="29">
        <f t="shared" si="66"/>
        <v>4.0000000000000036E-3</v>
      </c>
      <c r="V650" s="5">
        <f>U650-V1274</f>
        <v>2.2638092242929656E-3</v>
      </c>
      <c r="X650" t="s">
        <v>675</v>
      </c>
      <c r="Y650">
        <v>3.01</v>
      </c>
      <c r="Z650" s="48">
        <f t="shared" si="67"/>
        <v>-1.3114754098360715E-2</v>
      </c>
      <c r="AA650" s="5">
        <f>Z650-Y1274</f>
        <v>-1.7332073567634849E-2</v>
      </c>
      <c r="AD650" s="1">
        <v>44902</v>
      </c>
      <c r="AE650">
        <v>71.13</v>
      </c>
      <c r="AF650" s="29">
        <f t="shared" si="68"/>
        <v>-8.50292723724555E-3</v>
      </c>
    </row>
    <row r="651" spans="1:32">
      <c r="A651" s="220">
        <v>44719</v>
      </c>
      <c r="B651" s="222">
        <v>21.5</v>
      </c>
      <c r="C651" s="227">
        <f t="shared" si="63"/>
        <v>-5.4529463500439634E-2</v>
      </c>
      <c r="D651" s="5">
        <f>C651-C1275</f>
        <v>-5.4607509069998526E-2</v>
      </c>
      <c r="F651" s="8"/>
      <c r="H651" s="1">
        <v>44749</v>
      </c>
      <c r="I651">
        <v>13.76</v>
      </c>
      <c r="J651" s="227">
        <f t="shared" si="64"/>
        <v>2.6865671641790989E-2</v>
      </c>
      <c r="K651" s="5">
        <f>J651-J1276</f>
        <v>2.4729715726181031E-2</v>
      </c>
      <c r="M651" s="241">
        <v>44872</v>
      </c>
      <c r="N651">
        <v>3854.43</v>
      </c>
      <c r="O651" s="227">
        <f t="shared" si="65"/>
        <v>9.330156069969453E-3</v>
      </c>
      <c r="P651" s="5">
        <f>O651-O1278</f>
        <v>9.6959132708826241E-3</v>
      </c>
      <c r="Q651" s="8">
        <f t="shared" si="69"/>
        <v>9.4010734156477788E-5</v>
      </c>
      <c r="S651" s="1">
        <v>44872</v>
      </c>
      <c r="T651">
        <v>2.39</v>
      </c>
      <c r="U651" s="29">
        <f t="shared" si="66"/>
        <v>-4.780876494023889E-2</v>
      </c>
      <c r="V651" s="5">
        <f>U651-V1274</f>
        <v>-4.9544955715945929E-2</v>
      </c>
      <c r="X651" t="s">
        <v>676</v>
      </c>
      <c r="Y651">
        <v>3.38</v>
      </c>
      <c r="Z651" s="48">
        <f t="shared" si="67"/>
        <v>0.12292358803986714</v>
      </c>
      <c r="AA651" s="5">
        <f>Z651-Y1274</f>
        <v>0.11870626857059301</v>
      </c>
      <c r="AD651" s="1">
        <v>44872</v>
      </c>
      <c r="AE651">
        <v>71.319999999999993</v>
      </c>
      <c r="AF651" s="29">
        <f t="shared" si="68"/>
        <v>2.671165471671566E-3</v>
      </c>
    </row>
    <row r="652" spans="1:32">
      <c r="A652" s="220">
        <v>44688</v>
      </c>
      <c r="B652" s="222">
        <v>22.52</v>
      </c>
      <c r="C652" s="227">
        <f t="shared" si="63"/>
        <v>4.7441860465116337E-2</v>
      </c>
      <c r="D652" s="5">
        <f>C652-C1275</f>
        <v>4.7363814895557445E-2</v>
      </c>
      <c r="F652" s="8"/>
      <c r="H652" s="1">
        <v>44719</v>
      </c>
      <c r="I652">
        <v>13.22</v>
      </c>
      <c r="J652" s="227">
        <f t="shared" si="64"/>
        <v>-3.9244186046511587E-2</v>
      </c>
      <c r="K652" s="5">
        <f>J652-J1276</f>
        <v>-4.1380141962121544E-2</v>
      </c>
      <c r="M652" s="241">
        <v>44780</v>
      </c>
      <c r="N652">
        <v>3899.38</v>
      </c>
      <c r="O652" s="227">
        <f t="shared" si="65"/>
        <v>1.1661905910861137E-2</v>
      </c>
      <c r="P652" s="5">
        <f>O652-O1278</f>
        <v>1.2027663111774308E-2</v>
      </c>
      <c r="Q652" s="8">
        <f t="shared" si="69"/>
        <v>1.4466467993033642E-4</v>
      </c>
      <c r="S652" s="1">
        <v>44780</v>
      </c>
      <c r="T652">
        <v>2.5</v>
      </c>
      <c r="U652" s="29">
        <f t="shared" si="66"/>
        <v>4.6025104602510414E-2</v>
      </c>
      <c r="V652" s="5">
        <f>U652-V1274</f>
        <v>4.4288913826803375E-2</v>
      </c>
      <c r="X652" t="s">
        <v>677</v>
      </c>
      <c r="Y652">
        <v>3.56</v>
      </c>
      <c r="Z652" s="48">
        <f t="shared" si="67"/>
        <v>5.3254437869822535E-2</v>
      </c>
      <c r="AA652" s="5">
        <f>Z652-Y1274</f>
        <v>4.9037118400548405E-2</v>
      </c>
      <c r="AD652" s="1">
        <v>44780</v>
      </c>
      <c r="AE652">
        <v>74.959999999999994</v>
      </c>
      <c r="AF652" s="29">
        <f t="shared" si="68"/>
        <v>5.1037577117218236E-2</v>
      </c>
    </row>
    <row r="653" spans="1:32">
      <c r="A653" s="220">
        <v>44568</v>
      </c>
      <c r="B653" s="222">
        <v>21.34</v>
      </c>
      <c r="C653" s="227">
        <f t="shared" si="63"/>
        <v>-5.2397868561278815E-2</v>
      </c>
      <c r="D653" s="5">
        <f>C653-C1275</f>
        <v>-5.2475914130837707E-2</v>
      </c>
      <c r="F653" s="8"/>
      <c r="H653" s="1">
        <v>44688</v>
      </c>
      <c r="I653">
        <v>14</v>
      </c>
      <c r="J653" s="227">
        <f t="shared" si="64"/>
        <v>5.9001512859303995E-2</v>
      </c>
      <c r="K653" s="5">
        <f>J653-J1276</f>
        <v>5.6865556943694037E-2</v>
      </c>
      <c r="M653" s="241">
        <v>44749</v>
      </c>
      <c r="N653">
        <v>3902.62</v>
      </c>
      <c r="O653" s="227">
        <f t="shared" si="65"/>
        <v>8.3090132277430229E-4</v>
      </c>
      <c r="P653" s="5">
        <f>O653-O1278</f>
        <v>1.1966585236874738E-3</v>
      </c>
      <c r="Q653" s="8">
        <f t="shared" si="69"/>
        <v>1.4319916223138843E-6</v>
      </c>
      <c r="S653" s="1">
        <v>44749</v>
      </c>
      <c r="T653">
        <v>2.63</v>
      </c>
      <c r="U653" s="29">
        <f t="shared" si="66"/>
        <v>5.2000000000000046E-2</v>
      </c>
      <c r="V653" s="5">
        <f>U653-V1274</f>
        <v>5.0263809224293007E-2</v>
      </c>
      <c r="X653" t="s">
        <v>678</v>
      </c>
      <c r="Y653">
        <v>3.8</v>
      </c>
      <c r="Z653" s="48">
        <f t="shared" si="67"/>
        <v>6.7415730337078594E-2</v>
      </c>
      <c r="AA653" s="5">
        <f>Z653-Y1274</f>
        <v>6.3198410867804464E-2</v>
      </c>
      <c r="AD653" s="1">
        <v>44749</v>
      </c>
      <c r="AE653">
        <v>76</v>
      </c>
      <c r="AF653" s="29">
        <f t="shared" si="68"/>
        <v>1.3874066168623411E-2</v>
      </c>
    </row>
    <row r="654" spans="1:32">
      <c r="A654" s="3" t="s">
        <v>685</v>
      </c>
      <c r="B654" s="222">
        <v>20.46</v>
      </c>
      <c r="C654" s="227">
        <f t="shared" si="63"/>
        <v>-4.123711340206182E-2</v>
      </c>
      <c r="D654" s="5">
        <f>C654-C1275</f>
        <v>-4.1315158971620712E-2</v>
      </c>
      <c r="F654" s="8"/>
      <c r="H654" s="1">
        <v>44568</v>
      </c>
      <c r="I654">
        <v>13.48</v>
      </c>
      <c r="J654" s="227">
        <f t="shared" si="64"/>
        <v>-3.7142857142857144E-2</v>
      </c>
      <c r="K654" s="5">
        <f>J654-J1276</f>
        <v>-3.9278813058467102E-2</v>
      </c>
      <c r="M654" s="241">
        <v>44719</v>
      </c>
      <c r="N654">
        <v>3845.08</v>
      </c>
      <c r="O654" s="227">
        <f t="shared" si="65"/>
        <v>-1.4743941249724557E-2</v>
      </c>
      <c r="P654" s="5">
        <f>O654-O1278</f>
        <v>-1.4378184048811386E-2</v>
      </c>
      <c r="Q654" s="8">
        <f t="shared" si="69"/>
        <v>2.0673217654149418E-4</v>
      </c>
      <c r="S654" s="1">
        <v>44719</v>
      </c>
      <c r="T654">
        <v>2.52</v>
      </c>
      <c r="U654" s="29">
        <f t="shared" si="66"/>
        <v>-4.1825095057034134E-2</v>
      </c>
      <c r="V654" s="5">
        <f>U654-V1274</f>
        <v>-4.3561285832741173E-2</v>
      </c>
      <c r="X654" t="s">
        <v>679</v>
      </c>
      <c r="Y654">
        <v>3.49</v>
      </c>
      <c r="Z654" s="48">
        <f t="shared" si="67"/>
        <v>-8.1578947368420973E-2</v>
      </c>
      <c r="AA654" s="5">
        <f>Z654-Y1274</f>
        <v>-8.5796266837695104E-2</v>
      </c>
      <c r="AD654" s="1">
        <v>44719</v>
      </c>
      <c r="AE654">
        <v>69.36</v>
      </c>
      <c r="AF654" s="29">
        <f t="shared" si="68"/>
        <v>-8.736842105263154E-2</v>
      </c>
    </row>
    <row r="655" spans="1:32">
      <c r="A655" s="3" t="s">
        <v>686</v>
      </c>
      <c r="B655" s="222">
        <v>21.47</v>
      </c>
      <c r="C655" s="227">
        <f t="shared" si="63"/>
        <v>4.9364613880742869E-2</v>
      </c>
      <c r="D655" s="5">
        <f>C655-C1275</f>
        <v>4.9286568311183977E-2</v>
      </c>
      <c r="F655" s="8"/>
      <c r="H655" t="s">
        <v>685</v>
      </c>
      <c r="I655">
        <v>13.28</v>
      </c>
      <c r="J655" s="227">
        <f t="shared" si="64"/>
        <v>-1.4836795252225587E-2</v>
      </c>
      <c r="K655" s="5">
        <f>J655-J1276</f>
        <v>-1.6972751167835545E-2</v>
      </c>
      <c r="M655" s="241">
        <v>44688</v>
      </c>
      <c r="N655">
        <v>3831.39</v>
      </c>
      <c r="O655" s="227">
        <f t="shared" si="65"/>
        <v>-3.5603940620221319E-3</v>
      </c>
      <c r="P655" s="5">
        <f>O655-O1278</f>
        <v>-3.1946368611089604E-3</v>
      </c>
      <c r="Q655" s="8">
        <f t="shared" si="69"/>
        <v>1.0205704674356111E-5</v>
      </c>
      <c r="S655" s="1">
        <v>44688</v>
      </c>
      <c r="T655">
        <v>2.71</v>
      </c>
      <c r="U655" s="29">
        <f t="shared" si="66"/>
        <v>7.5396825396825351E-2</v>
      </c>
      <c r="V655" s="5">
        <f>U655-V1274</f>
        <v>7.3660634621118312E-2</v>
      </c>
      <c r="X655" t="s">
        <v>680</v>
      </c>
      <c r="Y655">
        <v>3.32</v>
      </c>
      <c r="Z655" s="48">
        <f t="shared" si="67"/>
        <v>-4.8710601719197832E-2</v>
      </c>
      <c r="AA655" s="5">
        <f>Z655-Y1274</f>
        <v>-5.2927921188471963E-2</v>
      </c>
      <c r="AD655" s="1">
        <v>44688</v>
      </c>
      <c r="AE655">
        <v>74.900000000000006</v>
      </c>
      <c r="AF655" s="29">
        <f t="shared" si="68"/>
        <v>7.9873125720876681E-2</v>
      </c>
    </row>
    <row r="656" spans="1:32">
      <c r="A656" s="3" t="s">
        <v>687</v>
      </c>
      <c r="B656" s="222">
        <v>22.08</v>
      </c>
      <c r="C656" s="227">
        <f t="shared" si="63"/>
        <v>2.8411737307871388E-2</v>
      </c>
      <c r="D656" s="5">
        <f>C656-C1275</f>
        <v>2.8333691738312499E-2</v>
      </c>
      <c r="E656" s="1"/>
      <c r="F656" s="8"/>
      <c r="H656" t="s">
        <v>686</v>
      </c>
      <c r="I656">
        <v>14.03</v>
      </c>
      <c r="J656" s="227">
        <f t="shared" si="64"/>
        <v>5.6475903614457756E-2</v>
      </c>
      <c r="K656" s="5">
        <f>J656-J1276</f>
        <v>5.4339947698847799E-2</v>
      </c>
      <c r="M656" s="241">
        <v>44568</v>
      </c>
      <c r="N656">
        <v>3825.33</v>
      </c>
      <c r="O656" s="227">
        <f t="shared" si="65"/>
        <v>-1.5816714038507929E-3</v>
      </c>
      <c r="P656" s="5">
        <f>O656-O1278</f>
        <v>-1.2159142029376214E-3</v>
      </c>
      <c r="Q656" s="8">
        <f t="shared" si="69"/>
        <v>1.4784473489054311E-6</v>
      </c>
      <c r="S656" s="1">
        <v>44568</v>
      </c>
      <c r="T656">
        <v>2.38</v>
      </c>
      <c r="U656" s="29">
        <f t="shared" si="66"/>
        <v>-0.12177121771217714</v>
      </c>
      <c r="V656" s="5">
        <f>U656-V1274</f>
        <v>-0.12350740848788418</v>
      </c>
      <c r="X656" t="s">
        <v>681</v>
      </c>
      <c r="Y656">
        <v>2.93</v>
      </c>
      <c r="Z656" s="48">
        <f t="shared" si="67"/>
        <v>-0.1174698795180722</v>
      </c>
      <c r="AA656" s="5">
        <f>Z656-Y1274</f>
        <v>-0.12168719898734633</v>
      </c>
      <c r="AD656" s="1">
        <v>44568</v>
      </c>
      <c r="AE656">
        <v>67.95</v>
      </c>
      <c r="AF656" s="29">
        <f t="shared" si="68"/>
        <v>-9.279038718291055E-2</v>
      </c>
    </row>
    <row r="657" spans="1:32">
      <c r="A657" s="3" t="s">
        <v>688</v>
      </c>
      <c r="B657" s="222">
        <v>22.86</v>
      </c>
      <c r="C657" s="227">
        <f t="shared" si="63"/>
        <v>3.5326086956521729E-2</v>
      </c>
      <c r="D657" s="5">
        <f>C657-C1275</f>
        <v>3.5248041386962838E-2</v>
      </c>
      <c r="E657" s="1"/>
      <c r="F657" s="8"/>
      <c r="H657" t="s">
        <v>687</v>
      </c>
      <c r="I657">
        <v>14.61</v>
      </c>
      <c r="J657" s="227">
        <f t="shared" si="64"/>
        <v>4.1339985744832441E-2</v>
      </c>
      <c r="K657" s="5">
        <f>J657-J1276</f>
        <v>3.9204029829222484E-2</v>
      </c>
      <c r="M657" s="240" t="s">
        <v>685</v>
      </c>
      <c r="N657">
        <v>3785.38</v>
      </c>
      <c r="O657" s="227">
        <f t="shared" si="65"/>
        <v>-1.0443543432854141E-2</v>
      </c>
      <c r="P657" s="5">
        <f>O657-O1278</f>
        <v>-1.007778623194097E-2</v>
      </c>
      <c r="Q657" s="8">
        <f t="shared" si="69"/>
        <v>1.0156177533669898E-4</v>
      </c>
      <c r="S657" t="s">
        <v>685</v>
      </c>
      <c r="T657">
        <v>2.5299999999999998</v>
      </c>
      <c r="U657" s="29">
        <f t="shared" si="66"/>
        <v>6.3025210084033612E-2</v>
      </c>
      <c r="V657" s="5">
        <f>U657-V1274</f>
        <v>6.1289019308326573E-2</v>
      </c>
      <c r="X657" t="s">
        <v>682</v>
      </c>
      <c r="Y657">
        <v>2.94</v>
      </c>
      <c r="Z657" s="48">
        <f t="shared" si="67"/>
        <v>3.4129692832762792E-3</v>
      </c>
      <c r="AA657" s="5">
        <f>Z657-Y1274</f>
        <v>-8.0435018599785482E-4</v>
      </c>
      <c r="AD657" t="s">
        <v>685</v>
      </c>
      <c r="AE657">
        <v>64.17</v>
      </c>
      <c r="AF657" s="29">
        <f t="shared" si="68"/>
        <v>-5.5629139072847722E-2</v>
      </c>
    </row>
    <row r="658" spans="1:32">
      <c r="A658" s="3" t="s">
        <v>689</v>
      </c>
      <c r="B658" s="222">
        <v>23.03</v>
      </c>
      <c r="C658" s="227">
        <f t="shared" ref="C658:C721" si="70">B658/B657-1</f>
        <v>7.4365704286964984E-3</v>
      </c>
      <c r="D658" s="5">
        <f>C658-C1275</f>
        <v>7.3585248591376091E-3</v>
      </c>
      <c r="E658" s="1"/>
      <c r="F658" s="8"/>
      <c r="H658" t="s">
        <v>688</v>
      </c>
      <c r="I658">
        <v>15.89</v>
      </c>
      <c r="J658" s="227">
        <f t="shared" si="64"/>
        <v>8.7611225188227282E-2</v>
      </c>
      <c r="K658" s="5">
        <f>J658-J1276</f>
        <v>8.5475269272617324E-2</v>
      </c>
      <c r="M658" s="240" t="s">
        <v>686</v>
      </c>
      <c r="N658">
        <v>3818.83</v>
      </c>
      <c r="O658" s="227">
        <f t="shared" si="65"/>
        <v>8.8366293476480617E-3</v>
      </c>
      <c r="P658" s="5">
        <f>O658-O1278</f>
        <v>9.2023865485612328E-3</v>
      </c>
      <c r="Q658" s="8">
        <f t="shared" si="69"/>
        <v>8.4683918189140716E-5</v>
      </c>
      <c r="S658" t="s">
        <v>686</v>
      </c>
      <c r="T658">
        <v>2.5499999999999998</v>
      </c>
      <c r="U658" s="29">
        <f t="shared" si="66"/>
        <v>7.905138339920903E-3</v>
      </c>
      <c r="V658" s="5">
        <f>U658-V1274</f>
        <v>6.168947564213865E-3</v>
      </c>
      <c r="X658" t="s">
        <v>683</v>
      </c>
      <c r="Y658">
        <v>2.89</v>
      </c>
      <c r="Z658" s="48">
        <f t="shared" si="67"/>
        <v>-1.7006802721088343E-2</v>
      </c>
      <c r="AA658" s="5">
        <f>Z658-Y1274</f>
        <v>-2.1224122190362477E-2</v>
      </c>
      <c r="AD658" t="s">
        <v>686</v>
      </c>
      <c r="AE658">
        <v>67.42</v>
      </c>
      <c r="AF658" s="29">
        <f t="shared" si="68"/>
        <v>5.0646719650927263E-2</v>
      </c>
    </row>
    <row r="659" spans="1:32">
      <c r="A659" s="3" t="s">
        <v>690</v>
      </c>
      <c r="B659" s="222">
        <v>22.37</v>
      </c>
      <c r="C659" s="227">
        <f t="shared" si="70"/>
        <v>-2.8658271819366088E-2</v>
      </c>
      <c r="D659" s="5">
        <f>C659-C1275</f>
        <v>-2.8736317388924976E-2</v>
      </c>
      <c r="E659" s="1"/>
      <c r="F659" s="8"/>
      <c r="H659" t="s">
        <v>689</v>
      </c>
      <c r="I659">
        <v>16.34</v>
      </c>
      <c r="J659" s="227">
        <f t="shared" si="64"/>
        <v>2.8319697923222087E-2</v>
      </c>
      <c r="K659" s="5">
        <f>J659-J1276</f>
        <v>2.6183742007612129E-2</v>
      </c>
      <c r="M659" s="240" t="s">
        <v>687</v>
      </c>
      <c r="N659">
        <v>3821.55</v>
      </c>
      <c r="O659" s="227">
        <f t="shared" si="65"/>
        <v>7.1226003776025948E-4</v>
      </c>
      <c r="P659" s="5">
        <f>O659-O1278</f>
        <v>1.078017238673431E-3</v>
      </c>
      <c r="Q659" s="8">
        <f t="shared" si="69"/>
        <v>1.162121166877089E-6</v>
      </c>
      <c r="S659" t="s">
        <v>687</v>
      </c>
      <c r="T659">
        <v>2.52</v>
      </c>
      <c r="U659" s="29">
        <f t="shared" si="66"/>
        <v>-1.1764705882352899E-2</v>
      </c>
      <c r="V659" s="5">
        <f>U659-V1274</f>
        <v>-1.3500896658059938E-2</v>
      </c>
      <c r="X659" t="s">
        <v>684</v>
      </c>
      <c r="Y659">
        <v>3.03</v>
      </c>
      <c r="Z659" s="48">
        <f t="shared" si="67"/>
        <v>4.8442906574394318E-2</v>
      </c>
      <c r="AA659" s="5">
        <f>Z659-Y1274</f>
        <v>4.4225587105120187E-2</v>
      </c>
      <c r="AD659" t="s">
        <v>687</v>
      </c>
      <c r="AE659">
        <v>67.45</v>
      </c>
      <c r="AF659" s="29">
        <f t="shared" si="68"/>
        <v>4.449718184516005E-4</v>
      </c>
    </row>
    <row r="660" spans="1:32">
      <c r="A660" s="3" t="s">
        <v>691</v>
      </c>
      <c r="B660" s="222">
        <v>21.5</v>
      </c>
      <c r="C660" s="227">
        <f t="shared" si="70"/>
        <v>-3.8891372373714872E-2</v>
      </c>
      <c r="D660" s="5">
        <f>C660-C1275</f>
        <v>-3.8969417943273764E-2</v>
      </c>
      <c r="E660" s="1"/>
      <c r="F660" s="8"/>
      <c r="H660" t="s">
        <v>690</v>
      </c>
      <c r="I660">
        <v>15.88</v>
      </c>
      <c r="J660" s="227">
        <f t="shared" ref="J660:J723" si="71">I660/I659-1</f>
        <v>-2.8151774785801664E-2</v>
      </c>
      <c r="K660" s="5">
        <f>J660-J1276</f>
        <v>-3.0287730701411622E-2</v>
      </c>
      <c r="M660" s="240" t="s">
        <v>688</v>
      </c>
      <c r="N660">
        <v>3900.11</v>
      </c>
      <c r="O660" s="227">
        <f t="shared" si="65"/>
        <v>2.0557103792963494E-2</v>
      </c>
      <c r="P660" s="5">
        <f>O660-O1278</f>
        <v>2.0922860993876666E-2</v>
      </c>
      <c r="Q660" s="8">
        <f t="shared" si="69"/>
        <v>4.3776611216908567E-4</v>
      </c>
      <c r="S660" t="s">
        <v>688</v>
      </c>
      <c r="T660">
        <v>2.69</v>
      </c>
      <c r="U660" s="29">
        <f t="shared" si="66"/>
        <v>6.7460317460317443E-2</v>
      </c>
      <c r="V660" s="5">
        <f>U660-V1274</f>
        <v>6.5724126684610404E-2</v>
      </c>
      <c r="X660" s="1">
        <v>44902</v>
      </c>
      <c r="Y660">
        <v>3.01</v>
      </c>
      <c r="Z660" s="48">
        <f t="shared" si="67"/>
        <v>-6.6006600660065695E-3</v>
      </c>
      <c r="AA660" s="5">
        <f>Z660-Y1274</f>
        <v>-1.0817979535280704E-2</v>
      </c>
      <c r="AD660" t="s">
        <v>688</v>
      </c>
      <c r="AE660">
        <v>71.2</v>
      </c>
      <c r="AF660" s="29">
        <f t="shared" si="68"/>
        <v>5.5596738324684924E-2</v>
      </c>
    </row>
    <row r="661" spans="1:32">
      <c r="A661" s="3" t="s">
        <v>692</v>
      </c>
      <c r="B661" s="222">
        <v>21.76</v>
      </c>
      <c r="C661" s="227">
        <f t="shared" si="70"/>
        <v>1.2093023255814073E-2</v>
      </c>
      <c r="D661" s="5">
        <f>C661-C1275</f>
        <v>1.2014977686255184E-2</v>
      </c>
      <c r="E661" s="1"/>
      <c r="F661" s="8"/>
      <c r="H661" t="s">
        <v>691</v>
      </c>
      <c r="I661">
        <v>14.83</v>
      </c>
      <c r="J661" s="227">
        <f t="shared" si="71"/>
        <v>-6.6120906801007573E-2</v>
      </c>
      <c r="K661" s="5">
        <f>J661-J1276</f>
        <v>-6.8256862716617531E-2</v>
      </c>
      <c r="M661" s="240" t="s">
        <v>689</v>
      </c>
      <c r="N661">
        <v>3911.74</v>
      </c>
      <c r="O661" s="227">
        <f t="shared" si="65"/>
        <v>2.9819671752846499E-3</v>
      </c>
      <c r="P661" s="5">
        <f>O661-O1278</f>
        <v>3.3477243761978214E-3</v>
      </c>
      <c r="Q661" s="8">
        <f t="shared" si="69"/>
        <v>1.1207258498989093E-5</v>
      </c>
      <c r="S661" t="s">
        <v>689</v>
      </c>
      <c r="T661">
        <v>2.89</v>
      </c>
      <c r="U661" s="29">
        <f t="shared" si="66"/>
        <v>7.4349442379182173E-2</v>
      </c>
      <c r="V661" s="5">
        <f>U661-V1274</f>
        <v>7.2613251603475135E-2</v>
      </c>
      <c r="X661" s="1">
        <v>44872</v>
      </c>
      <c r="Y661">
        <v>2.96</v>
      </c>
      <c r="Z661" s="48">
        <f t="shared" si="67"/>
        <v>-1.661129568106301E-2</v>
      </c>
      <c r="AA661" s="5">
        <f>Z661-Y1274</f>
        <v>-2.0828615150337144E-2</v>
      </c>
      <c r="AD661" t="s">
        <v>689</v>
      </c>
      <c r="AE661">
        <v>74.11</v>
      </c>
      <c r="AF661" s="29">
        <f t="shared" si="68"/>
        <v>4.087078651685383E-2</v>
      </c>
    </row>
    <row r="662" spans="1:32">
      <c r="A662" s="3" t="s">
        <v>693</v>
      </c>
      <c r="B662" s="222">
        <v>21.81</v>
      </c>
      <c r="C662" s="227">
        <f t="shared" si="70"/>
        <v>2.2977941176469674E-3</v>
      </c>
      <c r="D662" s="5">
        <f>C662-C1275</f>
        <v>2.2197485480880781E-3</v>
      </c>
      <c r="E662" s="1"/>
      <c r="F662" s="8"/>
      <c r="H662" t="s">
        <v>692</v>
      </c>
      <c r="I662">
        <v>14.67</v>
      </c>
      <c r="J662" s="227">
        <f t="shared" si="71"/>
        <v>-1.078894133513153E-2</v>
      </c>
      <c r="K662" s="5">
        <f>J662-J1276</f>
        <v>-1.2924897250741488E-2</v>
      </c>
      <c r="M662" s="240" t="s">
        <v>690</v>
      </c>
      <c r="N662">
        <v>3795.73</v>
      </c>
      <c r="O662" s="227">
        <f t="shared" ref="O662:O725" si="72">N662/N661-1</f>
        <v>-2.965687903592773E-2</v>
      </c>
      <c r="P662" s="5">
        <f>O662-O1278</f>
        <v>-2.9291121835014557E-2</v>
      </c>
      <c r="Q662" s="8">
        <f t="shared" si="69"/>
        <v>8.5796981835366661E-4</v>
      </c>
      <c r="S662" t="s">
        <v>690</v>
      </c>
      <c r="T662">
        <v>2.74</v>
      </c>
      <c r="U662" s="29">
        <f t="shared" ref="U662:U725" si="73">T662/T661-1</f>
        <v>-5.1903114186851229E-2</v>
      </c>
      <c r="V662" s="5">
        <f>U662-V1274</f>
        <v>-5.3639304962558268E-2</v>
      </c>
      <c r="X662" s="1">
        <v>44780</v>
      </c>
      <c r="Y662">
        <v>3.31</v>
      </c>
      <c r="Z662" s="48">
        <f t="shared" ref="Z662:Z725" si="74">Y662/Y661-1</f>
        <v>0.1182432432432432</v>
      </c>
      <c r="AA662" s="5">
        <f>Z662-Y1274</f>
        <v>0.11402592377396907</v>
      </c>
      <c r="AD662" t="s">
        <v>690</v>
      </c>
      <c r="AE662">
        <v>70.27</v>
      </c>
      <c r="AF662" s="29">
        <f t="shared" ref="AF662:AF725" si="75">AE662/AE661-1</f>
        <v>-5.1814869788152751E-2</v>
      </c>
    </row>
    <row r="663" spans="1:32">
      <c r="A663" s="3" t="s">
        <v>694</v>
      </c>
      <c r="B663" s="222">
        <v>20.47</v>
      </c>
      <c r="C663" s="227">
        <f t="shared" si="70"/>
        <v>-6.1439706556625451E-2</v>
      </c>
      <c r="D663" s="5">
        <f>C663-C1275</f>
        <v>-6.1517752126184343E-2</v>
      </c>
      <c r="E663" s="1"/>
      <c r="F663" s="8"/>
      <c r="H663" t="s">
        <v>693</v>
      </c>
      <c r="I663">
        <v>14.89</v>
      </c>
      <c r="J663" s="227">
        <f t="shared" si="71"/>
        <v>1.499659168370826E-2</v>
      </c>
      <c r="K663" s="5">
        <f>J663-J1276</f>
        <v>1.2860635768098302E-2</v>
      </c>
      <c r="M663" s="240" t="s">
        <v>691</v>
      </c>
      <c r="N663">
        <v>3759.89</v>
      </c>
      <c r="O663" s="227">
        <f t="shared" si="72"/>
        <v>-9.4421889860448749E-3</v>
      </c>
      <c r="P663" s="5">
        <f>O663-O1278</f>
        <v>-9.0764317851317038E-3</v>
      </c>
      <c r="Q663" s="8">
        <f t="shared" ref="Q663:Q726" si="76">P663*P663</f>
        <v>8.2381613950149085E-5</v>
      </c>
      <c r="S663" t="s">
        <v>691</v>
      </c>
      <c r="T663">
        <v>2.56</v>
      </c>
      <c r="U663" s="29">
        <f t="shared" si="73"/>
        <v>-6.5693430656934337E-2</v>
      </c>
      <c r="V663" s="5">
        <f>U663-V1274</f>
        <v>-6.7429621432641376E-2</v>
      </c>
      <c r="X663" s="1">
        <v>44749</v>
      </c>
      <c r="Y663">
        <v>3.39</v>
      </c>
      <c r="Z663" s="48">
        <f t="shared" si="74"/>
        <v>2.4169184290030232E-2</v>
      </c>
      <c r="AA663" s="5">
        <f>Z663-Y1274</f>
        <v>1.9951864820756098E-2</v>
      </c>
      <c r="AD663" t="s">
        <v>691</v>
      </c>
      <c r="AE663">
        <v>65.150000000000006</v>
      </c>
      <c r="AF663" s="29">
        <f t="shared" si="75"/>
        <v>-7.2861818699302527E-2</v>
      </c>
    </row>
    <row r="664" spans="1:32">
      <c r="A664" s="3" t="s">
        <v>695</v>
      </c>
      <c r="B664" s="222">
        <v>22.03</v>
      </c>
      <c r="C664" s="227">
        <f t="shared" si="70"/>
        <v>7.6209086468002063E-2</v>
      </c>
      <c r="D664" s="5">
        <f>C664-C1275</f>
        <v>7.6131040898443178E-2</v>
      </c>
      <c r="F664" s="8"/>
      <c r="H664" t="s">
        <v>694</v>
      </c>
      <c r="I664">
        <v>13.88</v>
      </c>
      <c r="J664" s="227">
        <f t="shared" si="71"/>
        <v>-6.7830758898589694E-2</v>
      </c>
      <c r="K664" s="5">
        <f>J664-J1276</f>
        <v>-6.9966714814199651E-2</v>
      </c>
      <c r="M664" s="240" t="s">
        <v>692</v>
      </c>
      <c r="N664">
        <v>3764.79</v>
      </c>
      <c r="O664" s="227">
        <f t="shared" si="72"/>
        <v>1.3032296157600154E-3</v>
      </c>
      <c r="P664" s="5">
        <f>O664-O1278</f>
        <v>1.6689868166731869E-3</v>
      </c>
      <c r="Q664" s="8">
        <f t="shared" si="76"/>
        <v>2.7855169942288978E-6</v>
      </c>
      <c r="S664" t="s">
        <v>692</v>
      </c>
      <c r="T664">
        <v>2.73</v>
      </c>
      <c r="U664" s="29">
        <f t="shared" si="73"/>
        <v>6.640625E-2</v>
      </c>
      <c r="V664" s="5">
        <f>U664-V1274</f>
        <v>6.4670059224292961E-2</v>
      </c>
      <c r="X664" s="1">
        <v>44719</v>
      </c>
      <c r="Y664">
        <v>3.28</v>
      </c>
      <c r="Z664" s="48">
        <f t="shared" si="74"/>
        <v>-3.2448377581121068E-2</v>
      </c>
      <c r="AA664" s="5">
        <f>Z664-Y1274</f>
        <v>-3.6665697050395199E-2</v>
      </c>
      <c r="AD664" t="s">
        <v>692</v>
      </c>
      <c r="AE664">
        <v>63.07</v>
      </c>
      <c r="AF664" s="29">
        <f t="shared" si="75"/>
        <v>-3.1926323867996986E-2</v>
      </c>
    </row>
    <row r="665" spans="1:32">
      <c r="A665" s="3" t="s">
        <v>696</v>
      </c>
      <c r="B665" s="222">
        <v>21.09</v>
      </c>
      <c r="C665" s="227">
        <f t="shared" si="70"/>
        <v>-4.2669087607807632E-2</v>
      </c>
      <c r="D665" s="5">
        <f>C665-C1275</f>
        <v>-4.2747133177366524E-2</v>
      </c>
      <c r="F665" s="8"/>
      <c r="H665" t="s">
        <v>695</v>
      </c>
      <c r="I665">
        <v>15.16</v>
      </c>
      <c r="J665" s="227">
        <f t="shared" si="71"/>
        <v>9.2219020172910504E-2</v>
      </c>
      <c r="K665" s="5">
        <f>J665-J1276</f>
        <v>9.0083064257300546E-2</v>
      </c>
      <c r="M665" s="240" t="s">
        <v>693</v>
      </c>
      <c r="N665">
        <v>3674.84</v>
      </c>
      <c r="O665" s="227">
        <f t="shared" si="72"/>
        <v>-2.3892434903407533E-2</v>
      </c>
      <c r="P665" s="5">
        <f>O665-O1278</f>
        <v>-2.3526677702494361E-2</v>
      </c>
      <c r="Q665" s="8">
        <f t="shared" si="76"/>
        <v>5.5350456371704528E-4</v>
      </c>
      <c r="S665" t="s">
        <v>693</v>
      </c>
      <c r="T665">
        <v>2.33</v>
      </c>
      <c r="U665" s="29">
        <f t="shared" si="73"/>
        <v>-0.14652014652014644</v>
      </c>
      <c r="V665" s="5">
        <f>U665-V1274</f>
        <v>-0.14825633729585347</v>
      </c>
      <c r="X665" s="1">
        <v>44688</v>
      </c>
      <c r="Y665">
        <v>3.33</v>
      </c>
      <c r="Z665" s="48">
        <f t="shared" si="74"/>
        <v>1.5243902439024515E-2</v>
      </c>
      <c r="AA665" s="5">
        <f>Z665-Y1274</f>
        <v>1.1026582969750381E-2</v>
      </c>
      <c r="AD665" t="s">
        <v>693</v>
      </c>
      <c r="AE665">
        <v>61.69</v>
      </c>
      <c r="AF665" s="29">
        <f t="shared" si="75"/>
        <v>-2.1880450293324971E-2</v>
      </c>
    </row>
    <row r="666" spans="1:32">
      <c r="A666" s="3" t="s">
        <v>697</v>
      </c>
      <c r="B666" s="222">
        <v>21.57</v>
      </c>
      <c r="C666" s="227">
        <f t="shared" si="70"/>
        <v>2.2759601706970223E-2</v>
      </c>
      <c r="D666" s="5">
        <f>C666-C1275</f>
        <v>2.2681556137411334E-2</v>
      </c>
      <c r="F666" s="8"/>
      <c r="H666" t="s">
        <v>696</v>
      </c>
      <c r="I666">
        <v>14.16</v>
      </c>
      <c r="J666" s="227">
        <f t="shared" si="71"/>
        <v>-6.5963060686015873E-2</v>
      </c>
      <c r="K666" s="5">
        <f>J666-J1276</f>
        <v>-6.8099016601625831E-2</v>
      </c>
      <c r="M666" s="240" t="s">
        <v>694</v>
      </c>
      <c r="N666">
        <v>3666.77</v>
      </c>
      <c r="O666" s="227">
        <f t="shared" si="72"/>
        <v>-2.1960139761186825E-3</v>
      </c>
      <c r="P666" s="5">
        <f>O666-O1278</f>
        <v>-1.8302567752055111E-3</v>
      </c>
      <c r="Q666" s="8">
        <f t="shared" si="76"/>
        <v>3.3498398631856768E-6</v>
      </c>
      <c r="S666" t="s">
        <v>694</v>
      </c>
      <c r="T666">
        <v>2.35</v>
      </c>
      <c r="U666" s="29">
        <f t="shared" si="73"/>
        <v>8.5836909871244149E-3</v>
      </c>
      <c r="V666" s="5">
        <f>U666-V1274</f>
        <v>6.8475002114173769E-3</v>
      </c>
      <c r="X666" s="1">
        <v>44568</v>
      </c>
      <c r="Y666">
        <v>3.14</v>
      </c>
      <c r="Z666" s="48">
        <f t="shared" si="74"/>
        <v>-5.7057057057056992E-2</v>
      </c>
      <c r="AA666" s="5">
        <f>Z666-Y1274</f>
        <v>-6.1274376526331123E-2</v>
      </c>
      <c r="AD666" t="s">
        <v>694</v>
      </c>
      <c r="AE666">
        <v>58.38</v>
      </c>
      <c r="AF666" s="29">
        <f t="shared" si="75"/>
        <v>-5.3655373642405468E-2</v>
      </c>
    </row>
    <row r="667" spans="1:32">
      <c r="A667" s="220">
        <v>44840</v>
      </c>
      <c r="B667" s="222">
        <v>23.72</v>
      </c>
      <c r="C667" s="227">
        <f t="shared" si="70"/>
        <v>9.9675475197032792E-2</v>
      </c>
      <c r="D667" s="5">
        <f>C667-C1275</f>
        <v>9.9597429627473907E-2</v>
      </c>
      <c r="F667" s="8"/>
      <c r="H667" t="s">
        <v>697</v>
      </c>
      <c r="I667">
        <v>14.29</v>
      </c>
      <c r="J667" s="227">
        <f t="shared" si="71"/>
        <v>9.1807909604519899E-3</v>
      </c>
      <c r="K667" s="5">
        <f>J667-J1276</f>
        <v>7.0448350448420322E-3</v>
      </c>
      <c r="M667" s="240" t="s">
        <v>695</v>
      </c>
      <c r="N667">
        <v>3789.99</v>
      </c>
      <c r="O667" s="227">
        <f t="shared" si="72"/>
        <v>3.3604507509333859E-2</v>
      </c>
      <c r="P667" s="5">
        <f>O667-O1278</f>
        <v>3.3970264710247028E-2</v>
      </c>
      <c r="Q667" s="8">
        <f t="shared" si="76"/>
        <v>1.1539788844842547E-3</v>
      </c>
      <c r="S667" t="s">
        <v>695</v>
      </c>
      <c r="T667">
        <v>2.5</v>
      </c>
      <c r="U667" s="29">
        <f t="shared" si="73"/>
        <v>6.3829787234042534E-2</v>
      </c>
      <c r="V667" s="5">
        <f>U667-V1274</f>
        <v>6.2093596458335495E-2</v>
      </c>
      <c r="X667" t="s">
        <v>685</v>
      </c>
      <c r="Y667">
        <v>2.95</v>
      </c>
      <c r="Z667" s="48">
        <f t="shared" si="74"/>
        <v>-6.0509554140127375E-2</v>
      </c>
      <c r="AA667" s="5">
        <f>Z667-Y1274</f>
        <v>-6.4726873609401506E-2</v>
      </c>
      <c r="AD667" t="s">
        <v>695</v>
      </c>
      <c r="AE667">
        <v>63.62</v>
      </c>
      <c r="AF667" s="29">
        <f t="shared" si="75"/>
        <v>8.9756766015758771E-2</v>
      </c>
    </row>
    <row r="668" spans="1:32">
      <c r="A668" s="220">
        <v>44810</v>
      </c>
      <c r="B668" s="222">
        <v>25.44</v>
      </c>
      <c r="C668" s="227">
        <f t="shared" si="70"/>
        <v>7.2512647554806131E-2</v>
      </c>
      <c r="D668" s="5">
        <f>C668-C1275</f>
        <v>7.2434601985247246E-2</v>
      </c>
      <c r="F668" s="8"/>
      <c r="H668" s="1">
        <v>44840</v>
      </c>
      <c r="I668">
        <v>15.77</v>
      </c>
      <c r="J668" s="227">
        <f t="shared" si="71"/>
        <v>0.10356892932120365</v>
      </c>
      <c r="K668" s="5">
        <f>J668-J1276</f>
        <v>0.10143297340559369</v>
      </c>
      <c r="M668" s="240" t="s">
        <v>696</v>
      </c>
      <c r="N668">
        <v>3735.48</v>
      </c>
      <c r="O668" s="227">
        <f t="shared" si="72"/>
        <v>-1.438262370085408E-2</v>
      </c>
      <c r="P668" s="5">
        <f>O668-O1278</f>
        <v>-1.4016866499940909E-2</v>
      </c>
      <c r="Q668" s="8">
        <f t="shared" si="76"/>
        <v>1.9647254647716571E-4</v>
      </c>
      <c r="S668" t="s">
        <v>696</v>
      </c>
      <c r="T668">
        <v>2.4500000000000002</v>
      </c>
      <c r="U668" s="29">
        <f t="shared" si="73"/>
        <v>-1.9999999999999907E-2</v>
      </c>
      <c r="V668" s="5">
        <f>U668-V1274</f>
        <v>-2.1736190775706946E-2</v>
      </c>
      <c r="X668" t="s">
        <v>686</v>
      </c>
      <c r="Y668">
        <v>3.08</v>
      </c>
      <c r="Z668" s="48">
        <f t="shared" si="74"/>
        <v>4.4067796610169463E-2</v>
      </c>
      <c r="AA668" s="5">
        <f>Z668-Y1274</f>
        <v>3.9850477140895332E-2</v>
      </c>
      <c r="AD668" t="s">
        <v>696</v>
      </c>
      <c r="AE668">
        <v>58.46</v>
      </c>
      <c r="AF668" s="29">
        <f t="shared" si="75"/>
        <v>-8.110657026092416E-2</v>
      </c>
    </row>
    <row r="669" spans="1:32">
      <c r="A669" s="220">
        <v>44779</v>
      </c>
      <c r="B669" s="222">
        <v>25.83</v>
      </c>
      <c r="C669" s="227">
        <f t="shared" si="70"/>
        <v>1.5330188679245182E-2</v>
      </c>
      <c r="D669" s="5">
        <f>C669-C1275</f>
        <v>1.5252143109686294E-2</v>
      </c>
      <c r="F669" s="8"/>
      <c r="H669" s="1">
        <v>44810</v>
      </c>
      <c r="I669">
        <v>16.940000000000001</v>
      </c>
      <c r="J669" s="227">
        <f t="shared" si="71"/>
        <v>7.4191502853519387E-2</v>
      </c>
      <c r="K669" s="5">
        <f>J669-J1276</f>
        <v>7.2055546937909429E-2</v>
      </c>
      <c r="M669" s="240" t="s">
        <v>697</v>
      </c>
      <c r="N669">
        <v>3749.63</v>
      </c>
      <c r="O669" s="227">
        <f t="shared" si="72"/>
        <v>3.788000471157682E-3</v>
      </c>
      <c r="P669" s="5">
        <f>O669-O1278</f>
        <v>4.1537576720708539E-3</v>
      </c>
      <c r="Q669" s="8">
        <f t="shared" si="76"/>
        <v>1.7253702798287481E-5</v>
      </c>
      <c r="S669" t="s">
        <v>697</v>
      </c>
      <c r="T669">
        <v>2.4300000000000002</v>
      </c>
      <c r="U669" s="29">
        <f t="shared" si="73"/>
        <v>-8.1632653061224358E-3</v>
      </c>
      <c r="V669" s="5">
        <f>U669-V1274</f>
        <v>-9.8994560818294747E-3</v>
      </c>
      <c r="X669" t="s">
        <v>687</v>
      </c>
      <c r="Y669">
        <v>3.02</v>
      </c>
      <c r="Z669" s="48">
        <f t="shared" si="74"/>
        <v>-1.9480519480519543E-2</v>
      </c>
      <c r="AA669" s="5">
        <f>Z669-Y1274</f>
        <v>-2.3697838949793677E-2</v>
      </c>
      <c r="AD669" t="s">
        <v>697</v>
      </c>
      <c r="AE669">
        <v>58.38</v>
      </c>
      <c r="AF669" s="29">
        <f t="shared" si="75"/>
        <v>-1.3684570646596006E-3</v>
      </c>
    </row>
    <row r="670" spans="1:32">
      <c r="A670" s="220">
        <v>44748</v>
      </c>
      <c r="B670" s="222">
        <v>25.3</v>
      </c>
      <c r="C670" s="227">
        <f t="shared" si="70"/>
        <v>-2.0518776616337497E-2</v>
      </c>
      <c r="D670" s="5">
        <f>C670-C1275</f>
        <v>-2.0596822185896386E-2</v>
      </c>
      <c r="F670" s="8"/>
      <c r="H670" s="1">
        <v>44779</v>
      </c>
      <c r="I670">
        <v>17.63</v>
      </c>
      <c r="J670" s="227">
        <f t="shared" si="71"/>
        <v>4.073199527744964E-2</v>
      </c>
      <c r="K670" s="5">
        <f>J670-J1276</f>
        <v>3.8596039361839682E-2</v>
      </c>
      <c r="M670" s="241">
        <v>44840</v>
      </c>
      <c r="N670">
        <v>3900.86</v>
      </c>
      <c r="O670" s="227">
        <f t="shared" si="72"/>
        <v>4.0331979421969644E-2</v>
      </c>
      <c r="P670" s="5">
        <f>O670-O1278</f>
        <v>4.0697736622882813E-2</v>
      </c>
      <c r="Q670" s="8">
        <f t="shared" si="76"/>
        <v>1.6563057662255369E-3</v>
      </c>
      <c r="S670" s="1">
        <v>44840</v>
      </c>
      <c r="T670">
        <v>2.71</v>
      </c>
      <c r="U670" s="29">
        <f t="shared" si="73"/>
        <v>0.11522633744855959</v>
      </c>
      <c r="V670" s="5">
        <f>U670-V1274</f>
        <v>0.11349014667285255</v>
      </c>
      <c r="X670" t="s">
        <v>688</v>
      </c>
      <c r="Y670">
        <v>3.39</v>
      </c>
      <c r="Z670" s="48">
        <f t="shared" si="74"/>
        <v>0.1225165562913908</v>
      </c>
      <c r="AA670" s="5">
        <f>Z670-Y1274</f>
        <v>0.11829923682211667</v>
      </c>
      <c r="AD670" s="1">
        <v>44840</v>
      </c>
      <c r="AE670">
        <v>62.18</v>
      </c>
      <c r="AF670" s="29">
        <f t="shared" si="75"/>
        <v>6.5090784515244859E-2</v>
      </c>
    </row>
    <row r="671" spans="1:32">
      <c r="A671" s="220">
        <v>44718</v>
      </c>
      <c r="B671" s="222">
        <v>24.73</v>
      </c>
      <c r="C671" s="227">
        <f t="shared" si="70"/>
        <v>-2.2529644268774685E-2</v>
      </c>
      <c r="D671" s="5">
        <f>C671-C1275</f>
        <v>-2.2607689838333573E-2</v>
      </c>
      <c r="F671" s="8"/>
      <c r="H671" s="1">
        <v>44748</v>
      </c>
      <c r="I671">
        <v>17.21</v>
      </c>
      <c r="J671" s="227">
        <f t="shared" si="71"/>
        <v>-2.3823028927963619E-2</v>
      </c>
      <c r="K671" s="5">
        <f>J671-J1276</f>
        <v>-2.5958984843573576E-2</v>
      </c>
      <c r="M671" s="241">
        <v>44810</v>
      </c>
      <c r="N671">
        <v>4017.82</v>
      </c>
      <c r="O671" s="227">
        <f t="shared" si="72"/>
        <v>2.9983131924754991E-2</v>
      </c>
      <c r="P671" s="5">
        <f>O671-O1278</f>
        <v>3.0348889125668164E-2</v>
      </c>
      <c r="Q671" s="8">
        <f t="shared" si="76"/>
        <v>9.2105507116209938E-4</v>
      </c>
      <c r="S671" s="1">
        <v>44810</v>
      </c>
      <c r="T671">
        <v>2.89</v>
      </c>
      <c r="U671" s="29">
        <f t="shared" si="73"/>
        <v>6.6420664206642055E-2</v>
      </c>
      <c r="V671" s="5">
        <f>U671-V1274</f>
        <v>6.4684473430935016E-2</v>
      </c>
      <c r="X671" t="s">
        <v>689</v>
      </c>
      <c r="Y671">
        <v>3.4</v>
      </c>
      <c r="Z671" s="48">
        <f t="shared" si="74"/>
        <v>2.9498525073745618E-3</v>
      </c>
      <c r="AA671" s="5">
        <f>Z671-Y1274</f>
        <v>-1.2674669618995722E-3</v>
      </c>
      <c r="AD671" s="1">
        <v>44810</v>
      </c>
      <c r="AE671">
        <v>68.650000000000006</v>
      </c>
      <c r="AF671" s="29">
        <f t="shared" si="75"/>
        <v>0.10405275008041182</v>
      </c>
    </row>
    <row r="672" spans="1:32">
      <c r="A672" s="220">
        <v>44626</v>
      </c>
      <c r="B672" s="222">
        <v>24.15</v>
      </c>
      <c r="C672" s="227">
        <f t="shared" si="70"/>
        <v>-2.3453295592397949E-2</v>
      </c>
      <c r="D672" s="5">
        <f>C672-C1275</f>
        <v>-2.3531341161956838E-2</v>
      </c>
      <c r="F672" s="8"/>
      <c r="H672" s="1">
        <v>44718</v>
      </c>
      <c r="I672">
        <v>17.16</v>
      </c>
      <c r="J672" s="227">
        <f t="shared" si="71"/>
        <v>-2.9052876234747504E-3</v>
      </c>
      <c r="K672" s="5">
        <f>J672-J1276</f>
        <v>-5.0412435390847082E-3</v>
      </c>
      <c r="M672" s="241">
        <v>44779</v>
      </c>
      <c r="N672">
        <v>4115.7700000000004</v>
      </c>
      <c r="O672" s="227">
        <f t="shared" si="72"/>
        <v>2.437889203597976E-2</v>
      </c>
      <c r="P672" s="5">
        <f>O672-O1278</f>
        <v>2.4744649236892933E-2</v>
      </c>
      <c r="Q672" s="8">
        <f t="shared" si="76"/>
        <v>6.1229766585686599E-4</v>
      </c>
      <c r="S672" s="1">
        <v>44779</v>
      </c>
      <c r="T672">
        <v>3.06</v>
      </c>
      <c r="U672" s="29">
        <f t="shared" si="73"/>
        <v>5.8823529411764719E-2</v>
      </c>
      <c r="V672" s="5">
        <f>U672-V1274</f>
        <v>5.708733863605768E-2</v>
      </c>
      <c r="X672" t="s">
        <v>690</v>
      </c>
      <c r="Y672">
        <v>3.05</v>
      </c>
      <c r="Z672" s="48">
        <f t="shared" si="74"/>
        <v>-0.10294117647058831</v>
      </c>
      <c r="AA672" s="5">
        <f>Z672-Y1274</f>
        <v>-0.10715849593986244</v>
      </c>
      <c r="AD672" s="1">
        <v>44779</v>
      </c>
      <c r="AE672">
        <v>73.790000000000006</v>
      </c>
      <c r="AF672" s="29">
        <f t="shared" si="75"/>
        <v>7.4872541879096977E-2</v>
      </c>
    </row>
    <row r="673" spans="1:32">
      <c r="A673" s="220">
        <v>44598</v>
      </c>
      <c r="B673" s="222">
        <v>24.74</v>
      </c>
      <c r="C673" s="227">
        <f t="shared" si="70"/>
        <v>2.4430641821946208E-2</v>
      </c>
      <c r="D673" s="5">
        <f>C673-C1275</f>
        <v>2.435259625238732E-2</v>
      </c>
      <c r="F673" s="8"/>
      <c r="H673" s="1">
        <v>44626</v>
      </c>
      <c r="I673">
        <v>17.399999999999999</v>
      </c>
      <c r="J673" s="227">
        <f t="shared" si="71"/>
        <v>1.3986013986013957E-2</v>
      </c>
      <c r="K673" s="5">
        <f>J673-J1276</f>
        <v>1.1850058070403999E-2</v>
      </c>
      <c r="M673" s="241">
        <v>44748</v>
      </c>
      <c r="N673">
        <v>4160.68</v>
      </c>
      <c r="O673" s="227">
        <f t="shared" si="72"/>
        <v>1.0911688456837876E-2</v>
      </c>
      <c r="P673" s="5">
        <f>O673-O1278</f>
        <v>1.1277445657751047E-2</v>
      </c>
      <c r="Q673" s="8">
        <f t="shared" si="76"/>
        <v>1.2718078056352794E-4</v>
      </c>
      <c r="S673" s="1">
        <v>44748</v>
      </c>
      <c r="T673">
        <v>2.65</v>
      </c>
      <c r="U673" s="29">
        <f t="shared" si="73"/>
        <v>-0.13398692810457524</v>
      </c>
      <c r="V673" s="5">
        <f>U673-V1274</f>
        <v>-0.13572311888028227</v>
      </c>
      <c r="X673" t="s">
        <v>691</v>
      </c>
      <c r="Y673">
        <v>2.95</v>
      </c>
      <c r="Z673" s="48">
        <f t="shared" si="74"/>
        <v>-3.2786885245901565E-2</v>
      </c>
      <c r="AA673" s="5">
        <f>Z673-Y1274</f>
        <v>-3.7004204715175695E-2</v>
      </c>
      <c r="AD673" s="1">
        <v>44748</v>
      </c>
      <c r="AE673">
        <v>69.930000000000007</v>
      </c>
      <c r="AF673" s="29">
        <f t="shared" si="75"/>
        <v>-5.2310611193928658E-2</v>
      </c>
    </row>
    <row r="674" spans="1:32">
      <c r="A674" s="220">
        <v>44567</v>
      </c>
      <c r="B674" s="222">
        <v>22.94</v>
      </c>
      <c r="C674" s="227">
        <f t="shared" si="70"/>
        <v>-7.2756669361358051E-2</v>
      </c>
      <c r="D674" s="5">
        <f>C674-C1275</f>
        <v>-7.2834714930916936E-2</v>
      </c>
      <c r="F674" s="8"/>
      <c r="H674" s="1">
        <v>44598</v>
      </c>
      <c r="I674">
        <v>18.37</v>
      </c>
      <c r="J674" s="227">
        <f t="shared" si="71"/>
        <v>5.5747126436781702E-2</v>
      </c>
      <c r="K674" s="5">
        <f>J674-J1276</f>
        <v>5.3611170521171744E-2</v>
      </c>
      <c r="M674" s="241">
        <v>44718</v>
      </c>
      <c r="N674">
        <v>4121.43</v>
      </c>
      <c r="O674" s="227">
        <f t="shared" si="72"/>
        <v>-9.4335541305747839E-3</v>
      </c>
      <c r="P674" s="5">
        <f>O674-O1278</f>
        <v>-9.0677969296616128E-3</v>
      </c>
      <c r="Q674" s="8">
        <f t="shared" si="76"/>
        <v>8.2224941157580571E-5</v>
      </c>
      <c r="S674" s="1">
        <v>44718</v>
      </c>
      <c r="T674">
        <v>2.64</v>
      </c>
      <c r="U674" s="29">
        <f t="shared" si="73"/>
        <v>-3.7735849056602655E-3</v>
      </c>
      <c r="V674" s="5">
        <f>U674-V1274</f>
        <v>-5.5097756813673035E-3</v>
      </c>
      <c r="X674" t="s">
        <v>692</v>
      </c>
      <c r="Y674">
        <v>2.87</v>
      </c>
      <c r="Z674" s="48">
        <f t="shared" si="74"/>
        <v>-2.7118644067796627E-2</v>
      </c>
      <c r="AA674" s="5">
        <f>Z674-Y1274</f>
        <v>-3.1335963537070757E-2</v>
      </c>
      <c r="AD674" s="1">
        <v>44718</v>
      </c>
      <c r="AE674">
        <v>69.95</v>
      </c>
      <c r="AF674" s="29">
        <f t="shared" si="75"/>
        <v>2.8600028600012095E-4</v>
      </c>
    </row>
    <row r="675" spans="1:32">
      <c r="A675" s="3" t="s">
        <v>698</v>
      </c>
      <c r="B675" s="222">
        <v>23.2</v>
      </c>
      <c r="C675" s="227">
        <f t="shared" si="70"/>
        <v>1.1333914559720881E-2</v>
      </c>
      <c r="D675" s="5">
        <f>C675-C1275</f>
        <v>1.1255868990161993E-2</v>
      </c>
      <c r="F675" s="8"/>
      <c r="H675" s="1">
        <v>44567</v>
      </c>
      <c r="I675">
        <v>17.059999999999999</v>
      </c>
      <c r="J675" s="227">
        <f t="shared" si="71"/>
        <v>-7.1311921611322937E-2</v>
      </c>
      <c r="K675" s="5">
        <f>J675-J1276</f>
        <v>-7.3447877526932895E-2</v>
      </c>
      <c r="M675" s="241">
        <v>44626</v>
      </c>
      <c r="N675">
        <v>4108.54</v>
      </c>
      <c r="O675" s="227">
        <f t="shared" si="72"/>
        <v>-3.1275552417486807E-3</v>
      </c>
      <c r="P675" s="5">
        <f>O675-O1278</f>
        <v>-2.7617980408355092E-3</v>
      </c>
      <c r="Q675" s="8">
        <f t="shared" si="76"/>
        <v>7.6275284183628568E-6</v>
      </c>
      <c r="S675" s="1">
        <v>44626</v>
      </c>
      <c r="T675">
        <v>2.54</v>
      </c>
      <c r="U675" s="29">
        <f t="shared" si="73"/>
        <v>-3.7878787878787956E-2</v>
      </c>
      <c r="V675" s="5">
        <f>U675-V1274</f>
        <v>-3.9614978654494995E-2</v>
      </c>
      <c r="X675" t="s">
        <v>693</v>
      </c>
      <c r="Y675">
        <v>2.81</v>
      </c>
      <c r="Z675" s="48">
        <f t="shared" si="74"/>
        <v>-2.0905923344947785E-2</v>
      </c>
      <c r="AA675" s="5">
        <f>Z675-Y1274</f>
        <v>-2.512324281422192E-2</v>
      </c>
      <c r="AD675" s="1">
        <v>44626</v>
      </c>
      <c r="AE675">
        <v>68.040000000000006</v>
      </c>
      <c r="AF675" s="29">
        <f t="shared" si="75"/>
        <v>-2.7305218012866228E-2</v>
      </c>
    </row>
    <row r="676" spans="1:32">
      <c r="A676" s="3" t="s">
        <v>699</v>
      </c>
      <c r="B676" s="222">
        <v>23.67</v>
      </c>
      <c r="C676" s="227">
        <f t="shared" si="70"/>
        <v>2.0258620689655338E-2</v>
      </c>
      <c r="D676" s="5">
        <f>C676-C1275</f>
        <v>2.0180575120096449E-2</v>
      </c>
      <c r="E676" s="1"/>
      <c r="F676" s="8"/>
      <c r="H676" t="s">
        <v>698</v>
      </c>
      <c r="I676">
        <v>17.68</v>
      </c>
      <c r="J676" s="227">
        <f t="shared" si="71"/>
        <v>3.6342321219226426E-2</v>
      </c>
      <c r="K676" s="5">
        <f>J676-J1276</f>
        <v>3.4206365303616468E-2</v>
      </c>
      <c r="M676" s="241">
        <v>44598</v>
      </c>
      <c r="N676">
        <v>4176.82</v>
      </c>
      <c r="O676" s="227">
        <f t="shared" si="72"/>
        <v>1.6619042287527863E-2</v>
      </c>
      <c r="P676" s="5">
        <f>O676-O1278</f>
        <v>1.6984799488441036E-2</v>
      </c>
      <c r="Q676" s="8">
        <f t="shared" si="76"/>
        <v>2.8848341366254689E-4</v>
      </c>
      <c r="S676" s="1">
        <v>44598</v>
      </c>
      <c r="T676">
        <v>2.63</v>
      </c>
      <c r="U676" s="29">
        <f t="shared" si="73"/>
        <v>3.5433070866141669E-2</v>
      </c>
      <c r="V676" s="5">
        <f>U676-V1274</f>
        <v>3.3696880090434631E-2</v>
      </c>
      <c r="X676" t="s">
        <v>694</v>
      </c>
      <c r="Y676">
        <v>2.64</v>
      </c>
      <c r="Z676" s="48">
        <f t="shared" si="74"/>
        <v>-6.0498220640569422E-2</v>
      </c>
      <c r="AA676" s="5">
        <f>Z676-Y1274</f>
        <v>-6.4715540109843553E-2</v>
      </c>
      <c r="AD676" s="1">
        <v>44598</v>
      </c>
      <c r="AE676">
        <v>72.97</v>
      </c>
      <c r="AF676" s="29">
        <f t="shared" si="75"/>
        <v>7.2457378012933393E-2</v>
      </c>
    </row>
    <row r="677" spans="1:32">
      <c r="A677" s="3" t="s">
        <v>700</v>
      </c>
      <c r="B677" s="222">
        <v>23.1</v>
      </c>
      <c r="C677" s="227">
        <f t="shared" si="70"/>
        <v>-2.4081115335868208E-2</v>
      </c>
      <c r="D677" s="5">
        <f>C677-C1275</f>
        <v>-2.4159160905427097E-2</v>
      </c>
      <c r="E677" s="1"/>
      <c r="F677" s="8"/>
      <c r="H677" t="s">
        <v>699</v>
      </c>
      <c r="I677">
        <v>17.77</v>
      </c>
      <c r="J677" s="227">
        <f t="shared" si="71"/>
        <v>5.090497737556543E-3</v>
      </c>
      <c r="K677" s="5">
        <f>J677-J1276</f>
        <v>2.9545418219465852E-3</v>
      </c>
      <c r="M677" s="241">
        <v>44567</v>
      </c>
      <c r="N677">
        <v>4101.2299999999996</v>
      </c>
      <c r="O677" s="227">
        <f t="shared" si="72"/>
        <v>-1.8097500011970857E-2</v>
      </c>
      <c r="P677" s="5">
        <f>O677-O1278</f>
        <v>-1.7731742811057685E-2</v>
      </c>
      <c r="Q677" s="8">
        <f t="shared" si="76"/>
        <v>3.1441470311749587E-4</v>
      </c>
      <c r="S677" s="1">
        <v>44567</v>
      </c>
      <c r="T677">
        <v>2.61</v>
      </c>
      <c r="U677" s="29">
        <f t="shared" si="73"/>
        <v>-7.6045627376425395E-3</v>
      </c>
      <c r="V677" s="5">
        <f>U677-V1274</f>
        <v>-9.3407535133495784E-3</v>
      </c>
      <c r="X677" t="s">
        <v>695</v>
      </c>
      <c r="Y677">
        <v>2.76</v>
      </c>
      <c r="Z677" s="48">
        <f t="shared" si="74"/>
        <v>4.5454545454545414E-2</v>
      </c>
      <c r="AA677" s="5">
        <f>Z677-Y1274</f>
        <v>4.1237225985271284E-2</v>
      </c>
      <c r="AD677" s="1">
        <v>44567</v>
      </c>
      <c r="AE677">
        <v>71.95</v>
      </c>
      <c r="AF677" s="29">
        <f t="shared" si="75"/>
        <v>-1.3978347265999669E-2</v>
      </c>
    </row>
    <row r="678" spans="1:32">
      <c r="A678" s="3" t="s">
        <v>701</v>
      </c>
      <c r="B678" s="222">
        <v>22.04</v>
      </c>
      <c r="C678" s="227">
        <f t="shared" si="70"/>
        <v>-4.5887445887445977E-2</v>
      </c>
      <c r="D678" s="5">
        <f>C678-C1275</f>
        <v>-4.5965491457004869E-2</v>
      </c>
      <c r="E678" s="1"/>
      <c r="F678" s="8"/>
      <c r="H678" t="s">
        <v>700</v>
      </c>
      <c r="I678">
        <v>17.68</v>
      </c>
      <c r="J678" s="227">
        <f t="shared" si="71"/>
        <v>-5.0647158131682524E-3</v>
      </c>
      <c r="K678" s="5">
        <f>J678-J1276</f>
        <v>-7.2006717287782102E-3</v>
      </c>
      <c r="M678" s="240" t="s">
        <v>698</v>
      </c>
      <c r="N678">
        <v>4132.1499999999996</v>
      </c>
      <c r="O678" s="227">
        <f t="shared" si="72"/>
        <v>7.5392016541380169E-3</v>
      </c>
      <c r="P678" s="5">
        <f>O678-O1278</f>
        <v>7.904958855051188E-3</v>
      </c>
      <c r="Q678" s="8">
        <f t="shared" si="76"/>
        <v>6.2488374500052187E-5</v>
      </c>
      <c r="S678" t="s">
        <v>698</v>
      </c>
      <c r="T678">
        <v>2.66</v>
      </c>
      <c r="U678" s="29">
        <f t="shared" si="73"/>
        <v>1.9157088122605526E-2</v>
      </c>
      <c r="V678" s="5">
        <f>U678-V1274</f>
        <v>1.7420897346898487E-2</v>
      </c>
      <c r="X678" t="s">
        <v>696</v>
      </c>
      <c r="Y678">
        <v>2.76</v>
      </c>
      <c r="Z678" s="48">
        <f t="shared" si="74"/>
        <v>0</v>
      </c>
      <c r="AA678" s="5">
        <f>Z678-Y1274</f>
        <v>-4.2173194692741341E-3</v>
      </c>
      <c r="AD678" t="s">
        <v>698</v>
      </c>
      <c r="AE678">
        <v>76.91</v>
      </c>
      <c r="AF678" s="29">
        <f t="shared" si="75"/>
        <v>6.89367616400276E-2</v>
      </c>
    </row>
    <row r="679" spans="1:32">
      <c r="A679" s="3" t="s">
        <v>702</v>
      </c>
      <c r="B679" s="222">
        <v>21.55</v>
      </c>
      <c r="C679" s="227">
        <f t="shared" si="70"/>
        <v>-2.2232304900181465E-2</v>
      </c>
      <c r="D679" s="5">
        <f>C679-C1275</f>
        <v>-2.2310350469740354E-2</v>
      </c>
      <c r="E679" s="1"/>
      <c r="F679" s="8"/>
      <c r="H679" t="s">
        <v>701</v>
      </c>
      <c r="I679">
        <v>16.649999999999999</v>
      </c>
      <c r="J679" s="227">
        <f t="shared" si="71"/>
        <v>-5.8257918552036214E-2</v>
      </c>
      <c r="K679" s="5">
        <f>J679-J1276</f>
        <v>-6.0393874467646172E-2</v>
      </c>
      <c r="M679" s="240" t="s">
        <v>699</v>
      </c>
      <c r="N679">
        <v>4158.24</v>
      </c>
      <c r="O679" s="227">
        <f t="shared" si="72"/>
        <v>6.3139043839164355E-3</v>
      </c>
      <c r="P679" s="5">
        <f>O679-O1278</f>
        <v>6.6796615848296074E-3</v>
      </c>
      <c r="Q679" s="8">
        <f t="shared" si="76"/>
        <v>4.461787888784838E-5</v>
      </c>
      <c r="S679" t="s">
        <v>699</v>
      </c>
      <c r="T679">
        <v>2.41</v>
      </c>
      <c r="U679" s="29">
        <f t="shared" si="73"/>
        <v>-9.398496240601506E-2</v>
      </c>
      <c r="V679" s="5">
        <f>U679-V1274</f>
        <v>-9.5721153181722099E-2</v>
      </c>
      <c r="X679" t="s">
        <v>697</v>
      </c>
      <c r="Y679">
        <v>2.46</v>
      </c>
      <c r="Z679" s="48">
        <f t="shared" si="74"/>
        <v>-0.10869565217391297</v>
      </c>
      <c r="AA679" s="5">
        <f>Z679-Y1274</f>
        <v>-0.1129129716431871</v>
      </c>
      <c r="AD679" t="s">
        <v>699</v>
      </c>
      <c r="AE679">
        <v>78.09</v>
      </c>
      <c r="AF679" s="29">
        <f t="shared" si="75"/>
        <v>1.534260824340139E-2</v>
      </c>
    </row>
    <row r="680" spans="1:32">
      <c r="A680" s="3" t="s">
        <v>703</v>
      </c>
      <c r="B680" s="222">
        <v>23.78</v>
      </c>
      <c r="C680" s="227">
        <f t="shared" si="70"/>
        <v>0.1034802784222737</v>
      </c>
      <c r="D680" s="5">
        <f>C680-C1275</f>
        <v>0.10340223285271481</v>
      </c>
      <c r="E680" s="1"/>
      <c r="F680" s="8"/>
      <c r="H680" t="s">
        <v>702</v>
      </c>
      <c r="I680">
        <v>16.72</v>
      </c>
      <c r="J680" s="227">
        <f t="shared" si="71"/>
        <v>4.2042042042043093E-3</v>
      </c>
      <c r="K680" s="5">
        <f>J680-J1276</f>
        <v>2.0682482885943515E-3</v>
      </c>
      <c r="M680" s="240" t="s">
        <v>700</v>
      </c>
      <c r="N680">
        <v>4057.84</v>
      </c>
      <c r="O680" s="227">
        <f t="shared" si="72"/>
        <v>-2.4144830505213655E-2</v>
      </c>
      <c r="P680" s="5">
        <f>O680-O1278</f>
        <v>-2.3779073304300482E-2</v>
      </c>
      <c r="Q680" s="8">
        <f t="shared" si="76"/>
        <v>5.6544432721129584E-4</v>
      </c>
      <c r="S680" t="s">
        <v>700</v>
      </c>
      <c r="T680">
        <v>2.3199999999999998</v>
      </c>
      <c r="U680" s="29">
        <f t="shared" si="73"/>
        <v>-3.7344398340249052E-2</v>
      </c>
      <c r="V680" s="5">
        <f>U680-V1274</f>
        <v>-3.9080589115956091E-2</v>
      </c>
      <c r="X680" s="1">
        <v>44840</v>
      </c>
      <c r="Y680">
        <v>2.29</v>
      </c>
      <c r="Z680" s="48">
        <f t="shared" si="74"/>
        <v>-6.9105691056910556E-2</v>
      </c>
      <c r="AA680" s="5">
        <f>Z680-Y1274</f>
        <v>-7.3323010526184687E-2</v>
      </c>
      <c r="AD680" t="s">
        <v>700</v>
      </c>
      <c r="AE680">
        <v>73.69</v>
      </c>
      <c r="AF680" s="29">
        <f t="shared" si="75"/>
        <v>-5.6345242668715656E-2</v>
      </c>
    </row>
    <row r="681" spans="1:32">
      <c r="A681" s="3" t="s">
        <v>704</v>
      </c>
      <c r="B681" s="222">
        <v>23.35</v>
      </c>
      <c r="C681" s="227">
        <f t="shared" si="70"/>
        <v>-1.80824222035324E-2</v>
      </c>
      <c r="D681" s="5">
        <f>C681-C1275</f>
        <v>-1.8160467773091288E-2</v>
      </c>
      <c r="E681" s="1"/>
      <c r="F681" s="8"/>
      <c r="H681" t="s">
        <v>703</v>
      </c>
      <c r="I681">
        <v>20.21</v>
      </c>
      <c r="J681" s="227">
        <f t="shared" si="71"/>
        <v>0.2087320574162681</v>
      </c>
      <c r="K681" s="5">
        <f>J681-J1276</f>
        <v>0.20659610150065816</v>
      </c>
      <c r="M681" s="240" t="s">
        <v>701</v>
      </c>
      <c r="N681">
        <v>3978.73</v>
      </c>
      <c r="O681" s="227">
        <f t="shared" si="72"/>
        <v>-1.9495593714882853E-2</v>
      </c>
      <c r="P681" s="5">
        <f>O681-O1278</f>
        <v>-1.912983651396968E-2</v>
      </c>
      <c r="Q681" s="8">
        <f t="shared" si="76"/>
        <v>3.6595064505120763E-4</v>
      </c>
      <c r="S681" t="s">
        <v>701</v>
      </c>
      <c r="T681">
        <v>2.42</v>
      </c>
      <c r="U681" s="29">
        <f t="shared" si="73"/>
        <v>4.31034482758621E-2</v>
      </c>
      <c r="V681" s="5">
        <f>U681-V1274</f>
        <v>4.1367257500155061E-2</v>
      </c>
      <c r="X681" s="1">
        <v>44810</v>
      </c>
      <c r="Y681">
        <v>2.36</v>
      </c>
      <c r="Z681" s="48">
        <f t="shared" si="74"/>
        <v>3.0567685589519611E-2</v>
      </c>
      <c r="AA681" s="5">
        <f>Z681-Y1274</f>
        <v>2.6350366120245477E-2</v>
      </c>
      <c r="AD681" t="s">
        <v>701</v>
      </c>
      <c r="AE681">
        <v>68.48</v>
      </c>
      <c r="AF681" s="29">
        <f t="shared" si="75"/>
        <v>-7.0701587732392324E-2</v>
      </c>
    </row>
    <row r="682" spans="1:32">
      <c r="A682" s="3" t="s">
        <v>705</v>
      </c>
      <c r="B682" s="222">
        <v>23.24</v>
      </c>
      <c r="C682" s="227">
        <f t="shared" si="70"/>
        <v>-4.7109207708780909E-3</v>
      </c>
      <c r="D682" s="5">
        <f>C682-C1275</f>
        <v>-4.7889663404369802E-3</v>
      </c>
      <c r="E682" s="1"/>
      <c r="F682" s="8"/>
      <c r="H682" t="s">
        <v>704</v>
      </c>
      <c r="I682">
        <v>19.07</v>
      </c>
      <c r="J682" s="227">
        <f t="shared" si="71"/>
        <v>-5.6407718951014374E-2</v>
      </c>
      <c r="K682" s="5">
        <f>J682-J1276</f>
        <v>-5.8543674866624332E-2</v>
      </c>
      <c r="M682" s="240" t="s">
        <v>702</v>
      </c>
      <c r="N682">
        <v>3941.48</v>
      </c>
      <c r="O682" s="227">
        <f t="shared" si="72"/>
        <v>-9.3622839448769257E-3</v>
      </c>
      <c r="P682" s="5">
        <f>O682-O1278</f>
        <v>-8.9965267439637547E-3</v>
      </c>
      <c r="Q682" s="8">
        <f t="shared" si="76"/>
        <v>8.0937493454855076E-5</v>
      </c>
      <c r="S682" t="s">
        <v>702</v>
      </c>
      <c r="T682">
        <v>2.5499999999999998</v>
      </c>
      <c r="U682" s="29">
        <f t="shared" si="73"/>
        <v>5.3719008264462742E-2</v>
      </c>
      <c r="V682" s="5">
        <f>U682-V1274</f>
        <v>5.1982817488755703E-2</v>
      </c>
      <c r="X682" s="1">
        <v>44779</v>
      </c>
      <c r="Y682">
        <v>2.5099999999999998</v>
      </c>
      <c r="Z682" s="48">
        <f t="shared" si="74"/>
        <v>6.3559322033898358E-2</v>
      </c>
      <c r="AA682" s="5">
        <f>Z682-Y1274</f>
        <v>5.9342002564624227E-2</v>
      </c>
      <c r="AD682" t="s">
        <v>702</v>
      </c>
      <c r="AE682">
        <v>62.66</v>
      </c>
      <c r="AF682" s="29">
        <f t="shared" si="75"/>
        <v>-8.4988317757009435E-2</v>
      </c>
    </row>
    <row r="683" spans="1:32">
      <c r="A683" s="3" t="s">
        <v>706</v>
      </c>
      <c r="B683" s="222">
        <v>22.46</v>
      </c>
      <c r="C683" s="227">
        <f t="shared" si="70"/>
        <v>-3.3562822719449104E-2</v>
      </c>
      <c r="D683" s="5">
        <f>C683-C1275</f>
        <v>-3.3640868289007995E-2</v>
      </c>
      <c r="E683" s="1"/>
      <c r="F683" s="8"/>
      <c r="H683" t="s">
        <v>705</v>
      </c>
      <c r="I683">
        <v>19.29</v>
      </c>
      <c r="J683" s="227">
        <f t="shared" si="71"/>
        <v>1.1536444677503921E-2</v>
      </c>
      <c r="K683" s="5">
        <f>J683-J1276</f>
        <v>9.4004887618939631E-3</v>
      </c>
      <c r="M683" s="240" t="s">
        <v>703</v>
      </c>
      <c r="N683">
        <v>3973.75</v>
      </c>
      <c r="O683" s="227">
        <f t="shared" si="72"/>
        <v>8.1872799050102252E-3</v>
      </c>
      <c r="P683" s="5">
        <f>O683-O1278</f>
        <v>8.5530371059233962E-3</v>
      </c>
      <c r="Q683" s="8">
        <f t="shared" si="76"/>
        <v>7.3154443735302461E-5</v>
      </c>
      <c r="S683" t="s">
        <v>703</v>
      </c>
      <c r="T683">
        <v>2.89</v>
      </c>
      <c r="U683" s="29">
        <f t="shared" si="73"/>
        <v>0.13333333333333353</v>
      </c>
      <c r="V683" s="5">
        <f>U683-V1274</f>
        <v>0.1315971425576265</v>
      </c>
      <c r="X683" s="1">
        <v>44748</v>
      </c>
      <c r="Y683">
        <v>2.2400000000000002</v>
      </c>
      <c r="Z683" s="48">
        <f t="shared" si="74"/>
        <v>-0.10756972111553764</v>
      </c>
      <c r="AA683" s="5">
        <f>Z683-Y1274</f>
        <v>-0.11178704058481177</v>
      </c>
      <c r="AD683" t="s">
        <v>703</v>
      </c>
      <c r="AE683">
        <v>67.81</v>
      </c>
      <c r="AF683" s="29">
        <f t="shared" si="75"/>
        <v>8.218959463772757E-2</v>
      </c>
    </row>
    <row r="684" spans="1:32">
      <c r="A684" s="3" t="s">
        <v>707</v>
      </c>
      <c r="B684" s="222">
        <v>24.2</v>
      </c>
      <c r="C684" s="227">
        <f t="shared" si="70"/>
        <v>7.74710596616206E-2</v>
      </c>
      <c r="D684" s="5">
        <f>C684-C1275</f>
        <v>7.7393014092061715E-2</v>
      </c>
      <c r="E684" s="1"/>
      <c r="F684" s="8"/>
      <c r="H684" t="s">
        <v>706</v>
      </c>
      <c r="I684">
        <v>18.149999999999999</v>
      </c>
      <c r="J684" s="227">
        <f t="shared" si="71"/>
        <v>-5.9097978227060644E-2</v>
      </c>
      <c r="K684" s="5">
        <f>J684-J1276</f>
        <v>-6.1233934142670601E-2</v>
      </c>
      <c r="M684" s="240" t="s">
        <v>704</v>
      </c>
      <c r="N684">
        <v>3901.36</v>
      </c>
      <c r="O684" s="227">
        <f t="shared" si="72"/>
        <v>-1.8217049386599515E-2</v>
      </c>
      <c r="P684" s="5">
        <f>O684-O1278</f>
        <v>-1.7851292185686343E-2</v>
      </c>
      <c r="Q684" s="8">
        <f t="shared" si="76"/>
        <v>3.1866863269874629E-4</v>
      </c>
      <c r="S684" t="s">
        <v>704</v>
      </c>
      <c r="T684">
        <v>3.21</v>
      </c>
      <c r="U684" s="29">
        <f t="shared" si="73"/>
        <v>0.11072664359861584</v>
      </c>
      <c r="V684" s="5">
        <f>U684-V1274</f>
        <v>0.1089904528229088</v>
      </c>
      <c r="X684" s="1">
        <v>44718</v>
      </c>
      <c r="Y684">
        <v>2.2999999999999998</v>
      </c>
      <c r="Z684" s="48">
        <f t="shared" si="74"/>
        <v>2.6785714285714191E-2</v>
      </c>
      <c r="AA684" s="5">
        <f>Z684-Y1274</f>
        <v>2.2568394816440056E-2</v>
      </c>
      <c r="AD684" t="s">
        <v>704</v>
      </c>
      <c r="AE684">
        <v>66.23</v>
      </c>
      <c r="AF684" s="29">
        <f t="shared" si="75"/>
        <v>-2.3300398171361092E-2</v>
      </c>
    </row>
    <row r="685" spans="1:32">
      <c r="A685" s="3" t="s">
        <v>708</v>
      </c>
      <c r="B685" s="222">
        <v>23.59</v>
      </c>
      <c r="C685" s="227">
        <f t="shared" si="70"/>
        <v>-2.520661157024795E-2</v>
      </c>
      <c r="D685" s="5">
        <f>C685-C1275</f>
        <v>-2.5284657139806838E-2</v>
      </c>
      <c r="F685" s="8"/>
      <c r="H685" t="s">
        <v>707</v>
      </c>
      <c r="I685">
        <v>19.72</v>
      </c>
      <c r="J685" s="227">
        <f t="shared" si="71"/>
        <v>8.6501377410468372E-2</v>
      </c>
      <c r="K685" s="5">
        <f>J685-J1276</f>
        <v>8.4365421494858414E-2</v>
      </c>
      <c r="M685" s="240" t="s">
        <v>705</v>
      </c>
      <c r="N685">
        <v>3900.79</v>
      </c>
      <c r="O685" s="227">
        <f t="shared" si="72"/>
        <v>-1.4610289745120575E-4</v>
      </c>
      <c r="P685" s="5">
        <f>O685-O1278</f>
        <v>2.196543034619658E-4</v>
      </c>
      <c r="Q685" s="8">
        <f t="shared" si="76"/>
        <v>4.8248013029361362E-8</v>
      </c>
      <c r="S685" t="s">
        <v>705</v>
      </c>
      <c r="T685">
        <v>3.14</v>
      </c>
      <c r="U685" s="29">
        <f t="shared" si="73"/>
        <v>-2.180685358255452E-2</v>
      </c>
      <c r="V685" s="5">
        <f>U685-V1274</f>
        <v>-2.3543044358261558E-2</v>
      </c>
      <c r="X685" s="1">
        <v>44626</v>
      </c>
      <c r="Y685">
        <v>1.85</v>
      </c>
      <c r="Z685" s="48">
        <f t="shared" si="74"/>
        <v>-0.19565217391304335</v>
      </c>
      <c r="AA685" s="5">
        <f>Z685-Y1274</f>
        <v>-0.19986949338231749</v>
      </c>
      <c r="AD685" t="s">
        <v>705</v>
      </c>
      <c r="AE685">
        <v>66.95</v>
      </c>
      <c r="AF685" s="29">
        <f t="shared" si="75"/>
        <v>1.0871206401932731E-2</v>
      </c>
    </row>
    <row r="686" spans="1:32">
      <c r="A686" s="3" t="s">
        <v>709</v>
      </c>
      <c r="B686" s="222">
        <v>24.39</v>
      </c>
      <c r="C686" s="227">
        <f t="shared" si="70"/>
        <v>3.3912674862229819E-2</v>
      </c>
      <c r="D686" s="5">
        <f>C686-C1275</f>
        <v>3.3834629292670927E-2</v>
      </c>
      <c r="F686" s="8"/>
      <c r="H686" t="s">
        <v>708</v>
      </c>
      <c r="I686">
        <v>19.14</v>
      </c>
      <c r="J686" s="227">
        <f t="shared" si="71"/>
        <v>-2.9411764705882248E-2</v>
      </c>
      <c r="K686" s="5">
        <f>J686-J1276</f>
        <v>-3.1547720621492206E-2</v>
      </c>
      <c r="M686" s="240" t="s">
        <v>706</v>
      </c>
      <c r="N686">
        <v>3923.68</v>
      </c>
      <c r="O686" s="227">
        <f t="shared" si="72"/>
        <v>5.8680421145460571E-3</v>
      </c>
      <c r="P686" s="5">
        <f>O686-O1278</f>
        <v>6.233799315459229E-3</v>
      </c>
      <c r="Q686" s="8">
        <f t="shared" si="76"/>
        <v>3.8860253905419954E-5</v>
      </c>
      <c r="S686" t="s">
        <v>706</v>
      </c>
      <c r="T686">
        <v>2.5299999999999998</v>
      </c>
      <c r="U686" s="29">
        <f t="shared" si="73"/>
        <v>-0.19426751592356695</v>
      </c>
      <c r="V686" s="5">
        <f>U686-V1274</f>
        <v>-0.19600370669927397</v>
      </c>
      <c r="X686" s="1">
        <v>44598</v>
      </c>
      <c r="Y686">
        <v>1.91</v>
      </c>
      <c r="Z686" s="48">
        <f t="shared" si="74"/>
        <v>3.2432432432432323E-2</v>
      </c>
      <c r="AA686" s="5">
        <f>Z686-Y1274</f>
        <v>2.8215112963158189E-2</v>
      </c>
      <c r="AD686" t="s">
        <v>706</v>
      </c>
      <c r="AE686">
        <v>63.63</v>
      </c>
      <c r="AF686" s="29">
        <f t="shared" si="75"/>
        <v>-4.9589245705750518E-2</v>
      </c>
    </row>
    <row r="687" spans="1:32">
      <c r="A687" s="220">
        <v>44900</v>
      </c>
      <c r="B687" s="222">
        <v>23.29</v>
      </c>
      <c r="C687" s="227">
        <f t="shared" si="70"/>
        <v>-4.51004510045101E-2</v>
      </c>
      <c r="D687" s="5">
        <f>C687-C1275</f>
        <v>-4.5178496574068992E-2</v>
      </c>
      <c r="F687" s="8"/>
      <c r="H687" t="s">
        <v>709</v>
      </c>
      <c r="I687">
        <v>20</v>
      </c>
      <c r="J687" s="227">
        <f t="shared" si="71"/>
        <v>4.4932079414838011E-2</v>
      </c>
      <c r="K687" s="5">
        <f>J687-J1276</f>
        <v>4.2796123499228053E-2</v>
      </c>
      <c r="M687" s="240" t="s">
        <v>707</v>
      </c>
      <c r="N687">
        <v>4088.85</v>
      </c>
      <c r="O687" s="227">
        <f t="shared" si="72"/>
        <v>4.2095685682828288E-2</v>
      </c>
      <c r="P687" s="5">
        <f>O687-O1278</f>
        <v>4.2461442883741457E-2</v>
      </c>
      <c r="Q687" s="8">
        <f t="shared" si="76"/>
        <v>1.802974131769238E-3</v>
      </c>
      <c r="S687" t="s">
        <v>707</v>
      </c>
      <c r="T687">
        <v>2.73</v>
      </c>
      <c r="U687" s="29">
        <f t="shared" si="73"/>
        <v>7.9051383399209474E-2</v>
      </c>
      <c r="V687" s="5">
        <f>U687-V1274</f>
        <v>7.7315192623502435E-2</v>
      </c>
      <c r="X687" s="1">
        <v>44567</v>
      </c>
      <c r="Y687">
        <v>1.82</v>
      </c>
      <c r="Z687" s="48">
        <f t="shared" si="74"/>
        <v>-4.7120418848167422E-2</v>
      </c>
      <c r="AA687" s="5">
        <f>Z687-Y1274</f>
        <v>-5.1337738317441553E-2</v>
      </c>
      <c r="AD687" t="s">
        <v>707</v>
      </c>
      <c r="AE687">
        <v>69.38</v>
      </c>
      <c r="AF687" s="29">
        <f t="shared" si="75"/>
        <v>9.0366179475090291E-2</v>
      </c>
    </row>
    <row r="688" spans="1:32">
      <c r="A688" s="220">
        <v>44870</v>
      </c>
      <c r="B688" s="222">
        <v>22.57</v>
      </c>
      <c r="C688" s="227">
        <f t="shared" si="70"/>
        <v>-3.0914555603263172E-2</v>
      </c>
      <c r="D688" s="5">
        <f>C688-C1275</f>
        <v>-3.099260117282206E-2</v>
      </c>
      <c r="F688" s="8"/>
      <c r="H688" s="1">
        <v>44900</v>
      </c>
      <c r="I688">
        <v>18.59</v>
      </c>
      <c r="J688" s="227">
        <f t="shared" si="71"/>
        <v>-7.0500000000000007E-2</v>
      </c>
      <c r="K688" s="5">
        <f>J688-J1276</f>
        <v>-7.2635955915609965E-2</v>
      </c>
      <c r="M688" s="240" t="s">
        <v>708</v>
      </c>
      <c r="N688">
        <v>4008.01</v>
      </c>
      <c r="O688" s="227">
        <f t="shared" si="72"/>
        <v>-1.9770840211795426E-2</v>
      </c>
      <c r="P688" s="5">
        <f>O688-O1278</f>
        <v>-1.9405083010882253E-2</v>
      </c>
      <c r="Q688" s="8">
        <f t="shared" si="76"/>
        <v>3.7655724665923104E-4</v>
      </c>
      <c r="S688" t="s">
        <v>708</v>
      </c>
      <c r="T688">
        <v>2.5750000000000002</v>
      </c>
      <c r="U688" s="29">
        <f t="shared" si="73"/>
        <v>-5.6776556776556686E-2</v>
      </c>
      <c r="V688" s="5">
        <f>U688-V1274</f>
        <v>-5.8512747552263725E-2</v>
      </c>
      <c r="X688" t="s">
        <v>698</v>
      </c>
      <c r="Y688">
        <v>1.95</v>
      </c>
      <c r="Z688" s="48">
        <f t="shared" si="74"/>
        <v>7.1428571428571397E-2</v>
      </c>
      <c r="AA688" s="5">
        <f>Z688-Y1274</f>
        <v>6.7211251959297266E-2</v>
      </c>
      <c r="AD688" t="s">
        <v>708</v>
      </c>
      <c r="AE688">
        <v>65.790000000000006</v>
      </c>
      <c r="AF688" s="29">
        <f t="shared" si="75"/>
        <v>-5.1744018449120577E-2</v>
      </c>
    </row>
    <row r="689" spans="1:32">
      <c r="A689" s="220">
        <v>44839</v>
      </c>
      <c r="B689" s="222">
        <v>23.67</v>
      </c>
      <c r="C689" s="227">
        <f t="shared" si="70"/>
        <v>4.8737261852016101E-2</v>
      </c>
      <c r="D689" s="5">
        <f>C689-C1275</f>
        <v>4.8659216282457209E-2</v>
      </c>
      <c r="F689" s="8"/>
      <c r="H689" s="1">
        <v>44870</v>
      </c>
      <c r="I689">
        <v>17.72</v>
      </c>
      <c r="J689" s="227">
        <f t="shared" si="71"/>
        <v>-4.6799354491662282E-2</v>
      </c>
      <c r="K689" s="5">
        <f>J689-J1276</f>
        <v>-4.8935310407272239E-2</v>
      </c>
      <c r="M689" s="240" t="s">
        <v>709</v>
      </c>
      <c r="N689">
        <v>4023.89</v>
      </c>
      <c r="O689" s="227">
        <f t="shared" si="72"/>
        <v>3.9620659629091559E-3</v>
      </c>
      <c r="P689" s="5">
        <f>O689-O1278</f>
        <v>4.3278231638223278E-3</v>
      </c>
      <c r="Q689" s="8">
        <f t="shared" si="76"/>
        <v>1.8730053337317102E-5</v>
      </c>
      <c r="S689" t="s">
        <v>709</v>
      </c>
      <c r="T689">
        <v>2.82</v>
      </c>
      <c r="U689" s="29">
        <f t="shared" si="73"/>
        <v>9.5145631067961034E-2</v>
      </c>
      <c r="V689" s="5">
        <f>U689-V1274</f>
        <v>9.3409440292253995E-2</v>
      </c>
      <c r="X689" t="s">
        <v>699</v>
      </c>
      <c r="Y689">
        <v>2.0099999999999998</v>
      </c>
      <c r="Z689" s="48">
        <f t="shared" si="74"/>
        <v>3.076923076923066E-2</v>
      </c>
      <c r="AA689" s="5">
        <f>Z689-Y1274</f>
        <v>2.6551911299956526E-2</v>
      </c>
      <c r="AD689" t="s">
        <v>709</v>
      </c>
      <c r="AE689">
        <v>73.709999999999994</v>
      </c>
      <c r="AF689" s="29">
        <f t="shared" si="75"/>
        <v>0.1203830369357044</v>
      </c>
    </row>
    <row r="690" spans="1:32">
      <c r="A690" s="220">
        <v>44809</v>
      </c>
      <c r="B690" s="222">
        <v>23.05</v>
      </c>
      <c r="C690" s="227">
        <f t="shared" si="70"/>
        <v>-2.6193493874102303E-2</v>
      </c>
      <c r="D690" s="5">
        <f>C690-C1275</f>
        <v>-2.6271539443661191E-2</v>
      </c>
      <c r="F690" s="8"/>
      <c r="H690" s="1">
        <v>44839</v>
      </c>
      <c r="I690">
        <v>19</v>
      </c>
      <c r="J690" s="227">
        <f t="shared" si="71"/>
        <v>7.2234762979684008E-2</v>
      </c>
      <c r="K690" s="5">
        <f>J690-J1276</f>
        <v>7.0098807064074051E-2</v>
      </c>
      <c r="M690" s="241">
        <v>44900</v>
      </c>
      <c r="N690">
        <v>3930.08</v>
      </c>
      <c r="O690" s="227">
        <f t="shared" si="72"/>
        <v>-2.3313261545420016E-2</v>
      </c>
      <c r="P690" s="5">
        <f>O690-O1278</f>
        <v>-2.2947504344506844E-2</v>
      </c>
      <c r="Q690" s="8">
        <f t="shared" si="76"/>
        <v>5.2658795564116052E-4</v>
      </c>
      <c r="S690" s="1">
        <v>44900</v>
      </c>
      <c r="T690">
        <v>2.7</v>
      </c>
      <c r="U690" s="29">
        <f t="shared" si="73"/>
        <v>-4.2553191489361541E-2</v>
      </c>
      <c r="V690" s="5">
        <f>U690-V1274</f>
        <v>-4.428938226506858E-2</v>
      </c>
      <c r="X690" t="s">
        <v>700</v>
      </c>
      <c r="Y690">
        <v>1.85</v>
      </c>
      <c r="Z690" s="48">
        <f t="shared" si="74"/>
        <v>-7.9601990049751103E-2</v>
      </c>
      <c r="AA690" s="5">
        <f>Z690-Y1274</f>
        <v>-8.3819309519025234E-2</v>
      </c>
      <c r="AD690" s="1">
        <v>44900</v>
      </c>
      <c r="AE690">
        <v>65.59</v>
      </c>
      <c r="AF690" s="29">
        <f t="shared" si="75"/>
        <v>-0.11016144349477675</v>
      </c>
    </row>
    <row r="691" spans="1:32">
      <c r="A691" s="220">
        <v>44717</v>
      </c>
      <c r="B691" s="222">
        <v>26.07</v>
      </c>
      <c r="C691" s="227">
        <f t="shared" si="70"/>
        <v>0.13101952277657269</v>
      </c>
      <c r="D691" s="5">
        <f>C691-C1275</f>
        <v>0.1309414772070138</v>
      </c>
      <c r="F691" s="8"/>
      <c r="H691" s="1">
        <v>44809</v>
      </c>
      <c r="I691">
        <v>18.61</v>
      </c>
      <c r="J691" s="227">
        <f t="shared" si="71"/>
        <v>-2.0526315789473726E-2</v>
      </c>
      <c r="K691" s="5">
        <f>J691-J1276</f>
        <v>-2.2662271705083684E-2</v>
      </c>
      <c r="M691" s="241">
        <v>44870</v>
      </c>
      <c r="N691">
        <v>3935.18</v>
      </c>
      <c r="O691" s="227">
        <f t="shared" si="72"/>
        <v>1.297683507714753E-3</v>
      </c>
      <c r="P691" s="5">
        <f>O691-O1278</f>
        <v>1.6634407086279245E-3</v>
      </c>
      <c r="Q691" s="8">
        <f t="shared" si="76"/>
        <v>2.7670349911205717E-6</v>
      </c>
      <c r="S691" s="1">
        <v>44870</v>
      </c>
      <c r="T691">
        <v>2.5099999999999998</v>
      </c>
      <c r="U691" s="29">
        <f t="shared" si="73"/>
        <v>-7.0370370370370527E-2</v>
      </c>
      <c r="V691" s="5">
        <f>U691-V1274</f>
        <v>-7.2106561146077566E-2</v>
      </c>
      <c r="X691" t="s">
        <v>701</v>
      </c>
      <c r="Y691">
        <v>1.75</v>
      </c>
      <c r="Z691" s="48">
        <f t="shared" si="74"/>
        <v>-5.4054054054054057E-2</v>
      </c>
      <c r="AA691" s="5">
        <f>Z691-Y1274</f>
        <v>-5.8271373523328188E-2</v>
      </c>
      <c r="AD691" s="1">
        <v>44870</v>
      </c>
      <c r="AE691">
        <v>59.51</v>
      </c>
      <c r="AF691" s="29">
        <f t="shared" si="75"/>
        <v>-9.269705747827417E-2</v>
      </c>
    </row>
    <row r="692" spans="1:32">
      <c r="A692" s="220">
        <v>44686</v>
      </c>
      <c r="B692" s="222">
        <v>26.83</v>
      </c>
      <c r="C692" s="227">
        <f t="shared" si="70"/>
        <v>2.9152282316839306E-2</v>
      </c>
      <c r="D692" s="5">
        <f>C692-C1275</f>
        <v>2.9074236747280418E-2</v>
      </c>
      <c r="F692" s="8"/>
      <c r="H692" s="1">
        <v>44717</v>
      </c>
      <c r="I692">
        <v>20.51</v>
      </c>
      <c r="J692" s="227">
        <f t="shared" si="71"/>
        <v>0.10209564750134348</v>
      </c>
      <c r="K692" s="5">
        <f>J692-J1276</f>
        <v>9.9959691585733521E-2</v>
      </c>
      <c r="M692" s="241">
        <v>44839</v>
      </c>
      <c r="N692">
        <v>4001.05</v>
      </c>
      <c r="O692" s="227">
        <f t="shared" si="72"/>
        <v>1.6738751467531454E-2</v>
      </c>
      <c r="P692" s="5">
        <f>O692-O1278</f>
        <v>1.7104508668444627E-2</v>
      </c>
      <c r="Q692" s="8">
        <f t="shared" si="76"/>
        <v>2.9256421678889737E-4</v>
      </c>
      <c r="S692" s="1">
        <v>44839</v>
      </c>
      <c r="T692">
        <v>2.75</v>
      </c>
      <c r="U692" s="29">
        <f t="shared" si="73"/>
        <v>9.5617529880478225E-2</v>
      </c>
      <c r="V692" s="5">
        <f>U692-V1274</f>
        <v>9.3881339104771186E-2</v>
      </c>
      <c r="X692" t="s">
        <v>702</v>
      </c>
      <c r="Y692">
        <v>1.48</v>
      </c>
      <c r="Z692" s="48">
        <f t="shared" si="74"/>
        <v>-0.15428571428571425</v>
      </c>
      <c r="AA692" s="5">
        <f>Z692-Y1274</f>
        <v>-0.15850303375498839</v>
      </c>
      <c r="AD692" s="1">
        <v>44839</v>
      </c>
      <c r="AE692">
        <v>68.53</v>
      </c>
      <c r="AF692" s="29">
        <f t="shared" si="75"/>
        <v>0.1515711645101665</v>
      </c>
    </row>
    <row r="693" spans="1:32">
      <c r="A693" s="220">
        <v>44656</v>
      </c>
      <c r="B693" s="222">
        <v>28.1</v>
      </c>
      <c r="C693" s="227">
        <f t="shared" si="70"/>
        <v>4.7335072679836054E-2</v>
      </c>
      <c r="D693" s="5">
        <f>C693-C1275</f>
        <v>4.7257027110277162E-2</v>
      </c>
      <c r="F693" s="8"/>
      <c r="H693" s="1">
        <v>44686</v>
      </c>
      <c r="I693">
        <v>22.03</v>
      </c>
      <c r="J693" s="227">
        <f t="shared" si="71"/>
        <v>7.4110190151145838E-2</v>
      </c>
      <c r="K693" s="5">
        <f>J693-J1276</f>
        <v>7.1974234235535881E-2</v>
      </c>
      <c r="M693" s="241">
        <v>44809</v>
      </c>
      <c r="N693">
        <v>3991.24</v>
      </c>
      <c r="O693" s="227">
        <f t="shared" si="72"/>
        <v>-2.4518563876982924E-3</v>
      </c>
      <c r="P693" s="5">
        <f>O693-O1278</f>
        <v>-2.0860991867851209E-3</v>
      </c>
      <c r="Q693" s="8">
        <f t="shared" si="76"/>
        <v>4.3518098171055428E-6</v>
      </c>
      <c r="S693" s="1">
        <v>44809</v>
      </c>
      <c r="T693">
        <v>2.8</v>
      </c>
      <c r="U693" s="29">
        <f t="shared" si="73"/>
        <v>1.8181818181818077E-2</v>
      </c>
      <c r="V693" s="5">
        <f>U693-V1274</f>
        <v>1.6445627406111038E-2</v>
      </c>
      <c r="X693" t="s">
        <v>703</v>
      </c>
      <c r="Y693">
        <v>1.44</v>
      </c>
      <c r="Z693" s="48">
        <f t="shared" si="74"/>
        <v>-2.7027027027027084E-2</v>
      </c>
      <c r="AA693" s="5">
        <f>Z693-Y1274</f>
        <v>-3.1244346496301218E-2</v>
      </c>
      <c r="AD693" s="1">
        <v>44809</v>
      </c>
      <c r="AE693">
        <v>64.180000000000007</v>
      </c>
      <c r="AF693" s="29">
        <f t="shared" si="75"/>
        <v>-6.3475849992703837E-2</v>
      </c>
    </row>
    <row r="694" spans="1:32">
      <c r="A694" s="220">
        <v>44625</v>
      </c>
      <c r="B694" s="222">
        <v>29.47</v>
      </c>
      <c r="C694" s="227">
        <f t="shared" si="70"/>
        <v>4.8754448398576455E-2</v>
      </c>
      <c r="D694" s="5">
        <f>C694-C1275</f>
        <v>4.8676402829017563E-2</v>
      </c>
      <c r="F694" s="8"/>
      <c r="H694" s="1">
        <v>44656</v>
      </c>
      <c r="I694">
        <v>21.56</v>
      </c>
      <c r="J694" s="227">
        <f t="shared" si="71"/>
        <v>-2.1334543803903872E-2</v>
      </c>
      <c r="K694" s="5">
        <f>J694-J1276</f>
        <v>-2.3470499719513829E-2</v>
      </c>
      <c r="M694" s="241">
        <v>44717</v>
      </c>
      <c r="N694">
        <v>4123.34</v>
      </c>
      <c r="O694" s="227">
        <f t="shared" si="72"/>
        <v>3.3097483488840673E-2</v>
      </c>
      <c r="P694" s="5">
        <f>O694-O1278</f>
        <v>3.3463240689753843E-2</v>
      </c>
      <c r="Q694" s="8">
        <f t="shared" si="76"/>
        <v>1.1197884774603972E-3</v>
      </c>
      <c r="S694" s="1">
        <v>44717</v>
      </c>
      <c r="T694">
        <v>3.01</v>
      </c>
      <c r="U694" s="29">
        <f t="shared" si="73"/>
        <v>7.4999999999999956E-2</v>
      </c>
      <c r="V694" s="5">
        <f>U694-V1274</f>
        <v>7.3263809224292917E-2</v>
      </c>
      <c r="X694" t="s">
        <v>704</v>
      </c>
      <c r="Y694">
        <v>1.5</v>
      </c>
      <c r="Z694" s="48">
        <f t="shared" si="74"/>
        <v>4.1666666666666741E-2</v>
      </c>
      <c r="AA694" s="5">
        <f>Z694-Y1274</f>
        <v>3.744934719739261E-2</v>
      </c>
      <c r="AD694" s="1">
        <v>44717</v>
      </c>
      <c r="AE694">
        <v>72.11</v>
      </c>
      <c r="AF694" s="29">
        <f t="shared" si="75"/>
        <v>0.12355874104082254</v>
      </c>
    </row>
    <row r="695" spans="1:32">
      <c r="A695" s="220">
        <v>44597</v>
      </c>
      <c r="B695" s="222">
        <v>30.39</v>
      </c>
      <c r="C695" s="227">
        <f t="shared" si="70"/>
        <v>3.1218187987784196E-2</v>
      </c>
      <c r="D695" s="5">
        <f>C695-C1275</f>
        <v>3.1140142418225308E-2</v>
      </c>
      <c r="F695" s="8"/>
      <c r="H695" s="1">
        <v>44625</v>
      </c>
      <c r="I695">
        <v>30.76</v>
      </c>
      <c r="J695" s="227">
        <f t="shared" si="71"/>
        <v>0.4267161410018554</v>
      </c>
      <c r="K695" s="5">
        <f>J695-J1276</f>
        <v>0.42458018508624545</v>
      </c>
      <c r="M695" s="241">
        <v>44686</v>
      </c>
      <c r="N695">
        <v>4146.87</v>
      </c>
      <c r="O695" s="227">
        <f t="shared" si="72"/>
        <v>5.7065388738255507E-3</v>
      </c>
      <c r="P695" s="5">
        <f>O695-O1278</f>
        <v>6.0722960747387226E-3</v>
      </c>
      <c r="Q695" s="8">
        <f t="shared" si="76"/>
        <v>3.6872779619287295E-5</v>
      </c>
      <c r="S695" s="1">
        <v>44686</v>
      </c>
      <c r="T695">
        <v>3.03</v>
      </c>
      <c r="U695" s="29">
        <f t="shared" si="73"/>
        <v>6.6445182724252927E-3</v>
      </c>
      <c r="V695" s="5">
        <f>U695-V1274</f>
        <v>4.9083274967182547E-3</v>
      </c>
      <c r="X695" t="s">
        <v>705</v>
      </c>
      <c r="Y695">
        <v>1.61</v>
      </c>
      <c r="Z695" s="48">
        <f t="shared" si="74"/>
        <v>7.3333333333333472E-2</v>
      </c>
      <c r="AA695" s="5">
        <f>Z695-Y1274</f>
        <v>6.9116013864059342E-2</v>
      </c>
      <c r="AD695" s="1">
        <v>44686</v>
      </c>
      <c r="AE695">
        <v>73.150000000000006</v>
      </c>
      <c r="AF695" s="29">
        <f t="shared" si="75"/>
        <v>1.4422410206628822E-2</v>
      </c>
    </row>
    <row r="696" spans="1:32">
      <c r="A696" s="3" t="s">
        <v>710</v>
      </c>
      <c r="B696" s="222">
        <v>31.48</v>
      </c>
      <c r="C696" s="227">
        <f t="shared" si="70"/>
        <v>3.5867061533399136E-2</v>
      </c>
      <c r="D696" s="5">
        <f>C696-C1275</f>
        <v>3.5789015963840244E-2</v>
      </c>
      <c r="F696" s="8"/>
      <c r="H696" s="1">
        <v>44597</v>
      </c>
      <c r="I696">
        <v>31.5</v>
      </c>
      <c r="J696" s="227">
        <f t="shared" si="71"/>
        <v>2.4057217165149414E-2</v>
      </c>
      <c r="K696" s="5">
        <f>J696-J1276</f>
        <v>2.1921261249539456E-2</v>
      </c>
      <c r="M696" s="241">
        <v>44656</v>
      </c>
      <c r="N696">
        <v>4300.17</v>
      </c>
      <c r="O696" s="227">
        <f t="shared" si="72"/>
        <v>3.6967640654276712E-2</v>
      </c>
      <c r="P696" s="5">
        <f>O696-O1278</f>
        <v>3.7333397855189882E-2</v>
      </c>
      <c r="Q696" s="8">
        <f t="shared" si="76"/>
        <v>1.3937825954138964E-3</v>
      </c>
      <c r="S696" s="1">
        <v>44656</v>
      </c>
      <c r="T696">
        <v>3.18</v>
      </c>
      <c r="U696" s="29">
        <f t="shared" si="73"/>
        <v>4.9504950495049549E-2</v>
      </c>
      <c r="V696" s="5">
        <f>U696-V1274</f>
        <v>4.776875971934251E-2</v>
      </c>
      <c r="X696" t="s">
        <v>706</v>
      </c>
      <c r="Y696">
        <v>1.51</v>
      </c>
      <c r="Z696" s="48">
        <f t="shared" si="74"/>
        <v>-6.2111801242236031E-2</v>
      </c>
      <c r="AA696" s="5">
        <f>Z696-Y1274</f>
        <v>-6.6329120711510162E-2</v>
      </c>
      <c r="AD696" s="1">
        <v>44656</v>
      </c>
      <c r="AE696">
        <v>81.64</v>
      </c>
      <c r="AF696" s="29">
        <f t="shared" si="75"/>
        <v>0.11606288448393709</v>
      </c>
    </row>
    <row r="697" spans="1:32">
      <c r="A697" s="3" t="s">
        <v>711</v>
      </c>
      <c r="B697" s="222">
        <v>32.82</v>
      </c>
      <c r="C697" s="227">
        <f t="shared" si="70"/>
        <v>4.256670902160109E-2</v>
      </c>
      <c r="D697" s="5">
        <f>C697-C1275</f>
        <v>4.2488663452042198E-2</v>
      </c>
      <c r="E697" s="1"/>
      <c r="F697" s="8"/>
      <c r="H697" t="s">
        <v>710</v>
      </c>
      <c r="I697">
        <v>32.6</v>
      </c>
      <c r="J697" s="227">
        <f t="shared" si="71"/>
        <v>3.4920634920635019E-2</v>
      </c>
      <c r="K697" s="5">
        <f>J697-J1276</f>
        <v>3.2784679005025061E-2</v>
      </c>
      <c r="M697" s="241">
        <v>44625</v>
      </c>
      <c r="N697">
        <v>4175.4799999999996</v>
      </c>
      <c r="O697" s="227">
        <f t="shared" si="72"/>
        <v>-2.8996528044240244E-2</v>
      </c>
      <c r="P697" s="5">
        <f>O697-O1278</f>
        <v>-2.8630770843327071E-2</v>
      </c>
      <c r="Q697" s="8">
        <f t="shared" si="76"/>
        <v>8.1972103908310755E-4</v>
      </c>
      <c r="S697" s="1">
        <v>44625</v>
      </c>
      <c r="T697">
        <v>3.15</v>
      </c>
      <c r="U697" s="29">
        <f t="shared" si="73"/>
        <v>-9.4339622641510523E-3</v>
      </c>
      <c r="V697" s="5">
        <f>U697-V1274</f>
        <v>-1.1170153039858091E-2</v>
      </c>
      <c r="X697" t="s">
        <v>707</v>
      </c>
      <c r="Y697">
        <v>1.51</v>
      </c>
      <c r="Z697" s="48">
        <f t="shared" si="74"/>
        <v>0</v>
      </c>
      <c r="AA697" s="5">
        <f>Z697-Y1274</f>
        <v>-4.2173194692741341E-3</v>
      </c>
      <c r="AD697" s="1">
        <v>44625</v>
      </c>
      <c r="AE697">
        <v>79.180000000000007</v>
      </c>
      <c r="AF697" s="29">
        <f t="shared" si="75"/>
        <v>-3.0132288094071424E-2</v>
      </c>
    </row>
    <row r="698" spans="1:32">
      <c r="A698" s="3" t="s">
        <v>712</v>
      </c>
      <c r="B698" s="222">
        <v>30.68</v>
      </c>
      <c r="C698" s="227">
        <f t="shared" si="70"/>
        <v>-6.5204143814747151E-2</v>
      </c>
      <c r="D698" s="5">
        <f>C698-C1275</f>
        <v>-6.5282189384306036E-2</v>
      </c>
      <c r="E698" s="1"/>
      <c r="F698" s="8"/>
      <c r="H698" t="s">
        <v>711</v>
      </c>
      <c r="I698">
        <v>33.56</v>
      </c>
      <c r="J698" s="227">
        <f t="shared" si="71"/>
        <v>2.9447852760736248E-2</v>
      </c>
      <c r="K698" s="5">
        <f>J698-J1276</f>
        <v>2.7311896845126291E-2</v>
      </c>
      <c r="M698" s="241">
        <v>44597</v>
      </c>
      <c r="N698">
        <v>4155.38</v>
      </c>
      <c r="O698" s="227">
        <f t="shared" si="72"/>
        <v>-4.8138178125627373E-3</v>
      </c>
      <c r="P698" s="5">
        <f>O698-O1278</f>
        <v>-4.4480606116495654E-3</v>
      </c>
      <c r="Q698" s="8">
        <f t="shared" si="76"/>
        <v>1.9785243204908304E-5</v>
      </c>
      <c r="S698" s="1">
        <v>44597</v>
      </c>
      <c r="T698">
        <v>3.11</v>
      </c>
      <c r="U698" s="29">
        <f t="shared" si="73"/>
        <v>-1.2698412698412764E-2</v>
      </c>
      <c r="V698" s="5">
        <f>U698-V1274</f>
        <v>-1.4434603474119803E-2</v>
      </c>
      <c r="X698" t="s">
        <v>708</v>
      </c>
      <c r="Y698">
        <v>1.49</v>
      </c>
      <c r="Z698" s="48">
        <f t="shared" si="74"/>
        <v>-1.3245033112582738E-2</v>
      </c>
      <c r="AA698" s="5">
        <f>Z698-Y1274</f>
        <v>-1.7462352581856872E-2</v>
      </c>
      <c r="AD698" s="1">
        <v>44597</v>
      </c>
      <c r="AE698">
        <v>82.26</v>
      </c>
      <c r="AF698" s="29">
        <f t="shared" si="75"/>
        <v>3.8898711795908092E-2</v>
      </c>
    </row>
    <row r="699" spans="1:32">
      <c r="A699" s="3" t="s">
        <v>713</v>
      </c>
      <c r="B699" s="222">
        <v>31.33</v>
      </c>
      <c r="C699" s="227">
        <f t="shared" si="70"/>
        <v>2.1186440677966045E-2</v>
      </c>
      <c r="D699" s="5">
        <f>C699-C1275</f>
        <v>2.1108395108407157E-2</v>
      </c>
      <c r="E699" s="1"/>
      <c r="F699" s="8"/>
      <c r="H699" t="s">
        <v>712</v>
      </c>
      <c r="I699">
        <v>32.229999999999997</v>
      </c>
      <c r="J699" s="227">
        <f t="shared" si="71"/>
        <v>-3.9630512514898797E-2</v>
      </c>
      <c r="K699" s="5">
        <f>J699-J1276</f>
        <v>-4.1766468430508755E-2</v>
      </c>
      <c r="M699" s="240" t="s">
        <v>710</v>
      </c>
      <c r="N699">
        <v>4131.93</v>
      </c>
      <c r="O699" s="227">
        <f t="shared" si="72"/>
        <v>-5.6432865345648064E-3</v>
      </c>
      <c r="P699" s="5">
        <f>O699-O1278</f>
        <v>-5.2775293336516345E-3</v>
      </c>
      <c r="Q699" s="8">
        <f t="shared" si="76"/>
        <v>2.7852315867553464E-5</v>
      </c>
      <c r="S699" t="s">
        <v>710</v>
      </c>
      <c r="T699">
        <v>2.95</v>
      </c>
      <c r="U699" s="29">
        <f t="shared" si="73"/>
        <v>-5.1446945337620509E-2</v>
      </c>
      <c r="V699" s="5">
        <f>U699-V1274</f>
        <v>-5.3183136113327548E-2</v>
      </c>
      <c r="X699" t="s">
        <v>709</v>
      </c>
      <c r="Y699">
        <v>1.49</v>
      </c>
      <c r="Z699" s="48">
        <f t="shared" si="74"/>
        <v>0</v>
      </c>
      <c r="AA699" s="5">
        <f>Z699-Y1274</f>
        <v>-4.2173194692741341E-3</v>
      </c>
      <c r="AD699" t="s">
        <v>710</v>
      </c>
      <c r="AE699">
        <v>81.430000000000007</v>
      </c>
      <c r="AF699" s="29">
        <f t="shared" si="75"/>
        <v>-1.0089958667639176E-2</v>
      </c>
    </row>
    <row r="700" spans="1:32">
      <c r="A700" s="3" t="s">
        <v>714</v>
      </c>
      <c r="B700" s="222">
        <v>32.44</v>
      </c>
      <c r="C700" s="227">
        <f t="shared" si="70"/>
        <v>3.5429300989466839E-2</v>
      </c>
      <c r="D700" s="5">
        <f>C700-C1275</f>
        <v>3.5351255419907947E-2</v>
      </c>
      <c r="E700" s="1"/>
      <c r="F700" s="8"/>
      <c r="H700" t="s">
        <v>713</v>
      </c>
      <c r="I700">
        <v>32.450000000000003</v>
      </c>
      <c r="J700" s="227">
        <f t="shared" si="71"/>
        <v>6.8259385665530026E-3</v>
      </c>
      <c r="K700" s="5">
        <f>J700-J1276</f>
        <v>4.6899826509430448E-3</v>
      </c>
      <c r="M700" s="240" t="s">
        <v>711</v>
      </c>
      <c r="N700">
        <v>4287.5</v>
      </c>
      <c r="O700" s="227">
        <f t="shared" si="72"/>
        <v>3.7650686241054387E-2</v>
      </c>
      <c r="P700" s="5">
        <f>O700-O1278</f>
        <v>3.8016443441967557E-2</v>
      </c>
      <c r="Q700" s="8">
        <f t="shared" si="76"/>
        <v>1.445249971976318E-3</v>
      </c>
      <c r="S700" t="s">
        <v>711</v>
      </c>
      <c r="T700">
        <v>2.86</v>
      </c>
      <c r="U700" s="29">
        <f t="shared" si="73"/>
        <v>-3.0508474576271261E-2</v>
      </c>
      <c r="V700" s="5">
        <f>U700-V1274</f>
        <v>-3.2244665351978299E-2</v>
      </c>
      <c r="X700" s="1">
        <v>44900</v>
      </c>
      <c r="Y700">
        <v>1.46</v>
      </c>
      <c r="Z700" s="48">
        <f t="shared" si="74"/>
        <v>-2.0134228187919434E-2</v>
      </c>
      <c r="AA700" s="5">
        <f>Z700-Y1274</f>
        <v>-2.4351547657193568E-2</v>
      </c>
      <c r="AD700" t="s">
        <v>711</v>
      </c>
      <c r="AE700">
        <v>87.39</v>
      </c>
      <c r="AF700" s="29">
        <f t="shared" si="75"/>
        <v>7.3191698391256166E-2</v>
      </c>
    </row>
    <row r="701" spans="1:32">
      <c r="A701" s="3" t="s">
        <v>715</v>
      </c>
      <c r="B701" s="222">
        <v>30.83</v>
      </c>
      <c r="C701" s="227">
        <f t="shared" si="70"/>
        <v>-4.9630086313193544E-2</v>
      </c>
      <c r="D701" s="5">
        <f>C701-C1275</f>
        <v>-4.9708131882752436E-2</v>
      </c>
      <c r="E701" s="1"/>
      <c r="F701" s="8"/>
      <c r="H701" t="s">
        <v>714</v>
      </c>
      <c r="I701">
        <v>33.909999999999997</v>
      </c>
      <c r="J701" s="227">
        <f t="shared" si="71"/>
        <v>4.4992295839753282E-2</v>
      </c>
      <c r="K701" s="5">
        <f>J701-J1276</f>
        <v>4.2856339924143325E-2</v>
      </c>
      <c r="M701" s="240" t="s">
        <v>712</v>
      </c>
      <c r="N701">
        <v>4183.96</v>
      </c>
      <c r="O701" s="227">
        <f t="shared" si="72"/>
        <v>-2.4149271137026251E-2</v>
      </c>
      <c r="P701" s="5">
        <f>O701-O1278</f>
        <v>-2.3783513936113079E-2</v>
      </c>
      <c r="Q701" s="8">
        <f t="shared" si="76"/>
        <v>5.65655535149285E-4</v>
      </c>
      <c r="S701" t="s">
        <v>712</v>
      </c>
      <c r="T701">
        <v>2.71</v>
      </c>
      <c r="U701" s="29">
        <f t="shared" si="73"/>
        <v>-5.2447552447552392E-2</v>
      </c>
      <c r="V701" s="5">
        <f>U701-V1274</f>
        <v>-5.4183743223259431E-2</v>
      </c>
      <c r="X701" s="1">
        <v>44870</v>
      </c>
      <c r="Y701">
        <v>1.53</v>
      </c>
      <c r="Z701" s="48">
        <f t="shared" si="74"/>
        <v>4.7945205479452024E-2</v>
      </c>
      <c r="AA701" s="5">
        <f>Z701-Y1274</f>
        <v>4.3727886010177894E-2</v>
      </c>
      <c r="AD701" t="s">
        <v>712</v>
      </c>
      <c r="AE701">
        <v>82.22</v>
      </c>
      <c r="AF701" s="29">
        <f t="shared" si="75"/>
        <v>-5.9160086966472125E-2</v>
      </c>
    </row>
    <row r="702" spans="1:32">
      <c r="A702" s="3" t="s">
        <v>716</v>
      </c>
      <c r="B702" s="222">
        <v>31.68</v>
      </c>
      <c r="C702" s="227">
        <f t="shared" si="70"/>
        <v>2.7570548167369591E-2</v>
      </c>
      <c r="D702" s="5">
        <f>C702-C1275</f>
        <v>2.7492502597810702E-2</v>
      </c>
      <c r="E702" s="1"/>
      <c r="F702" s="8"/>
      <c r="H702" t="s">
        <v>715</v>
      </c>
      <c r="I702">
        <v>33.159999999999997</v>
      </c>
      <c r="J702" s="227">
        <f t="shared" si="71"/>
        <v>-2.2117369507519857E-2</v>
      </c>
      <c r="K702" s="5">
        <f>J702-J1276</f>
        <v>-2.4253325423129815E-2</v>
      </c>
      <c r="M702" s="240" t="s">
        <v>713</v>
      </c>
      <c r="N702">
        <v>4175.2</v>
      </c>
      <c r="O702" s="227">
        <f t="shared" si="72"/>
        <v>-2.0937102649165595E-3</v>
      </c>
      <c r="P702" s="5">
        <f>O702-O1278</f>
        <v>-1.727953064003388E-3</v>
      </c>
      <c r="Q702" s="8">
        <f t="shared" si="76"/>
        <v>2.9858217913986969E-6</v>
      </c>
      <c r="S702" t="s">
        <v>713</v>
      </c>
      <c r="T702">
        <v>2.71</v>
      </c>
      <c r="U702" s="29">
        <f t="shared" si="73"/>
        <v>0</v>
      </c>
      <c r="V702" s="5">
        <f>U702-V1274</f>
        <v>-1.736190775707038E-3</v>
      </c>
      <c r="X702" s="1">
        <v>44839</v>
      </c>
      <c r="Y702">
        <v>1.57</v>
      </c>
      <c r="Z702" s="48">
        <f t="shared" si="74"/>
        <v>2.6143790849673332E-2</v>
      </c>
      <c r="AA702" s="5">
        <f>Z702-Y1274</f>
        <v>2.1926471380399198E-2</v>
      </c>
      <c r="AD702" t="s">
        <v>713</v>
      </c>
      <c r="AE702">
        <v>84.26</v>
      </c>
      <c r="AF702" s="29">
        <f t="shared" si="75"/>
        <v>2.4811481391389112E-2</v>
      </c>
    </row>
    <row r="703" spans="1:32">
      <c r="A703" s="3" t="s">
        <v>717</v>
      </c>
      <c r="B703" s="222">
        <v>33.21</v>
      </c>
      <c r="C703" s="227">
        <f t="shared" si="70"/>
        <v>4.8295454545454586E-2</v>
      </c>
      <c r="D703" s="5">
        <f>C703-C1275</f>
        <v>4.8217408975895694E-2</v>
      </c>
      <c r="E703" s="1"/>
      <c r="F703" s="8"/>
      <c r="H703" t="s">
        <v>716</v>
      </c>
      <c r="I703">
        <v>34.11</v>
      </c>
      <c r="J703" s="227">
        <f t="shared" si="71"/>
        <v>2.8648974668275207E-2</v>
      </c>
      <c r="K703" s="5">
        <f>J703-J1276</f>
        <v>2.6513018752665249E-2</v>
      </c>
      <c r="M703" s="240" t="s">
        <v>714</v>
      </c>
      <c r="N703">
        <v>4296.12</v>
      </c>
      <c r="O703" s="227">
        <f t="shared" si="72"/>
        <v>2.8961486874880205E-2</v>
      </c>
      <c r="P703" s="5">
        <f>O703-O1278</f>
        <v>2.9327244075793377E-2</v>
      </c>
      <c r="Q703" s="8">
        <f t="shared" si="76"/>
        <v>8.6008724508115778E-4</v>
      </c>
      <c r="S703" t="s">
        <v>714</v>
      </c>
      <c r="T703">
        <v>2.86</v>
      </c>
      <c r="U703" s="29">
        <f t="shared" si="73"/>
        <v>5.5350553505534972E-2</v>
      </c>
      <c r="V703" s="5">
        <f>U703-V1274</f>
        <v>5.3614362729827933E-2</v>
      </c>
      <c r="X703" s="1">
        <v>44809</v>
      </c>
      <c r="Y703">
        <v>1.56</v>
      </c>
      <c r="Z703" s="48">
        <f t="shared" si="74"/>
        <v>-6.3694267515923553E-3</v>
      </c>
      <c r="AA703" s="5">
        <f>Z703-Y1274</f>
        <v>-1.0586746220866489E-2</v>
      </c>
      <c r="AD703" t="s">
        <v>714</v>
      </c>
      <c r="AE703">
        <v>91.25</v>
      </c>
      <c r="AF703" s="29">
        <f t="shared" si="75"/>
        <v>8.2957512461428795E-2</v>
      </c>
    </row>
    <row r="704" spans="1:32">
      <c r="A704" s="3" t="s">
        <v>718</v>
      </c>
      <c r="B704" s="222">
        <v>33.799999999999997</v>
      </c>
      <c r="C704" s="227">
        <f t="shared" si="70"/>
        <v>1.7765733212887547E-2</v>
      </c>
      <c r="D704" s="5">
        <f>C704-C1275</f>
        <v>1.7687687643328658E-2</v>
      </c>
      <c r="E704" s="1"/>
      <c r="F704" s="8"/>
      <c r="H704" t="s">
        <v>717</v>
      </c>
      <c r="I704">
        <v>35.700000000000003</v>
      </c>
      <c r="J704" s="227">
        <f t="shared" si="71"/>
        <v>4.6613896218117956E-2</v>
      </c>
      <c r="K704" s="5">
        <f>J704-J1276</f>
        <v>4.4477940302507998E-2</v>
      </c>
      <c r="M704" s="240" t="s">
        <v>715</v>
      </c>
      <c r="N704">
        <v>4271.78</v>
      </c>
      <c r="O704" s="227">
        <f t="shared" si="72"/>
        <v>-5.6655773116207619E-3</v>
      </c>
      <c r="P704" s="5">
        <f>O704-O1278</f>
        <v>-5.29982011070759E-3</v>
      </c>
      <c r="Q704" s="8">
        <f t="shared" si="76"/>
        <v>2.8088093205860611E-5</v>
      </c>
      <c r="S704" t="s">
        <v>715</v>
      </c>
      <c r="T704">
        <v>2.85</v>
      </c>
      <c r="U704" s="29">
        <f t="shared" si="73"/>
        <v>-3.4965034965034336E-3</v>
      </c>
      <c r="V704" s="5">
        <f>U704-V1274</f>
        <v>-5.2326942722104716E-3</v>
      </c>
      <c r="X704" s="1">
        <v>44717</v>
      </c>
      <c r="Y704">
        <v>1.74</v>
      </c>
      <c r="Z704" s="48">
        <f t="shared" si="74"/>
        <v>0.11538461538461542</v>
      </c>
      <c r="AA704" s="5">
        <f>Z704-Y1274</f>
        <v>0.11116729591534129</v>
      </c>
      <c r="AD704" t="s">
        <v>715</v>
      </c>
      <c r="AE704">
        <v>89</v>
      </c>
      <c r="AF704" s="29">
        <f t="shared" si="75"/>
        <v>-2.4657534246575352E-2</v>
      </c>
    </row>
    <row r="705" spans="1:32">
      <c r="A705" s="3" t="s">
        <v>719</v>
      </c>
      <c r="B705" s="222">
        <v>31.79</v>
      </c>
      <c r="C705" s="227">
        <f t="shared" si="70"/>
        <v>-5.9467455621301735E-2</v>
      </c>
      <c r="D705" s="5">
        <f>C705-C1275</f>
        <v>-5.9545501190860627E-2</v>
      </c>
      <c r="F705" s="8"/>
      <c r="H705" t="s">
        <v>718</v>
      </c>
      <c r="I705">
        <v>36.31</v>
      </c>
      <c r="J705" s="227">
        <f t="shared" si="71"/>
        <v>1.7086834733893497E-2</v>
      </c>
      <c r="K705" s="5">
        <f>J705-J1276</f>
        <v>1.4950878818283539E-2</v>
      </c>
      <c r="M705" s="240" t="s">
        <v>716</v>
      </c>
      <c r="N705">
        <v>4393.66</v>
      </c>
      <c r="O705" s="227">
        <f t="shared" si="72"/>
        <v>2.8531431862127699E-2</v>
      </c>
      <c r="P705" s="5">
        <f>O705-O1278</f>
        <v>2.8897189063040871E-2</v>
      </c>
      <c r="Q705" s="8">
        <f t="shared" si="76"/>
        <v>8.3504753574512893E-4</v>
      </c>
      <c r="S705" t="s">
        <v>716</v>
      </c>
      <c r="T705">
        <v>2.86</v>
      </c>
      <c r="U705" s="29">
        <f t="shared" si="73"/>
        <v>3.5087719298245723E-3</v>
      </c>
      <c r="V705" s="5">
        <f>U705-V1274</f>
        <v>1.7725811541175343E-3</v>
      </c>
      <c r="X705" s="1">
        <v>44686</v>
      </c>
      <c r="Y705">
        <v>1.94</v>
      </c>
      <c r="Z705" s="48">
        <f t="shared" si="74"/>
        <v>0.11494252873563227</v>
      </c>
      <c r="AA705" s="5">
        <f>Z705-Y1274</f>
        <v>0.11072520926635813</v>
      </c>
      <c r="AD705" t="s">
        <v>716</v>
      </c>
      <c r="AE705">
        <v>91.95</v>
      </c>
      <c r="AF705" s="29">
        <f t="shared" si="75"/>
        <v>3.3146067415730451E-2</v>
      </c>
    </row>
    <row r="706" spans="1:32">
      <c r="A706" s="3" t="s">
        <v>720</v>
      </c>
      <c r="B706" s="222">
        <v>32.68</v>
      </c>
      <c r="C706" s="227">
        <f t="shared" si="70"/>
        <v>2.7996225228059224E-2</v>
      </c>
      <c r="D706" s="5">
        <f>C706-C1275</f>
        <v>2.7918179658500335E-2</v>
      </c>
      <c r="F706" s="8"/>
      <c r="H706" t="s">
        <v>719</v>
      </c>
      <c r="I706">
        <v>34.61</v>
      </c>
      <c r="J706" s="227">
        <f t="shared" si="71"/>
        <v>-4.6819058110713407E-2</v>
      </c>
      <c r="K706" s="5">
        <f>J706-J1276</f>
        <v>-4.8955014026323365E-2</v>
      </c>
      <c r="M706" s="240" t="s">
        <v>717</v>
      </c>
      <c r="N706">
        <v>4459.45</v>
      </c>
      <c r="O706" s="227">
        <f t="shared" si="72"/>
        <v>1.4973848681964386E-2</v>
      </c>
      <c r="P706" s="5">
        <f>O706-O1278</f>
        <v>1.5339605882877557E-2</v>
      </c>
      <c r="Q706" s="8">
        <f t="shared" si="76"/>
        <v>2.3530350864201175E-4</v>
      </c>
      <c r="S706" t="s">
        <v>717</v>
      </c>
      <c r="T706">
        <v>3.01</v>
      </c>
      <c r="U706" s="29">
        <f t="shared" si="73"/>
        <v>5.2447552447552503E-2</v>
      </c>
      <c r="V706" s="5">
        <f>U706-V1274</f>
        <v>5.0711361671845465E-2</v>
      </c>
      <c r="X706" s="1">
        <v>44656</v>
      </c>
      <c r="Y706">
        <v>2.02</v>
      </c>
      <c r="Z706" s="48">
        <f t="shared" si="74"/>
        <v>4.1237113402061931E-2</v>
      </c>
      <c r="AA706" s="5">
        <f>Z706-Y1274</f>
        <v>3.7019793932787801E-2</v>
      </c>
      <c r="AD706" t="s">
        <v>717</v>
      </c>
      <c r="AE706">
        <v>100.14</v>
      </c>
      <c r="AF706" s="29">
        <f t="shared" si="75"/>
        <v>8.9070146818923224E-2</v>
      </c>
    </row>
    <row r="707" spans="1:32">
      <c r="A707" s="3" t="s">
        <v>721</v>
      </c>
      <c r="B707" s="222">
        <v>32.630000000000003</v>
      </c>
      <c r="C707" s="227">
        <f t="shared" si="70"/>
        <v>-1.5299877600978284E-3</v>
      </c>
      <c r="D707" s="5">
        <f>C707-C1275</f>
        <v>-1.6080333296567178E-3</v>
      </c>
      <c r="F707" s="8"/>
      <c r="H707" t="s">
        <v>720</v>
      </c>
      <c r="I707">
        <v>35.54</v>
      </c>
      <c r="J707" s="227">
        <f t="shared" si="71"/>
        <v>2.6870846576134033E-2</v>
      </c>
      <c r="K707" s="5">
        <f>J707-J1276</f>
        <v>2.4734890660524075E-2</v>
      </c>
      <c r="M707" s="240" t="s">
        <v>718</v>
      </c>
      <c r="N707">
        <v>4462.21</v>
      </c>
      <c r="O707" s="227">
        <f t="shared" si="72"/>
        <v>6.189104037492843E-4</v>
      </c>
      <c r="P707" s="5">
        <f>O707-O1278</f>
        <v>9.8466760466245579E-4</v>
      </c>
      <c r="Q707" s="8">
        <f t="shared" si="76"/>
        <v>9.6957029167169831E-7</v>
      </c>
      <c r="S707" t="s">
        <v>718</v>
      </c>
      <c r="T707">
        <v>3.29</v>
      </c>
      <c r="U707" s="29">
        <f t="shared" si="73"/>
        <v>9.3023255813953654E-2</v>
      </c>
      <c r="V707" s="5">
        <f>U707-V1274</f>
        <v>9.1287065038246615E-2</v>
      </c>
      <c r="X707" s="1">
        <v>44625</v>
      </c>
      <c r="Y707">
        <v>2.0099999999999998</v>
      </c>
      <c r="Z707" s="48">
        <f t="shared" si="74"/>
        <v>-4.9504950495050659E-3</v>
      </c>
      <c r="AA707" s="5">
        <f>Z707-Y1274</f>
        <v>-9.1678145187792E-3</v>
      </c>
      <c r="AD707" t="s">
        <v>718</v>
      </c>
      <c r="AE707">
        <v>106.51</v>
      </c>
      <c r="AF707" s="29">
        <f t="shared" si="75"/>
        <v>6.3610944677451542E-2</v>
      </c>
    </row>
    <row r="708" spans="1:32">
      <c r="A708" s="220">
        <v>44899</v>
      </c>
      <c r="B708" s="222">
        <v>31.99</v>
      </c>
      <c r="C708" s="227">
        <f t="shared" si="70"/>
        <v>-1.9613852283175137E-2</v>
      </c>
      <c r="D708" s="5">
        <f>C708-C1275</f>
        <v>-1.9691897852734026E-2</v>
      </c>
      <c r="F708" s="8"/>
      <c r="H708" t="s">
        <v>721</v>
      </c>
      <c r="I708">
        <v>34.799999999999997</v>
      </c>
      <c r="J708" s="227">
        <f t="shared" si="71"/>
        <v>-2.0821609454136247E-2</v>
      </c>
      <c r="K708" s="5">
        <f>J708-J1276</f>
        <v>-2.2957565369746205E-2</v>
      </c>
      <c r="M708" s="240" t="s">
        <v>719</v>
      </c>
      <c r="N708">
        <v>4391.6899999999996</v>
      </c>
      <c r="O708" s="227">
        <f t="shared" si="72"/>
        <v>-1.5803828147935794E-2</v>
      </c>
      <c r="P708" s="5">
        <f>O708-O1278</f>
        <v>-1.5438070947022623E-2</v>
      </c>
      <c r="Q708" s="8">
        <f t="shared" si="76"/>
        <v>2.38334034565304E-4</v>
      </c>
      <c r="S708" t="s">
        <v>719</v>
      </c>
      <c r="T708">
        <v>3.05</v>
      </c>
      <c r="U708" s="29">
        <f t="shared" si="73"/>
        <v>-7.2948328267477214E-2</v>
      </c>
      <c r="V708" s="5">
        <f>U708-V1274</f>
        <v>-7.4684519043184253E-2</v>
      </c>
      <c r="X708" s="1">
        <v>44597</v>
      </c>
      <c r="Y708">
        <v>1.99</v>
      </c>
      <c r="Z708" s="48">
        <f t="shared" si="74"/>
        <v>-9.9502487562188602E-3</v>
      </c>
      <c r="AA708" s="5">
        <f>Z708-Y1274</f>
        <v>-1.4167568225492994E-2</v>
      </c>
      <c r="AD708" t="s">
        <v>719</v>
      </c>
      <c r="AE708">
        <v>103.1</v>
      </c>
      <c r="AF708" s="29">
        <f t="shared" si="75"/>
        <v>-3.2015773166838901E-2</v>
      </c>
    </row>
    <row r="709" spans="1:32">
      <c r="A709" s="220">
        <v>44869</v>
      </c>
      <c r="B709" s="222">
        <v>32.04</v>
      </c>
      <c r="C709" s="227">
        <f t="shared" si="70"/>
        <v>1.5629884338856925E-3</v>
      </c>
      <c r="D709" s="5">
        <f>C709-C1275</f>
        <v>1.4849428643268032E-3</v>
      </c>
      <c r="F709" s="8"/>
      <c r="H709" s="1">
        <v>44899</v>
      </c>
      <c r="I709">
        <v>33.450000000000003</v>
      </c>
      <c r="J709" s="227">
        <f t="shared" si="71"/>
        <v>-3.879310344827569E-2</v>
      </c>
      <c r="K709" s="5">
        <f>J709-J1276</f>
        <v>-4.0929059363885648E-2</v>
      </c>
      <c r="M709" s="240" t="s">
        <v>720</v>
      </c>
      <c r="N709">
        <v>4392.59</v>
      </c>
      <c r="O709" s="227">
        <f t="shared" si="72"/>
        <v>2.0493249751241116E-4</v>
      </c>
      <c r="P709" s="5">
        <f>O709-O1278</f>
        <v>5.7068969842558265E-4</v>
      </c>
      <c r="Q709" s="8">
        <f t="shared" si="76"/>
        <v>3.2568673188908247E-7</v>
      </c>
      <c r="S709" t="s">
        <v>720</v>
      </c>
      <c r="T709">
        <v>3.2</v>
      </c>
      <c r="U709" s="29">
        <f t="shared" si="73"/>
        <v>4.9180327868852514E-2</v>
      </c>
      <c r="V709" s="5">
        <f>U709-V1274</f>
        <v>4.7444137093145475E-2</v>
      </c>
      <c r="X709" t="s">
        <v>710</v>
      </c>
      <c r="Y709">
        <v>1.88</v>
      </c>
      <c r="Z709" s="48">
        <f t="shared" si="74"/>
        <v>-5.5276381909547756E-2</v>
      </c>
      <c r="AA709" s="5">
        <f>Z709-Y1274</f>
        <v>-5.9493701378821887E-2</v>
      </c>
      <c r="AD709" t="s">
        <v>720</v>
      </c>
      <c r="AE709">
        <v>109.31</v>
      </c>
      <c r="AF709" s="29">
        <f t="shared" si="75"/>
        <v>6.0232783705140625E-2</v>
      </c>
    </row>
    <row r="710" spans="1:32">
      <c r="A710" s="220">
        <v>44777</v>
      </c>
      <c r="B710" s="222">
        <v>32.049999999999997</v>
      </c>
      <c r="C710" s="227">
        <f t="shared" si="70"/>
        <v>3.1210986267149465E-4</v>
      </c>
      <c r="D710" s="5">
        <f>C710-C1275</f>
        <v>2.3406429311260545E-4</v>
      </c>
      <c r="F710" s="8"/>
      <c r="H710" s="1">
        <v>44869</v>
      </c>
      <c r="I710">
        <v>33.32</v>
      </c>
      <c r="J710" s="227">
        <f t="shared" si="71"/>
        <v>-3.8863976083707286E-3</v>
      </c>
      <c r="K710" s="5">
        <f>J710-J1276</f>
        <v>-6.0223535239806864E-3</v>
      </c>
      <c r="M710" s="240" t="s">
        <v>721</v>
      </c>
      <c r="N710">
        <v>4446.59</v>
      </c>
      <c r="O710" s="227">
        <f t="shared" si="72"/>
        <v>1.2293430527319904E-2</v>
      </c>
      <c r="P710" s="5">
        <f>O710-O1278</f>
        <v>1.2659187728233075E-2</v>
      </c>
      <c r="Q710" s="8">
        <f t="shared" si="76"/>
        <v>1.6025503393864689E-4</v>
      </c>
      <c r="S710" t="s">
        <v>721</v>
      </c>
      <c r="T710">
        <v>3.48</v>
      </c>
      <c r="U710" s="29">
        <f t="shared" si="73"/>
        <v>8.7499999999999911E-2</v>
      </c>
      <c r="V710" s="5">
        <f>U710-V1274</f>
        <v>8.5763809224292872E-2</v>
      </c>
      <c r="X710" t="s">
        <v>711</v>
      </c>
      <c r="Y710">
        <v>1.81</v>
      </c>
      <c r="Z710" s="48">
        <f t="shared" si="74"/>
        <v>-3.7234042553191404E-2</v>
      </c>
      <c r="AA710" s="5">
        <f>Z710-Y1274</f>
        <v>-4.1451362022465535E-2</v>
      </c>
      <c r="AD710" t="s">
        <v>721</v>
      </c>
      <c r="AE710">
        <v>110.76</v>
      </c>
      <c r="AF710" s="29">
        <f t="shared" si="75"/>
        <v>1.3265026072637465E-2</v>
      </c>
    </row>
    <row r="711" spans="1:32">
      <c r="A711" s="220">
        <v>44746</v>
      </c>
      <c r="B711" s="222">
        <v>32.270000000000003</v>
      </c>
      <c r="C711" s="227">
        <f t="shared" si="70"/>
        <v>6.8642745709830422E-3</v>
      </c>
      <c r="D711" s="5">
        <f>C711-C1275</f>
        <v>6.7862290014241529E-3</v>
      </c>
      <c r="F711" s="8"/>
      <c r="H711" s="1">
        <v>44777</v>
      </c>
      <c r="I711">
        <v>33.590000000000003</v>
      </c>
      <c r="J711" s="227">
        <f t="shared" si="71"/>
        <v>8.1032412965187373E-3</v>
      </c>
      <c r="K711" s="5">
        <f>J711-J1276</f>
        <v>5.9672853809087795E-3</v>
      </c>
      <c r="M711" s="241">
        <v>44899</v>
      </c>
      <c r="N711">
        <v>4397.45</v>
      </c>
      <c r="O711" s="227">
        <f t="shared" si="72"/>
        <v>-1.1051165050072198E-2</v>
      </c>
      <c r="P711" s="5">
        <f>O711-O1278</f>
        <v>-1.0685407849159027E-2</v>
      </c>
      <c r="Q711" s="8">
        <f t="shared" si="76"/>
        <v>1.1417794090286934E-4</v>
      </c>
      <c r="S711" s="1">
        <v>44899</v>
      </c>
      <c r="T711">
        <v>3.4</v>
      </c>
      <c r="U711" s="29">
        <f t="shared" si="73"/>
        <v>-2.2988505747126409E-2</v>
      </c>
      <c r="V711" s="5">
        <f>U711-V1274</f>
        <v>-2.4724696522833448E-2</v>
      </c>
      <c r="X711" t="s">
        <v>712</v>
      </c>
      <c r="Y711">
        <v>1.78</v>
      </c>
      <c r="Z711" s="48">
        <f t="shared" si="74"/>
        <v>-1.6574585635359185E-2</v>
      </c>
      <c r="AA711" s="5">
        <f>Z711-Y1274</f>
        <v>-2.0791905104633319E-2</v>
      </c>
      <c r="AD711" s="1">
        <v>44899</v>
      </c>
      <c r="AE711">
        <v>104.42</v>
      </c>
      <c r="AF711" s="29">
        <f t="shared" si="75"/>
        <v>-5.724088118454318E-2</v>
      </c>
    </row>
    <row r="712" spans="1:32">
      <c r="A712" s="220">
        <v>44716</v>
      </c>
      <c r="B712" s="222">
        <v>33.409999999999997</v>
      </c>
      <c r="C712" s="227">
        <f t="shared" si="70"/>
        <v>3.5326929036256338E-2</v>
      </c>
      <c r="D712" s="5">
        <f>C712-C1275</f>
        <v>3.5248883466697446E-2</v>
      </c>
      <c r="F712" s="8"/>
      <c r="H712" s="1">
        <v>44746</v>
      </c>
      <c r="I712">
        <v>34.61</v>
      </c>
      <c r="J712" s="227">
        <f t="shared" si="71"/>
        <v>3.0366180410836385E-2</v>
      </c>
      <c r="K712" s="5">
        <f>J712-J1276</f>
        <v>2.8230224495226428E-2</v>
      </c>
      <c r="M712" s="241">
        <v>44869</v>
      </c>
      <c r="N712">
        <v>4412.53</v>
      </c>
      <c r="O712" s="227">
        <f t="shared" si="72"/>
        <v>3.4292601393990374E-3</v>
      </c>
      <c r="P712" s="5">
        <f>O712-O1278</f>
        <v>3.7950173403122089E-3</v>
      </c>
      <c r="Q712" s="8">
        <f t="shared" si="76"/>
        <v>1.4402156613270352E-5</v>
      </c>
      <c r="S712" s="1">
        <v>44869</v>
      </c>
      <c r="T712">
        <v>3.52</v>
      </c>
      <c r="U712" s="29">
        <f t="shared" si="73"/>
        <v>3.529411764705892E-2</v>
      </c>
      <c r="V712" s="5">
        <f>U712-V1274</f>
        <v>3.3557926871351881E-2</v>
      </c>
      <c r="X712" t="s">
        <v>713</v>
      </c>
      <c r="Y712">
        <v>1.73</v>
      </c>
      <c r="Z712" s="48">
        <f t="shared" si="74"/>
        <v>-2.8089887640449507E-2</v>
      </c>
      <c r="AA712" s="5">
        <f>Z712-Y1274</f>
        <v>-3.2307207109723637E-2</v>
      </c>
      <c r="AD712" s="1">
        <v>44869</v>
      </c>
      <c r="AE712">
        <v>104.72</v>
      </c>
      <c r="AF712" s="29">
        <f t="shared" si="75"/>
        <v>2.8730128327907334E-3</v>
      </c>
    </row>
    <row r="713" spans="1:32">
      <c r="A713" s="220">
        <v>44685</v>
      </c>
      <c r="B713" s="222">
        <v>34.96</v>
      </c>
      <c r="C713" s="227">
        <f t="shared" si="70"/>
        <v>4.6393295420532832E-2</v>
      </c>
      <c r="D713" s="5">
        <f>C713-C1275</f>
        <v>4.631524985097394E-2</v>
      </c>
      <c r="F713" s="8"/>
      <c r="H713" s="1">
        <v>44716</v>
      </c>
      <c r="I713">
        <v>36.08</v>
      </c>
      <c r="J713" s="227">
        <f t="shared" si="71"/>
        <v>4.2473273620340812E-2</v>
      </c>
      <c r="K713" s="5">
        <f>J713-J1276</f>
        <v>4.0337317704730855E-2</v>
      </c>
      <c r="M713" s="241">
        <v>44777</v>
      </c>
      <c r="N713">
        <v>4488.28</v>
      </c>
      <c r="O713" s="227">
        <f t="shared" si="72"/>
        <v>1.7167022093900863E-2</v>
      </c>
      <c r="P713" s="5">
        <f>O713-O1278</f>
        <v>1.7532779294814036E-2</v>
      </c>
      <c r="Q713" s="8">
        <f t="shared" si="76"/>
        <v>3.0739834980065975E-4</v>
      </c>
      <c r="S713" s="1">
        <v>44777</v>
      </c>
      <c r="T713">
        <v>3.61</v>
      </c>
      <c r="U713" s="29">
        <f t="shared" si="73"/>
        <v>2.5568181818181879E-2</v>
      </c>
      <c r="V713" s="5">
        <f>U713-V1274</f>
        <v>2.383199104247484E-2</v>
      </c>
      <c r="X713" t="s">
        <v>714</v>
      </c>
      <c r="Y713">
        <v>1.8</v>
      </c>
      <c r="Z713" s="48">
        <f t="shared" si="74"/>
        <v>4.0462427745664886E-2</v>
      </c>
      <c r="AA713" s="5">
        <f>Z713-Y1274</f>
        <v>3.6245108276390756E-2</v>
      </c>
      <c r="AD713" s="1">
        <v>44777</v>
      </c>
      <c r="AE713">
        <v>106.42</v>
      </c>
      <c r="AF713" s="29">
        <f t="shared" si="75"/>
        <v>1.6233766233766156E-2</v>
      </c>
    </row>
    <row r="714" spans="1:32">
      <c r="A714" s="220">
        <v>44655</v>
      </c>
      <c r="B714" s="222">
        <v>36.51</v>
      </c>
      <c r="C714" s="227">
        <f t="shared" si="70"/>
        <v>4.4336384439359167E-2</v>
      </c>
      <c r="D714" s="5">
        <f>C714-C1275</f>
        <v>4.4258338869800275E-2</v>
      </c>
      <c r="F714" s="8"/>
      <c r="H714" s="1">
        <v>44685</v>
      </c>
      <c r="I714">
        <v>37.15</v>
      </c>
      <c r="J714" s="227">
        <f t="shared" si="71"/>
        <v>2.9656319290465749E-2</v>
      </c>
      <c r="K714" s="5">
        <f>J714-J1276</f>
        <v>2.7520363374855791E-2</v>
      </c>
      <c r="M714" s="241">
        <v>44746</v>
      </c>
      <c r="N714">
        <v>4500.21</v>
      </c>
      <c r="O714" s="227">
        <f t="shared" si="72"/>
        <v>2.6580338125072878E-3</v>
      </c>
      <c r="P714" s="5">
        <f>O714-O1278</f>
        <v>3.0237910134204593E-3</v>
      </c>
      <c r="Q714" s="8">
        <f t="shared" si="76"/>
        <v>9.1433120928423281E-6</v>
      </c>
      <c r="S714" s="1">
        <v>44746</v>
      </c>
      <c r="T714">
        <v>3.48</v>
      </c>
      <c r="U714" s="29">
        <f t="shared" si="73"/>
        <v>-3.6011080332409962E-2</v>
      </c>
      <c r="V714" s="5">
        <f>U714-V1274</f>
        <v>-3.7747271108117E-2</v>
      </c>
      <c r="X714" t="s">
        <v>715</v>
      </c>
      <c r="Y714">
        <v>1.72</v>
      </c>
      <c r="Z714" s="48">
        <f t="shared" si="74"/>
        <v>-4.4444444444444509E-2</v>
      </c>
      <c r="AA714" s="5">
        <f>Z714-Y1274</f>
        <v>-4.8661763913718639E-2</v>
      </c>
      <c r="AD714" s="1">
        <v>44746</v>
      </c>
      <c r="AE714">
        <v>110.91</v>
      </c>
      <c r="AF714" s="29">
        <f t="shared" si="75"/>
        <v>4.2191317421537367E-2</v>
      </c>
    </row>
    <row r="715" spans="1:32">
      <c r="A715" s="220">
        <v>44565</v>
      </c>
      <c r="B715" s="222">
        <v>35.979999999999997</v>
      </c>
      <c r="C715" s="227">
        <f t="shared" si="70"/>
        <v>-1.451657080251989E-2</v>
      </c>
      <c r="D715" s="5">
        <f>C715-C1275</f>
        <v>-1.4594616372078779E-2</v>
      </c>
      <c r="F715" s="8"/>
      <c r="H715" s="1">
        <v>44655</v>
      </c>
      <c r="I715">
        <v>38.96</v>
      </c>
      <c r="J715" s="227">
        <f t="shared" si="71"/>
        <v>4.8721399730821124E-2</v>
      </c>
      <c r="K715" s="5">
        <f>J715-J1276</f>
        <v>4.6585443815211167E-2</v>
      </c>
      <c r="M715" s="241">
        <v>44716</v>
      </c>
      <c r="N715">
        <v>4481.1499999999996</v>
      </c>
      <c r="O715" s="227">
        <f t="shared" si="72"/>
        <v>-4.2353579055200985E-3</v>
      </c>
      <c r="P715" s="5">
        <f>O715-O1278</f>
        <v>-3.869600704606927E-3</v>
      </c>
      <c r="Q715" s="8">
        <f t="shared" si="76"/>
        <v>1.4973809613094426E-5</v>
      </c>
      <c r="S715" s="1">
        <v>44716</v>
      </c>
      <c r="T715">
        <v>3.59</v>
      </c>
      <c r="U715" s="29">
        <f t="shared" si="73"/>
        <v>3.1609195402298784E-2</v>
      </c>
      <c r="V715" s="5">
        <f>U715-V1274</f>
        <v>2.9873004626591745E-2</v>
      </c>
      <c r="X715" t="s">
        <v>716</v>
      </c>
      <c r="Y715">
        <v>1.71</v>
      </c>
      <c r="Z715" s="48">
        <f t="shared" si="74"/>
        <v>-5.8139534883721034E-3</v>
      </c>
      <c r="AA715" s="5">
        <f>Z715-Y1274</f>
        <v>-1.0031272957646237E-2</v>
      </c>
      <c r="AD715" s="1">
        <v>44716</v>
      </c>
      <c r="AE715">
        <v>113.6</v>
      </c>
      <c r="AF715" s="29">
        <f t="shared" si="75"/>
        <v>2.4253899558200231E-2</v>
      </c>
    </row>
    <row r="716" spans="1:32">
      <c r="A716" s="3" t="s">
        <v>722</v>
      </c>
      <c r="B716" s="222">
        <v>35.68</v>
      </c>
      <c r="C716" s="227">
        <f t="shared" si="70"/>
        <v>-8.3379655364090866E-3</v>
      </c>
      <c r="D716" s="5">
        <f>C716-C1275</f>
        <v>-8.416011105967975E-3</v>
      </c>
      <c r="F716" s="8"/>
      <c r="H716" s="1">
        <v>44565</v>
      </c>
      <c r="I716">
        <v>37.520000000000003</v>
      </c>
      <c r="J716" s="227">
        <f t="shared" si="71"/>
        <v>-3.696098562628336E-2</v>
      </c>
      <c r="K716" s="5">
        <f>J716-J1276</f>
        <v>-3.9096941541893318E-2</v>
      </c>
      <c r="M716" s="241">
        <v>44685</v>
      </c>
      <c r="N716">
        <v>4525.12</v>
      </c>
      <c r="O716" s="227">
        <f t="shared" si="72"/>
        <v>9.812213382725421E-3</v>
      </c>
      <c r="P716" s="5">
        <f>O716-O1278</f>
        <v>1.0177970583638592E-2</v>
      </c>
      <c r="Q716" s="8">
        <f t="shared" si="76"/>
        <v>1.035910852014125E-4</v>
      </c>
      <c r="S716" s="1">
        <v>44685</v>
      </c>
      <c r="T716">
        <v>3.6949999999999998</v>
      </c>
      <c r="U716" s="29">
        <f t="shared" si="73"/>
        <v>2.9247910863509752E-2</v>
      </c>
      <c r="V716" s="5">
        <f>U716-V1274</f>
        <v>2.7511720087802713E-2</v>
      </c>
      <c r="X716" t="s">
        <v>717</v>
      </c>
      <c r="Y716">
        <v>1.88</v>
      </c>
      <c r="Z716" s="48">
        <f t="shared" si="74"/>
        <v>9.9415204678362512E-2</v>
      </c>
      <c r="AA716" s="5">
        <f>Z716-Y1274</f>
        <v>9.5197885209088381E-2</v>
      </c>
      <c r="AD716" s="1">
        <v>44685</v>
      </c>
      <c r="AE716">
        <v>118.2</v>
      </c>
      <c r="AF716" s="29">
        <f t="shared" si="75"/>
        <v>4.0492957746478986E-2</v>
      </c>
    </row>
    <row r="717" spans="1:32">
      <c r="A717" s="3" t="s">
        <v>723</v>
      </c>
      <c r="B717" s="222">
        <v>36.58</v>
      </c>
      <c r="C717" s="227">
        <f t="shared" si="70"/>
        <v>2.522421524663665E-2</v>
      </c>
      <c r="D717" s="5">
        <f>C717-C1275</f>
        <v>2.5146169677077761E-2</v>
      </c>
      <c r="F717" s="8"/>
      <c r="H717" t="s">
        <v>722</v>
      </c>
      <c r="I717">
        <v>38.4</v>
      </c>
      <c r="J717" s="227">
        <f t="shared" si="71"/>
        <v>2.3454157782515805E-2</v>
      </c>
      <c r="K717" s="5">
        <f>J717-J1276</f>
        <v>2.1318201866905848E-2</v>
      </c>
      <c r="M717" s="241">
        <v>44655</v>
      </c>
      <c r="N717">
        <v>4582.6400000000003</v>
      </c>
      <c r="O717" s="227">
        <f t="shared" si="72"/>
        <v>1.2711265115621373E-2</v>
      </c>
      <c r="P717" s="5">
        <f>O717-O1278</f>
        <v>1.3077022316534544E-2</v>
      </c>
      <c r="Q717" s="8">
        <f t="shared" si="76"/>
        <v>1.7100851266714249E-4</v>
      </c>
      <c r="S717" s="1">
        <v>44655</v>
      </c>
      <c r="T717">
        <v>3.92</v>
      </c>
      <c r="U717" s="29">
        <f t="shared" si="73"/>
        <v>6.0893098782138111E-2</v>
      </c>
      <c r="V717" s="5">
        <f>U717-V1274</f>
        <v>5.9156908006431072E-2</v>
      </c>
      <c r="X717" t="s">
        <v>718</v>
      </c>
      <c r="Y717">
        <v>2.02</v>
      </c>
      <c r="Z717" s="48">
        <f t="shared" si="74"/>
        <v>7.4468085106383031E-2</v>
      </c>
      <c r="AA717" s="5">
        <f>Z717-Y1274</f>
        <v>7.02507656371089E-2</v>
      </c>
      <c r="AD717" s="1">
        <v>44655</v>
      </c>
      <c r="AE717">
        <v>127.21</v>
      </c>
      <c r="AF717" s="29">
        <f t="shared" si="75"/>
        <v>7.6226734348561642E-2</v>
      </c>
    </row>
    <row r="718" spans="1:32">
      <c r="A718" s="3" t="s">
        <v>724</v>
      </c>
      <c r="B718" s="222">
        <v>37.19</v>
      </c>
      <c r="C718" s="227">
        <f t="shared" si="70"/>
        <v>1.6675779114269984E-2</v>
      </c>
      <c r="D718" s="5">
        <f>C718-C1275</f>
        <v>1.6597733544711096E-2</v>
      </c>
      <c r="F718" s="8"/>
      <c r="H718" t="s">
        <v>723</v>
      </c>
      <c r="I718">
        <v>38.65</v>
      </c>
      <c r="J718" s="227">
        <f t="shared" si="71"/>
        <v>6.5104166666667407E-3</v>
      </c>
      <c r="K718" s="5">
        <f>J718-J1276</f>
        <v>4.3744607510567829E-3</v>
      </c>
      <c r="M718" s="241">
        <v>44565</v>
      </c>
      <c r="N718">
        <v>4545.8599999999997</v>
      </c>
      <c r="O718" s="227">
        <f t="shared" si="72"/>
        <v>-8.025941378768664E-3</v>
      </c>
      <c r="P718" s="5">
        <f>O718-O1278</f>
        <v>-7.6601841778554921E-3</v>
      </c>
      <c r="Q718" s="8">
        <f t="shared" si="76"/>
        <v>5.8678421638667621E-5</v>
      </c>
      <c r="S718" s="1">
        <v>44565</v>
      </c>
      <c r="T718">
        <v>3.47</v>
      </c>
      <c r="U718" s="29">
        <f t="shared" si="73"/>
        <v>-0.11479591836734693</v>
      </c>
      <c r="V718" s="5">
        <f>U718-V1274</f>
        <v>-0.11653210914305397</v>
      </c>
      <c r="X718" t="s">
        <v>719</v>
      </c>
      <c r="Y718">
        <v>2.0099999999999998</v>
      </c>
      <c r="Z718" s="48">
        <f t="shared" si="74"/>
        <v>-4.9504950495050659E-3</v>
      </c>
      <c r="AA718" s="5">
        <f>Z718-Y1274</f>
        <v>-9.1678145187792E-3</v>
      </c>
      <c r="AD718" s="1">
        <v>44565</v>
      </c>
      <c r="AE718">
        <v>120.9</v>
      </c>
      <c r="AF718" s="29">
        <f t="shared" si="75"/>
        <v>-4.9603018630610674E-2</v>
      </c>
    </row>
    <row r="719" spans="1:32">
      <c r="A719" s="3" t="s">
        <v>725</v>
      </c>
      <c r="B719" s="222">
        <v>34.770000000000003</v>
      </c>
      <c r="C719" s="227">
        <f t="shared" si="70"/>
        <v>-6.5071255713901488E-2</v>
      </c>
      <c r="D719" s="5">
        <f>C719-C1275</f>
        <v>-6.5149301283460373E-2</v>
      </c>
      <c r="E719" s="1"/>
      <c r="F719" s="8"/>
      <c r="H719" t="s">
        <v>724</v>
      </c>
      <c r="I719">
        <v>40.159999999999997</v>
      </c>
      <c r="J719" s="227">
        <f t="shared" si="71"/>
        <v>3.9068564036222497E-2</v>
      </c>
      <c r="K719" s="5">
        <f>J719-J1276</f>
        <v>3.693260812061254E-2</v>
      </c>
      <c r="M719" s="240" t="s">
        <v>722</v>
      </c>
      <c r="N719">
        <v>4530.41</v>
      </c>
      <c r="O719" s="227">
        <f t="shared" si="72"/>
        <v>-3.3986968362421655E-3</v>
      </c>
      <c r="P719" s="5">
        <f>O719-O1278</f>
        <v>-3.032939635328994E-3</v>
      </c>
      <c r="Q719" s="8">
        <f t="shared" si="76"/>
        <v>9.1987228315495703E-6</v>
      </c>
      <c r="S719" t="s">
        <v>722</v>
      </c>
      <c r="T719">
        <v>3.5</v>
      </c>
      <c r="U719" s="29">
        <f t="shared" si="73"/>
        <v>8.6455331412103043E-3</v>
      </c>
      <c r="V719" s="5">
        <f>U719-V1274</f>
        <v>6.9093423655032663E-3</v>
      </c>
      <c r="X719" t="s">
        <v>720</v>
      </c>
      <c r="Y719">
        <v>2.46</v>
      </c>
      <c r="Z719" s="48">
        <f t="shared" si="74"/>
        <v>0.22388059701492558</v>
      </c>
      <c r="AA719" s="5">
        <f>Z719-Y1274</f>
        <v>0.21966327754565143</v>
      </c>
      <c r="AD719" t="s">
        <v>722</v>
      </c>
      <c r="AE719">
        <v>117.19</v>
      </c>
      <c r="AF719" s="29">
        <f t="shared" si="75"/>
        <v>-3.0686517783292011E-2</v>
      </c>
    </row>
    <row r="720" spans="1:32">
      <c r="A720" s="3" t="s">
        <v>726</v>
      </c>
      <c r="B720" s="222">
        <v>34.06</v>
      </c>
      <c r="C720" s="227">
        <f t="shared" si="70"/>
        <v>-2.041990221455281E-2</v>
      </c>
      <c r="D720" s="5">
        <f>C720-C1275</f>
        <v>-2.0497947784111698E-2</v>
      </c>
      <c r="E720" s="1"/>
      <c r="F720" s="8"/>
      <c r="H720" t="s">
        <v>725</v>
      </c>
      <c r="I720">
        <v>37.590000000000003</v>
      </c>
      <c r="J720" s="227">
        <f t="shared" si="71"/>
        <v>-6.3994023904382358E-2</v>
      </c>
      <c r="K720" s="5">
        <f>J720-J1276</f>
        <v>-6.6129979819992316E-2</v>
      </c>
      <c r="M720" s="240" t="s">
        <v>723</v>
      </c>
      <c r="N720">
        <v>4602.45</v>
      </c>
      <c r="O720" s="227">
        <f t="shared" si="72"/>
        <v>1.5901430554850382E-2</v>
      </c>
      <c r="P720" s="5">
        <f>O720-O1278</f>
        <v>1.6267187755763555E-2</v>
      </c>
      <c r="Q720" s="8">
        <f t="shared" si="76"/>
        <v>2.6462139748126371E-4</v>
      </c>
      <c r="S720" t="s">
        <v>723</v>
      </c>
      <c r="T720">
        <v>3.55</v>
      </c>
      <c r="U720" s="29">
        <f t="shared" si="73"/>
        <v>1.4285714285714235E-2</v>
      </c>
      <c r="V720" s="5">
        <f>U720-V1274</f>
        <v>1.2549523510007196E-2</v>
      </c>
      <c r="X720" t="s">
        <v>721</v>
      </c>
      <c r="Y720">
        <v>2.54</v>
      </c>
      <c r="Z720" s="48">
        <f t="shared" si="74"/>
        <v>3.2520325203251987E-2</v>
      </c>
      <c r="AA720" s="5">
        <f>Z720-Y1274</f>
        <v>2.8303005733977853E-2</v>
      </c>
      <c r="AD720" t="s">
        <v>723</v>
      </c>
      <c r="AE720">
        <v>118.23</v>
      </c>
      <c r="AF720" s="29">
        <f t="shared" si="75"/>
        <v>8.8744773444833225E-3</v>
      </c>
    </row>
    <row r="721" spans="1:32">
      <c r="A721" s="3" t="s">
        <v>727</v>
      </c>
      <c r="B721" s="222">
        <v>34.700000000000003</v>
      </c>
      <c r="C721" s="227">
        <f t="shared" si="70"/>
        <v>1.8790369935408169E-2</v>
      </c>
      <c r="D721" s="5">
        <f>C721-C1275</f>
        <v>1.871232436584928E-2</v>
      </c>
      <c r="E721" s="1"/>
      <c r="F721" s="8"/>
      <c r="H721" t="s">
        <v>726</v>
      </c>
      <c r="I721">
        <v>37.51</v>
      </c>
      <c r="J721" s="227">
        <f t="shared" si="71"/>
        <v>-2.1282255919128357E-3</v>
      </c>
      <c r="K721" s="5">
        <f>J721-J1276</f>
        <v>-4.2641815075227935E-3</v>
      </c>
      <c r="M721" s="240" t="s">
        <v>724</v>
      </c>
      <c r="N721">
        <v>4631.6000000000004</v>
      </c>
      <c r="O721" s="227">
        <f t="shared" si="72"/>
        <v>6.3335832002522352E-3</v>
      </c>
      <c r="P721" s="5">
        <f>O721-O1278</f>
        <v>6.6993404011654071E-3</v>
      </c>
      <c r="Q721" s="8">
        <f t="shared" si="76"/>
        <v>4.4881161810687075E-5</v>
      </c>
      <c r="S721" t="s">
        <v>724</v>
      </c>
      <c r="T721">
        <v>3.91</v>
      </c>
      <c r="U721" s="29">
        <f t="shared" si="73"/>
        <v>0.10140845070422544</v>
      </c>
      <c r="V721" s="5">
        <f>U721-V1274</f>
        <v>9.96722599285184E-2</v>
      </c>
      <c r="X721" s="1">
        <v>44899</v>
      </c>
      <c r="Y721">
        <v>2.46</v>
      </c>
      <c r="Z721" s="48">
        <f t="shared" si="74"/>
        <v>-3.1496062992126039E-2</v>
      </c>
      <c r="AA721" s="5">
        <f>Z721-Y1274</f>
        <v>-3.571338246140017E-2</v>
      </c>
      <c r="AD721" t="s">
        <v>724</v>
      </c>
      <c r="AE721">
        <v>123.55</v>
      </c>
      <c r="AF721" s="29">
        <f t="shared" si="75"/>
        <v>4.4997039668442707E-2</v>
      </c>
    </row>
    <row r="722" spans="1:32">
      <c r="A722" s="3" t="s">
        <v>728</v>
      </c>
      <c r="B722" s="222">
        <v>33.06</v>
      </c>
      <c r="C722" s="227">
        <f t="shared" ref="C722:C785" si="77">B722/B721-1</f>
        <v>-4.7262247838616767E-2</v>
      </c>
      <c r="D722" s="5">
        <f>C722-C1275</f>
        <v>-4.7340293408175659E-2</v>
      </c>
      <c r="E722" s="1"/>
      <c r="F722" s="8"/>
      <c r="H722" t="s">
        <v>727</v>
      </c>
      <c r="I722">
        <v>38.979999999999997</v>
      </c>
      <c r="J722" s="227">
        <f t="shared" si="71"/>
        <v>3.9189549453479078E-2</v>
      </c>
      <c r="K722" s="5">
        <f>J722-J1276</f>
        <v>3.705359353786912E-2</v>
      </c>
      <c r="M722" s="240" t="s">
        <v>725</v>
      </c>
      <c r="N722">
        <v>4575.5200000000004</v>
      </c>
      <c r="O722" s="227">
        <f t="shared" si="72"/>
        <v>-1.2108126781241846E-2</v>
      </c>
      <c r="P722" s="5">
        <f>O722-O1278</f>
        <v>-1.1742369580328675E-2</v>
      </c>
      <c r="Q722" s="8">
        <f t="shared" si="76"/>
        <v>1.3788324336102821E-4</v>
      </c>
      <c r="S722" t="s">
        <v>725</v>
      </c>
      <c r="T722">
        <v>3.44</v>
      </c>
      <c r="U722" s="29">
        <f t="shared" si="73"/>
        <v>-0.12020460358056273</v>
      </c>
      <c r="V722" s="5">
        <f>U722-V1274</f>
        <v>-0.12194079435626977</v>
      </c>
      <c r="X722" s="1">
        <v>44869</v>
      </c>
      <c r="Y722">
        <v>2.5499999999999998</v>
      </c>
      <c r="Z722" s="48">
        <f t="shared" si="74"/>
        <v>3.6585365853658569E-2</v>
      </c>
      <c r="AA722" s="5">
        <f>Z722-Y1274</f>
        <v>3.2368046384384438E-2</v>
      </c>
      <c r="AD722" t="s">
        <v>725</v>
      </c>
      <c r="AE722">
        <v>114.43</v>
      </c>
      <c r="AF722" s="29">
        <f t="shared" si="75"/>
        <v>-7.3816268717118549E-2</v>
      </c>
    </row>
    <row r="723" spans="1:32">
      <c r="A723" s="3" t="s">
        <v>729</v>
      </c>
      <c r="B723" s="222">
        <v>33.35</v>
      </c>
      <c r="C723" s="227">
        <f t="shared" si="77"/>
        <v>8.7719298245614308E-3</v>
      </c>
      <c r="D723" s="5">
        <f>C723-C1275</f>
        <v>8.6938842550025423E-3</v>
      </c>
      <c r="E723" s="1"/>
      <c r="F723" s="8"/>
      <c r="H723" t="s">
        <v>728</v>
      </c>
      <c r="I723">
        <v>38.43</v>
      </c>
      <c r="J723" s="227">
        <f t="shared" si="71"/>
        <v>-1.4109799897383146E-2</v>
      </c>
      <c r="K723" s="5">
        <f>J723-J1276</f>
        <v>-1.6245755812993104E-2</v>
      </c>
      <c r="M723" s="240" t="s">
        <v>726</v>
      </c>
      <c r="N723">
        <v>4543.0600000000004</v>
      </c>
      <c r="O723" s="227">
        <f t="shared" si="72"/>
        <v>-7.0942756233171034E-3</v>
      </c>
      <c r="P723" s="5">
        <f>O723-O1278</f>
        <v>-6.7285184224039314E-3</v>
      </c>
      <c r="Q723" s="8">
        <f t="shared" si="76"/>
        <v>4.5272960160629088E-5</v>
      </c>
      <c r="S723" t="s">
        <v>726</v>
      </c>
      <c r="T723">
        <v>3.3</v>
      </c>
      <c r="U723" s="29">
        <f t="shared" si="73"/>
        <v>-4.0697674418604723E-2</v>
      </c>
      <c r="V723" s="5">
        <f>U723-V1274</f>
        <v>-4.2433865194311762E-2</v>
      </c>
      <c r="X723" s="1">
        <v>44777</v>
      </c>
      <c r="Y723">
        <v>2.52</v>
      </c>
      <c r="Z723" s="48">
        <f t="shared" si="74"/>
        <v>-1.1764705882352899E-2</v>
      </c>
      <c r="AA723" s="5">
        <f>Z723-Y1274</f>
        <v>-1.5982025351627033E-2</v>
      </c>
      <c r="AD723" t="s">
        <v>726</v>
      </c>
      <c r="AE723">
        <v>105.29</v>
      </c>
      <c r="AF723" s="29">
        <f t="shared" si="75"/>
        <v>-7.9874158874421064E-2</v>
      </c>
    </row>
    <row r="724" spans="1:32">
      <c r="A724" s="3" t="s">
        <v>730</v>
      </c>
      <c r="B724" s="222">
        <v>31.98</v>
      </c>
      <c r="C724" s="227">
        <f t="shared" si="77"/>
        <v>-4.1079460269865087E-2</v>
      </c>
      <c r="D724" s="5">
        <f>C724-C1275</f>
        <v>-4.1157505839423979E-2</v>
      </c>
      <c r="E724" s="1"/>
      <c r="F724" s="8"/>
      <c r="H724" t="s">
        <v>729</v>
      </c>
      <c r="I724">
        <v>38.25</v>
      </c>
      <c r="J724" s="227">
        <f t="shared" ref="J724:J787" si="78">I724/I723-1</f>
        <v>-4.6838407494145251E-3</v>
      </c>
      <c r="K724" s="5">
        <f>J724-J1276</f>
        <v>-6.8197966650244829E-3</v>
      </c>
      <c r="M724" s="240" t="s">
        <v>727</v>
      </c>
      <c r="N724">
        <v>4520.16</v>
      </c>
      <c r="O724" s="227">
        <f t="shared" si="72"/>
        <v>-5.0406554172739426E-3</v>
      </c>
      <c r="P724" s="5">
        <f>O724-O1278</f>
        <v>-4.6748982163607707E-3</v>
      </c>
      <c r="Q724" s="8">
        <f t="shared" si="76"/>
        <v>2.1854673333333115E-5</v>
      </c>
      <c r="S724" t="s">
        <v>727</v>
      </c>
      <c r="T724">
        <v>3.63</v>
      </c>
      <c r="U724" s="29">
        <f t="shared" si="73"/>
        <v>0.10000000000000009</v>
      </c>
      <c r="V724" s="5">
        <f>U724-V1274</f>
        <v>9.826380922429305E-2</v>
      </c>
      <c r="X724" s="1">
        <v>44746</v>
      </c>
      <c r="Y724">
        <v>2.58</v>
      </c>
      <c r="Z724" s="48">
        <f t="shared" si="74"/>
        <v>2.3809523809523725E-2</v>
      </c>
      <c r="AA724" s="5">
        <f>Z724-Y1274</f>
        <v>1.9592204340249591E-2</v>
      </c>
      <c r="AD724" t="s">
        <v>727</v>
      </c>
      <c r="AE724">
        <v>114.88</v>
      </c>
      <c r="AF724" s="29">
        <f t="shared" si="75"/>
        <v>9.108177414759222E-2</v>
      </c>
    </row>
    <row r="725" spans="1:32">
      <c r="A725" s="3" t="s">
        <v>731</v>
      </c>
      <c r="B725" s="222">
        <v>33.36</v>
      </c>
      <c r="C725" s="227">
        <f t="shared" si="77"/>
        <v>4.3151969981238159E-2</v>
      </c>
      <c r="D725" s="5">
        <f>C725-C1275</f>
        <v>4.3073924411679267E-2</v>
      </c>
      <c r="E725" s="1"/>
      <c r="F725" s="8"/>
      <c r="H725" t="s">
        <v>730</v>
      </c>
      <c r="I725">
        <v>36.85</v>
      </c>
      <c r="J725" s="227">
        <f t="shared" si="78"/>
        <v>-3.6601307189542465E-2</v>
      </c>
      <c r="K725" s="5">
        <f>J725-J1276</f>
        <v>-3.8737263105152422E-2</v>
      </c>
      <c r="M725" s="240" t="s">
        <v>728</v>
      </c>
      <c r="N725">
        <v>4456.24</v>
      </c>
      <c r="O725" s="227">
        <f t="shared" si="72"/>
        <v>-1.4141092350713258E-2</v>
      </c>
      <c r="P725" s="5">
        <f>O725-O1278</f>
        <v>-1.3775335149800087E-2</v>
      </c>
      <c r="Q725" s="8">
        <f t="shared" si="76"/>
        <v>1.8975985848931779E-4</v>
      </c>
      <c r="S725" t="s">
        <v>728</v>
      </c>
      <c r="T725">
        <v>3.71</v>
      </c>
      <c r="U725" s="29">
        <f t="shared" si="73"/>
        <v>2.2038567493112948E-2</v>
      </c>
      <c r="V725" s="5">
        <f>U725-V1274</f>
        <v>2.0302376717405909E-2</v>
      </c>
      <c r="X725" s="1">
        <v>44716</v>
      </c>
      <c r="Y725">
        <v>2.6</v>
      </c>
      <c r="Z725" s="48">
        <f t="shared" si="74"/>
        <v>7.7519379844961378E-3</v>
      </c>
      <c r="AA725" s="5">
        <f>Z725-Y1274</f>
        <v>3.5346185152220037E-3</v>
      </c>
      <c r="AD725" t="s">
        <v>728</v>
      </c>
      <c r="AE725">
        <v>114.34</v>
      </c>
      <c r="AF725" s="29">
        <f t="shared" si="75"/>
        <v>-4.7005571030640514E-3</v>
      </c>
    </row>
    <row r="726" spans="1:32">
      <c r="A726" s="3" t="s">
        <v>732</v>
      </c>
      <c r="B726" s="222">
        <v>32.85</v>
      </c>
      <c r="C726" s="227">
        <f t="shared" si="77"/>
        <v>-1.5287769784172567E-2</v>
      </c>
      <c r="D726" s="5">
        <f>C726-C1275</f>
        <v>-1.5365815353731455E-2</v>
      </c>
      <c r="E726" s="1"/>
      <c r="F726" s="8"/>
      <c r="H726" t="s">
        <v>731</v>
      </c>
      <c r="I726">
        <v>38.619999999999997</v>
      </c>
      <c r="J726" s="227">
        <f t="shared" si="78"/>
        <v>4.8032564450474879E-2</v>
      </c>
      <c r="K726" s="5">
        <f>J726-J1276</f>
        <v>4.5896608534864922E-2</v>
      </c>
      <c r="M726" s="240" t="s">
        <v>729</v>
      </c>
      <c r="N726">
        <v>4511.6099999999997</v>
      </c>
      <c r="O726" s="227">
        <f t="shared" ref="O726:O789" si="79">N726/N725-1</f>
        <v>1.242527332459642E-2</v>
      </c>
      <c r="P726" s="5">
        <f>O726-O1278</f>
        <v>1.2791030525509591E-2</v>
      </c>
      <c r="Q726" s="8">
        <f t="shared" si="76"/>
        <v>1.6361046190451815E-4</v>
      </c>
      <c r="S726" t="s">
        <v>729</v>
      </c>
      <c r="T726">
        <v>3.75</v>
      </c>
      <c r="U726" s="29">
        <f t="shared" ref="U726:U789" si="80">T726/T725-1</f>
        <v>1.0781671159029615E-2</v>
      </c>
      <c r="V726" s="5">
        <f>U726-V1274</f>
        <v>9.0454803833225766E-3</v>
      </c>
      <c r="X726" s="1">
        <v>44685</v>
      </c>
      <c r="Y726">
        <v>2.65</v>
      </c>
      <c r="Z726" s="48">
        <f t="shared" ref="Z726:Z789" si="81">Y726/Y725-1</f>
        <v>1.9230769230769162E-2</v>
      </c>
      <c r="AA726" s="5">
        <f>Z726-Y1274</f>
        <v>1.5013449761495028E-2</v>
      </c>
      <c r="AD726" t="s">
        <v>729</v>
      </c>
      <c r="AE726">
        <v>111.25</v>
      </c>
      <c r="AF726" s="29">
        <f t="shared" ref="AF726:AF789" si="82">AE726/AE725-1</f>
        <v>-2.7024663284939687E-2</v>
      </c>
    </row>
    <row r="727" spans="1:32">
      <c r="A727" s="3" t="s">
        <v>733</v>
      </c>
      <c r="B727" s="222">
        <v>32.61</v>
      </c>
      <c r="C727" s="227">
        <f t="shared" si="77"/>
        <v>-7.3059360730594047E-3</v>
      </c>
      <c r="D727" s="5">
        <f>C727-C1275</f>
        <v>-7.383981642618294E-3</v>
      </c>
      <c r="E727" s="1"/>
      <c r="F727" s="8"/>
      <c r="H727" t="s">
        <v>732</v>
      </c>
      <c r="I727">
        <v>37.79</v>
      </c>
      <c r="J727" s="227">
        <f t="shared" si="78"/>
        <v>-2.1491455204557197E-2</v>
      </c>
      <c r="K727" s="5">
        <f>J727-J1276</f>
        <v>-2.3627411120167155E-2</v>
      </c>
      <c r="M727" s="240" t="s">
        <v>730</v>
      </c>
      <c r="N727">
        <v>4461.18</v>
      </c>
      <c r="O727" s="227">
        <f t="shared" si="79"/>
        <v>-1.1177827870759938E-2</v>
      </c>
      <c r="P727" s="5">
        <f>O727-O1278</f>
        <v>-1.0812070669846767E-2</v>
      </c>
      <c r="Q727" s="8">
        <f t="shared" ref="Q727:Q790" si="83">P727*P727</f>
        <v>1.1690087216976071E-4</v>
      </c>
      <c r="S727" t="s">
        <v>730</v>
      </c>
      <c r="T727">
        <v>3.87</v>
      </c>
      <c r="U727" s="29">
        <f t="shared" si="80"/>
        <v>3.2000000000000028E-2</v>
      </c>
      <c r="V727" s="5">
        <f>U727-V1274</f>
        <v>3.026380922429299E-2</v>
      </c>
      <c r="X727" s="1">
        <v>44655</v>
      </c>
      <c r="Y727">
        <v>3</v>
      </c>
      <c r="Z727" s="48">
        <f t="shared" si="81"/>
        <v>0.13207547169811318</v>
      </c>
      <c r="AA727" s="5">
        <f>Z727-Y1274</f>
        <v>0.12785815222883903</v>
      </c>
      <c r="AD727" t="s">
        <v>730</v>
      </c>
      <c r="AE727">
        <v>107.1</v>
      </c>
      <c r="AF727" s="29">
        <f t="shared" si="82"/>
        <v>-3.730337078651691E-2</v>
      </c>
    </row>
    <row r="728" spans="1:32">
      <c r="A728" s="3" t="s">
        <v>734</v>
      </c>
      <c r="B728" s="222">
        <v>29.8</v>
      </c>
      <c r="C728" s="227">
        <f t="shared" si="77"/>
        <v>-8.6169886537871832E-2</v>
      </c>
      <c r="D728" s="5">
        <f>C728-C1275</f>
        <v>-8.6247932107430716E-2</v>
      </c>
      <c r="F728" s="8"/>
      <c r="H728" t="s">
        <v>733</v>
      </c>
      <c r="I728">
        <v>37.86</v>
      </c>
      <c r="J728" s="227">
        <f t="shared" si="78"/>
        <v>1.8523418893887644E-3</v>
      </c>
      <c r="K728" s="5">
        <f>J728-J1276</f>
        <v>-2.8361402622119336E-4</v>
      </c>
      <c r="M728" s="240" t="s">
        <v>731</v>
      </c>
      <c r="N728">
        <v>4463.12</v>
      </c>
      <c r="O728" s="227">
        <f t="shared" si="79"/>
        <v>4.3486252516133916E-4</v>
      </c>
      <c r="P728" s="5">
        <f>O728-O1278</f>
        <v>8.0061972607451065E-4</v>
      </c>
      <c r="Q728" s="8">
        <f t="shared" si="83"/>
        <v>6.4099194577962446E-7</v>
      </c>
      <c r="S728" t="s">
        <v>731</v>
      </c>
      <c r="T728">
        <v>4.0999999999999996</v>
      </c>
      <c r="U728" s="29">
        <f t="shared" si="80"/>
        <v>5.9431524547803427E-2</v>
      </c>
      <c r="V728" s="5">
        <f>U728-V1274</f>
        <v>5.7695333772096388E-2</v>
      </c>
      <c r="X728" s="1">
        <v>44565</v>
      </c>
      <c r="Y728">
        <v>2.82</v>
      </c>
      <c r="Z728" s="48">
        <f t="shared" si="81"/>
        <v>-6.0000000000000053E-2</v>
      </c>
      <c r="AA728" s="5">
        <f>Z728-Y1274</f>
        <v>-6.4217319469274184E-2</v>
      </c>
      <c r="AD728" t="s">
        <v>731</v>
      </c>
      <c r="AE728">
        <v>107.29</v>
      </c>
      <c r="AF728" s="29">
        <f t="shared" si="82"/>
        <v>1.7740429505137545E-3</v>
      </c>
    </row>
    <row r="729" spans="1:32">
      <c r="A729" s="3" t="s">
        <v>735</v>
      </c>
      <c r="B729" s="222">
        <v>29.27</v>
      </c>
      <c r="C729" s="227">
        <f t="shared" si="77"/>
        <v>-1.7785234899328928E-2</v>
      </c>
      <c r="D729" s="5">
        <f>C729-C1275</f>
        <v>-1.7863280468887816E-2</v>
      </c>
      <c r="F729" s="8"/>
      <c r="H729" t="s">
        <v>734</v>
      </c>
      <c r="I729">
        <v>35.74</v>
      </c>
      <c r="J729" s="227">
        <f t="shared" si="78"/>
        <v>-5.5995773903856239E-2</v>
      </c>
      <c r="K729" s="5">
        <f>J729-J1276</f>
        <v>-5.8131729819466196E-2</v>
      </c>
      <c r="M729" s="240" t="s">
        <v>732</v>
      </c>
      <c r="N729">
        <v>4411.67</v>
      </c>
      <c r="O729" s="227">
        <f t="shared" si="79"/>
        <v>-1.1527810141784167E-2</v>
      </c>
      <c r="P729" s="5">
        <f>O729-O1278</f>
        <v>-1.1162052940870996E-2</v>
      </c>
      <c r="Q729" s="8">
        <f t="shared" si="83"/>
        <v>1.2459142585480686E-4</v>
      </c>
      <c r="S729" t="s">
        <v>732</v>
      </c>
      <c r="T729">
        <v>3.78</v>
      </c>
      <c r="U729" s="29">
        <f t="shared" si="80"/>
        <v>-7.8048780487804836E-2</v>
      </c>
      <c r="V729" s="5">
        <f>U729-V1274</f>
        <v>-7.9784971263511875E-2</v>
      </c>
      <c r="X729" t="s">
        <v>722</v>
      </c>
      <c r="Y729">
        <v>2.5</v>
      </c>
      <c r="Z729" s="48">
        <f t="shared" si="81"/>
        <v>-0.11347517730496448</v>
      </c>
      <c r="AA729" s="5">
        <f>Z729-Y1274</f>
        <v>-0.11769249677423861</v>
      </c>
      <c r="AD729" t="s">
        <v>732</v>
      </c>
      <c r="AE729">
        <v>96.09</v>
      </c>
      <c r="AF729" s="29">
        <f t="shared" si="82"/>
        <v>-0.10438997110634729</v>
      </c>
    </row>
    <row r="730" spans="1:32">
      <c r="A730" s="220">
        <v>44868</v>
      </c>
      <c r="B730" s="222">
        <v>30.76</v>
      </c>
      <c r="C730" s="227">
        <f t="shared" si="77"/>
        <v>5.0905363853775309E-2</v>
      </c>
      <c r="D730" s="5">
        <f>C730-C1275</f>
        <v>5.0827318284216418E-2</v>
      </c>
      <c r="F730" s="8"/>
      <c r="H730" t="s">
        <v>735</v>
      </c>
      <c r="I730">
        <v>35.39</v>
      </c>
      <c r="J730" s="227">
        <f t="shared" si="78"/>
        <v>-9.7929490766648364E-3</v>
      </c>
      <c r="K730" s="5">
        <f>J730-J1276</f>
        <v>-1.1928904992274794E-2</v>
      </c>
      <c r="M730" s="240" t="s">
        <v>733</v>
      </c>
      <c r="N730">
        <v>4357.8599999999997</v>
      </c>
      <c r="O730" s="227">
        <f t="shared" si="79"/>
        <v>-1.2197195166456343E-2</v>
      </c>
      <c r="P730" s="5">
        <f>O730-O1278</f>
        <v>-1.1831437965543172E-2</v>
      </c>
      <c r="Q730" s="8">
        <f t="shared" si="83"/>
        <v>1.3998292433249634E-4</v>
      </c>
      <c r="S730" t="s">
        <v>733</v>
      </c>
      <c r="T730">
        <v>3.53</v>
      </c>
      <c r="U730" s="29">
        <f t="shared" si="80"/>
        <v>-6.6137566137566162E-2</v>
      </c>
      <c r="V730" s="5">
        <f>U730-V1274</f>
        <v>-6.78737569132732E-2</v>
      </c>
      <c r="X730" t="s">
        <v>723</v>
      </c>
      <c r="Y730">
        <v>2.94</v>
      </c>
      <c r="Z730" s="48">
        <f t="shared" si="81"/>
        <v>0.17599999999999993</v>
      </c>
      <c r="AA730" s="5">
        <f>Z730-Y1274</f>
        <v>0.17178268053072579</v>
      </c>
      <c r="AD730" t="s">
        <v>733</v>
      </c>
      <c r="AE730">
        <v>90.5</v>
      </c>
      <c r="AF730" s="29">
        <f t="shared" si="82"/>
        <v>-5.81746279529608E-2</v>
      </c>
    </row>
    <row r="731" spans="1:32">
      <c r="A731" s="220">
        <v>44837</v>
      </c>
      <c r="B731" s="222">
        <v>30.41</v>
      </c>
      <c r="C731" s="227">
        <f t="shared" si="77"/>
        <v>-1.1378413524057218E-2</v>
      </c>
      <c r="D731" s="5">
        <f>C731-C1275</f>
        <v>-1.1456459093616107E-2</v>
      </c>
      <c r="F731" s="8"/>
      <c r="H731" s="1">
        <v>44868</v>
      </c>
      <c r="I731">
        <v>37.25</v>
      </c>
      <c r="J731" s="227">
        <f t="shared" si="78"/>
        <v>5.2557219553546197E-2</v>
      </c>
      <c r="K731" s="5">
        <f>J731-J1276</f>
        <v>5.0421263637936239E-2</v>
      </c>
      <c r="M731" s="240" t="s">
        <v>734</v>
      </c>
      <c r="N731">
        <v>4262.45</v>
      </c>
      <c r="O731" s="227">
        <f t="shared" si="79"/>
        <v>-2.1893773549402695E-2</v>
      </c>
      <c r="P731" s="5">
        <f>O731-O1278</f>
        <v>-2.1528016348489522E-2</v>
      </c>
      <c r="Q731" s="8">
        <f t="shared" si="83"/>
        <v>4.6345548790083214E-4</v>
      </c>
      <c r="S731" t="s">
        <v>734</v>
      </c>
      <c r="T731">
        <v>3.03</v>
      </c>
      <c r="U731" s="29">
        <f t="shared" si="80"/>
        <v>-0.14164305949008504</v>
      </c>
      <c r="V731" s="5">
        <f>U731-V1274</f>
        <v>-0.14337925026579207</v>
      </c>
      <c r="X731" t="s">
        <v>724</v>
      </c>
      <c r="Y731">
        <v>3.06</v>
      </c>
      <c r="Z731" s="48">
        <f t="shared" si="81"/>
        <v>4.081632653061229E-2</v>
      </c>
      <c r="AA731" s="5">
        <f>Z731-Y1274</f>
        <v>3.659900706133816E-2</v>
      </c>
      <c r="AD731" t="s">
        <v>734</v>
      </c>
      <c r="AE731">
        <v>79.77</v>
      </c>
      <c r="AF731" s="29">
        <f t="shared" si="82"/>
        <v>-0.11856353591160229</v>
      </c>
    </row>
    <row r="732" spans="1:32">
      <c r="A732" s="220">
        <v>44807</v>
      </c>
      <c r="B732" s="222">
        <v>31.5</v>
      </c>
      <c r="C732" s="227">
        <f t="shared" si="77"/>
        <v>3.5843472541926991E-2</v>
      </c>
      <c r="D732" s="5">
        <f>C732-C1275</f>
        <v>3.5765426972368099E-2</v>
      </c>
      <c r="F732" s="8"/>
      <c r="H732" s="1">
        <v>44837</v>
      </c>
      <c r="I732">
        <v>37.630000000000003</v>
      </c>
      <c r="J732" s="227">
        <f t="shared" si="78"/>
        <v>1.0201342281879189E-2</v>
      </c>
      <c r="K732" s="5">
        <f>J732-J1276</f>
        <v>8.065386366269231E-3</v>
      </c>
      <c r="M732" s="240" t="s">
        <v>735</v>
      </c>
      <c r="N732">
        <v>4173.1099999999997</v>
      </c>
      <c r="O732" s="227">
        <f t="shared" si="79"/>
        <v>-2.0959776654271622E-2</v>
      </c>
      <c r="P732" s="5">
        <f>O732-O1278</f>
        <v>-2.059401945335845E-2</v>
      </c>
      <c r="Q732" s="8">
        <f t="shared" si="83"/>
        <v>4.2411363724530627E-4</v>
      </c>
      <c r="S732" t="s">
        <v>735</v>
      </c>
      <c r="T732">
        <v>3.02</v>
      </c>
      <c r="U732" s="29">
        <f t="shared" si="80"/>
        <v>-3.3003300330032292E-3</v>
      </c>
      <c r="V732" s="5">
        <f>U732-V1274</f>
        <v>-5.0365208087102672E-3</v>
      </c>
      <c r="X732" t="s">
        <v>725</v>
      </c>
      <c r="Y732">
        <v>3.02</v>
      </c>
      <c r="Z732" s="48">
        <f t="shared" si="81"/>
        <v>-1.3071895424836666E-2</v>
      </c>
      <c r="AA732" s="5">
        <f>Z732-Y1274</f>
        <v>-1.72892148941108E-2</v>
      </c>
      <c r="AD732" t="s">
        <v>735</v>
      </c>
      <c r="AE732">
        <v>76.06</v>
      </c>
      <c r="AF732" s="29">
        <f t="shared" si="82"/>
        <v>-4.6508712548577136E-2</v>
      </c>
    </row>
    <row r="733" spans="1:32">
      <c r="A733" s="220">
        <v>44776</v>
      </c>
      <c r="B733" s="222">
        <v>30.74</v>
      </c>
      <c r="C733" s="227">
        <f t="shared" si="77"/>
        <v>-2.4126984126984219E-2</v>
      </c>
      <c r="D733" s="5">
        <f>C733-C1275</f>
        <v>-2.4205029696543107E-2</v>
      </c>
      <c r="F733" s="8"/>
      <c r="H733" s="1">
        <v>44807</v>
      </c>
      <c r="I733">
        <v>37.799999999999997</v>
      </c>
      <c r="J733" s="227">
        <f t="shared" si="78"/>
        <v>4.5176720701567419E-3</v>
      </c>
      <c r="K733" s="5">
        <f>J733-J1276</f>
        <v>2.3817161545467841E-3</v>
      </c>
      <c r="M733" s="241">
        <v>44868</v>
      </c>
      <c r="N733">
        <v>4204.3100000000004</v>
      </c>
      <c r="O733" s="227">
        <f t="shared" si="79"/>
        <v>7.4764384356034164E-3</v>
      </c>
      <c r="P733" s="5">
        <f>O733-O1278</f>
        <v>7.8421956365165874E-3</v>
      </c>
      <c r="Q733" s="8">
        <f t="shared" si="83"/>
        <v>6.1500032401399805E-5</v>
      </c>
      <c r="S733" s="1">
        <v>44868</v>
      </c>
      <c r="T733">
        <v>3.14</v>
      </c>
      <c r="U733" s="29">
        <f t="shared" si="80"/>
        <v>3.9735099337748325E-2</v>
      </c>
      <c r="V733" s="5">
        <f>U733-V1274</f>
        <v>3.7998908562041286E-2</v>
      </c>
      <c r="X733" t="s">
        <v>726</v>
      </c>
      <c r="Y733">
        <v>3.27</v>
      </c>
      <c r="Z733" s="48">
        <f t="shared" si="81"/>
        <v>8.2781456953642474E-2</v>
      </c>
      <c r="AA733" s="5">
        <f>Z733-Y1274</f>
        <v>7.8564137484368343E-2</v>
      </c>
      <c r="AD733" s="1">
        <v>44868</v>
      </c>
      <c r="AE733">
        <v>86.97</v>
      </c>
      <c r="AF733" s="29">
        <f t="shared" si="82"/>
        <v>0.14343938995529837</v>
      </c>
    </row>
    <row r="734" spans="1:32">
      <c r="A734" s="220">
        <v>44745</v>
      </c>
      <c r="B734" s="222">
        <v>28.57</v>
      </c>
      <c r="C734" s="227">
        <f t="shared" si="77"/>
        <v>-7.0592062459336358E-2</v>
      </c>
      <c r="D734" s="5">
        <f>C734-C1275</f>
        <v>-7.0670108028895243E-2</v>
      </c>
      <c r="F734" s="8"/>
      <c r="H734" s="1">
        <v>44776</v>
      </c>
      <c r="I734">
        <v>36.54</v>
      </c>
      <c r="J734" s="227">
        <f t="shared" si="78"/>
        <v>-3.3333333333333326E-2</v>
      </c>
      <c r="K734" s="5">
        <f>J734-J1276</f>
        <v>-3.5469289248943284E-2</v>
      </c>
      <c r="M734" s="241">
        <v>44837</v>
      </c>
      <c r="N734">
        <v>4259.5200000000004</v>
      </c>
      <c r="O734" s="227">
        <f t="shared" si="79"/>
        <v>1.313176240572167E-2</v>
      </c>
      <c r="P734" s="5">
        <f>O734-O1278</f>
        <v>1.3497519606634841E-2</v>
      </c>
      <c r="Q734" s="8">
        <f t="shared" si="83"/>
        <v>1.8218303553149196E-4</v>
      </c>
      <c r="S734" s="1">
        <v>44837</v>
      </c>
      <c r="T734">
        <v>3.29</v>
      </c>
      <c r="U734" s="29">
        <f t="shared" si="80"/>
        <v>4.7770700636942554E-2</v>
      </c>
      <c r="V734" s="5">
        <f>U734-V1274</f>
        <v>4.6034509861235515E-2</v>
      </c>
      <c r="X734" t="s">
        <v>727</v>
      </c>
      <c r="Y734">
        <v>3.8</v>
      </c>
      <c r="Z734" s="48">
        <f t="shared" si="81"/>
        <v>0.1620795107033639</v>
      </c>
      <c r="AA734" s="5">
        <f>Z734-Y1274</f>
        <v>0.15786219123408976</v>
      </c>
      <c r="AD734" s="1">
        <v>44837</v>
      </c>
      <c r="AE734">
        <v>89.65</v>
      </c>
      <c r="AF734" s="29">
        <f t="shared" si="82"/>
        <v>3.0815223640335843E-2</v>
      </c>
    </row>
    <row r="735" spans="1:32">
      <c r="A735" s="220">
        <v>44654</v>
      </c>
      <c r="B735" s="222">
        <v>29.83</v>
      </c>
      <c r="C735" s="227">
        <f t="shared" si="77"/>
        <v>4.4102205110255532E-2</v>
      </c>
      <c r="D735" s="5">
        <f>C735-C1275</f>
        <v>4.402415954069664E-2</v>
      </c>
      <c r="F735" s="8"/>
      <c r="H735" s="1">
        <v>44745</v>
      </c>
      <c r="I735">
        <v>34.479999999999997</v>
      </c>
      <c r="J735" s="227">
        <f t="shared" si="78"/>
        <v>-5.6376573617953007E-2</v>
      </c>
      <c r="K735" s="5">
        <f>J735-J1276</f>
        <v>-5.8512529533562965E-2</v>
      </c>
      <c r="M735" s="241">
        <v>44807</v>
      </c>
      <c r="N735">
        <v>4277.88</v>
      </c>
      <c r="O735" s="227">
        <f t="shared" si="79"/>
        <v>4.3103448275860767E-3</v>
      </c>
      <c r="P735" s="5">
        <f>O735-O1278</f>
        <v>4.6761020284992487E-3</v>
      </c>
      <c r="Q735" s="8">
        <f t="shared" si="83"/>
        <v>2.1865930180934788E-5</v>
      </c>
      <c r="S735" s="1">
        <v>44807</v>
      </c>
      <c r="T735">
        <v>3.14</v>
      </c>
      <c r="U735" s="29">
        <f t="shared" si="80"/>
        <v>-4.5592705167173175E-2</v>
      </c>
      <c r="V735" s="5">
        <f>U735-V1274</f>
        <v>-4.7328895942880214E-2</v>
      </c>
      <c r="X735" t="s">
        <v>728</v>
      </c>
      <c r="Y735">
        <v>3.81</v>
      </c>
      <c r="Z735" s="48">
        <f t="shared" si="81"/>
        <v>2.6315789473685403E-3</v>
      </c>
      <c r="AA735" s="5">
        <f>Z735-Y1274</f>
        <v>-1.5857405219055938E-3</v>
      </c>
      <c r="AD735" s="1">
        <v>44807</v>
      </c>
      <c r="AE735">
        <v>91.84</v>
      </c>
      <c r="AF735" s="29">
        <f t="shared" si="82"/>
        <v>2.4428332403792608E-2</v>
      </c>
    </row>
    <row r="736" spans="1:32">
      <c r="A736" s="220">
        <v>44623</v>
      </c>
      <c r="B736" s="222">
        <v>31.72</v>
      </c>
      <c r="C736" s="227">
        <f t="shared" si="77"/>
        <v>6.3359034528997604E-2</v>
      </c>
      <c r="D736" s="5">
        <f>C736-C1275</f>
        <v>6.3280988959438719E-2</v>
      </c>
      <c r="F736" s="8"/>
      <c r="H736" s="1">
        <v>44654</v>
      </c>
      <c r="I736">
        <v>35.28</v>
      </c>
      <c r="J736" s="227">
        <f t="shared" si="78"/>
        <v>2.3201856148491906E-2</v>
      </c>
      <c r="K736" s="5">
        <f>J736-J1276</f>
        <v>2.1065900232881948E-2</v>
      </c>
      <c r="M736" s="241">
        <v>44776</v>
      </c>
      <c r="N736">
        <v>4170.7</v>
      </c>
      <c r="O736" s="227">
        <f t="shared" si="79"/>
        <v>-2.5054466230936878E-2</v>
      </c>
      <c r="P736" s="5">
        <f>O736-O1278</f>
        <v>-2.4688709030023705E-2</v>
      </c>
      <c r="Q736" s="8">
        <f t="shared" si="83"/>
        <v>6.0953235356917402E-4</v>
      </c>
      <c r="S736" s="1">
        <v>44776</v>
      </c>
      <c r="T736">
        <v>3.24</v>
      </c>
      <c r="U736" s="29">
        <f t="shared" si="80"/>
        <v>3.1847133757961776E-2</v>
      </c>
      <c r="V736" s="5">
        <f>U736-V1274</f>
        <v>3.0110942982254738E-2</v>
      </c>
      <c r="X736" t="s">
        <v>729</v>
      </c>
      <c r="Y736">
        <v>4</v>
      </c>
      <c r="Z736" s="48">
        <f t="shared" si="81"/>
        <v>4.986876640419946E-2</v>
      </c>
      <c r="AA736" s="5">
        <f>Z736-Y1274</f>
        <v>4.565144693492533E-2</v>
      </c>
      <c r="AD736" s="1">
        <v>44776</v>
      </c>
      <c r="AE736">
        <v>85.01</v>
      </c>
      <c r="AF736" s="29">
        <f t="shared" si="82"/>
        <v>-7.436846689895471E-2</v>
      </c>
    </row>
    <row r="737" spans="1:32">
      <c r="A737" s="220">
        <v>44595</v>
      </c>
      <c r="B737" s="222">
        <v>34.04</v>
      </c>
      <c r="C737" s="227">
        <f t="shared" si="77"/>
        <v>7.3139974779319106E-2</v>
      </c>
      <c r="D737" s="5">
        <f>C737-C1275</f>
        <v>7.3061929209760221E-2</v>
      </c>
      <c r="F737" s="8"/>
      <c r="H737" s="1">
        <v>44623</v>
      </c>
      <c r="I737">
        <v>36.979999999999997</v>
      </c>
      <c r="J737" s="227">
        <f t="shared" si="78"/>
        <v>4.8185941043083824E-2</v>
      </c>
      <c r="K737" s="5">
        <f>J737-J1276</f>
        <v>4.6049985127473866E-2</v>
      </c>
      <c r="M737" s="241">
        <v>44745</v>
      </c>
      <c r="N737">
        <v>4201.09</v>
      </c>
      <c r="O737" s="227">
        <f t="shared" si="79"/>
        <v>7.2865466228690945E-3</v>
      </c>
      <c r="P737" s="5">
        <f>O737-O1278</f>
        <v>7.6523038237822664E-3</v>
      </c>
      <c r="Q737" s="8">
        <f t="shared" si="83"/>
        <v>5.8557753811472697E-5</v>
      </c>
      <c r="S737" s="1">
        <v>44745</v>
      </c>
      <c r="T737">
        <v>3.36</v>
      </c>
      <c r="U737" s="29">
        <f t="shared" si="80"/>
        <v>3.7037037037036979E-2</v>
      </c>
      <c r="V737" s="5">
        <f>U737-V1274</f>
        <v>3.5300846261329941E-2</v>
      </c>
      <c r="X737" t="s">
        <v>730</v>
      </c>
      <c r="Y737">
        <v>4.16</v>
      </c>
      <c r="Z737" s="48">
        <f t="shared" si="81"/>
        <v>4.0000000000000036E-2</v>
      </c>
      <c r="AA737" s="5">
        <f>Z737-Y1274</f>
        <v>3.5782680530725905E-2</v>
      </c>
      <c r="AD737" s="1">
        <v>44745</v>
      </c>
      <c r="AE737">
        <v>79.86</v>
      </c>
      <c r="AF737" s="29">
        <f t="shared" si="82"/>
        <v>-6.0581108104928894E-2</v>
      </c>
    </row>
    <row r="738" spans="1:32">
      <c r="A738" s="220">
        <v>44564</v>
      </c>
      <c r="B738" s="222">
        <v>33.89</v>
      </c>
      <c r="C738" s="227">
        <f t="shared" si="77"/>
        <v>-4.4065804935369268E-3</v>
      </c>
      <c r="D738" s="5">
        <f>C738-C1275</f>
        <v>-4.4846260630958161E-3</v>
      </c>
      <c r="E738" s="1"/>
      <c r="F738" s="8"/>
      <c r="H738" s="1">
        <v>44595</v>
      </c>
      <c r="I738">
        <v>38.93</v>
      </c>
      <c r="J738" s="227">
        <f t="shared" si="78"/>
        <v>5.2731206057328395E-2</v>
      </c>
      <c r="K738" s="5">
        <f>J738-J1276</f>
        <v>5.0595250141718437E-2</v>
      </c>
      <c r="M738" s="241">
        <v>44654</v>
      </c>
      <c r="N738">
        <v>4328.87</v>
      </c>
      <c r="O738" s="227">
        <f t="shared" si="79"/>
        <v>3.0415915869452803E-2</v>
      </c>
      <c r="P738" s="5">
        <f>O738-O1278</f>
        <v>3.0781673070365976E-2</v>
      </c>
      <c r="Q738" s="8">
        <f t="shared" si="83"/>
        <v>9.4751139701089394E-4</v>
      </c>
      <c r="S738" s="1">
        <v>44654</v>
      </c>
      <c r="T738">
        <v>3.36</v>
      </c>
      <c r="U738" s="29">
        <f t="shared" si="80"/>
        <v>0</v>
      </c>
      <c r="V738" s="5">
        <f>U738-V1274</f>
        <v>-1.736190775707038E-3</v>
      </c>
      <c r="X738" t="s">
        <v>731</v>
      </c>
      <c r="Y738">
        <v>4.09</v>
      </c>
      <c r="Z738" s="48">
        <f t="shared" si="81"/>
        <v>-1.6826923076923128E-2</v>
      </c>
      <c r="AA738" s="5">
        <f>Z738-Y1274</f>
        <v>-2.1044242546197262E-2</v>
      </c>
      <c r="AD738" s="1">
        <v>44654</v>
      </c>
      <c r="AE738">
        <v>89.86</v>
      </c>
      <c r="AF738" s="29">
        <f t="shared" si="82"/>
        <v>0.12521913348359637</v>
      </c>
    </row>
    <row r="739" spans="1:32">
      <c r="A739" s="3" t="s">
        <v>736</v>
      </c>
      <c r="B739" s="222">
        <v>36.03</v>
      </c>
      <c r="C739" s="227">
        <f t="shared" si="77"/>
        <v>6.3145470640306955E-2</v>
      </c>
      <c r="D739" s="5">
        <f>C739-C1275</f>
        <v>6.306742507074807E-2</v>
      </c>
      <c r="E739" s="1"/>
      <c r="F739" s="8"/>
      <c r="H739" s="1">
        <v>44564</v>
      </c>
      <c r="I739">
        <v>37.68</v>
      </c>
      <c r="J739" s="227">
        <f t="shared" si="78"/>
        <v>-3.210891343436939E-2</v>
      </c>
      <c r="K739" s="5">
        <f>J739-J1276</f>
        <v>-3.4244869349979348E-2</v>
      </c>
      <c r="M739" s="241">
        <v>44623</v>
      </c>
      <c r="N739">
        <v>4363.49</v>
      </c>
      <c r="O739" s="227">
        <f t="shared" si="79"/>
        <v>7.9974681614369825E-3</v>
      </c>
      <c r="P739" s="5">
        <f>O739-O1278</f>
        <v>8.3632253623501535E-3</v>
      </c>
      <c r="Q739" s="8">
        <f t="shared" si="83"/>
        <v>6.9943538461456851E-5</v>
      </c>
      <c r="S739" s="1">
        <v>44623</v>
      </c>
      <c r="T739">
        <v>3.28</v>
      </c>
      <c r="U739" s="29">
        <f t="shared" si="80"/>
        <v>-2.3809523809523836E-2</v>
      </c>
      <c r="V739" s="5">
        <f>U739-V1274</f>
        <v>-2.5545714585230875E-2</v>
      </c>
      <c r="X739" t="s">
        <v>732</v>
      </c>
      <c r="Y739">
        <v>2.56</v>
      </c>
      <c r="Z739" s="48">
        <f t="shared" si="81"/>
        <v>-0.37408312958435208</v>
      </c>
      <c r="AA739" s="5">
        <f>Z739-Y1274</f>
        <v>-0.3783004490536262</v>
      </c>
      <c r="AD739" s="1">
        <v>44623</v>
      </c>
      <c r="AE739">
        <v>101.68</v>
      </c>
      <c r="AF739" s="29">
        <f t="shared" si="82"/>
        <v>0.1315379479189851</v>
      </c>
    </row>
    <row r="740" spans="1:32">
      <c r="A740" s="3" t="s">
        <v>737</v>
      </c>
      <c r="B740" s="222">
        <v>34.979999999999997</v>
      </c>
      <c r="C740" s="227">
        <f t="shared" si="77"/>
        <v>-2.9142381348876034E-2</v>
      </c>
      <c r="D740" s="5">
        <f>C740-C1275</f>
        <v>-2.9220426918434923E-2</v>
      </c>
      <c r="E740" s="1"/>
      <c r="F740" s="8"/>
      <c r="H740" t="s">
        <v>736</v>
      </c>
      <c r="I740">
        <v>38.94</v>
      </c>
      <c r="J740" s="227">
        <f t="shared" si="78"/>
        <v>3.3439490445859921E-2</v>
      </c>
      <c r="K740" s="5">
        <f>J740-J1276</f>
        <v>3.1303534530249963E-2</v>
      </c>
      <c r="M740" s="241">
        <v>44595</v>
      </c>
      <c r="N740">
        <v>4386.54</v>
      </c>
      <c r="O740" s="227">
        <f t="shared" si="79"/>
        <v>5.2824688494761407E-3</v>
      </c>
      <c r="P740" s="5">
        <f>O740-O1278</f>
        <v>5.6482260503893126E-3</v>
      </c>
      <c r="Q740" s="8">
        <f t="shared" si="83"/>
        <v>3.1902457516296455E-5</v>
      </c>
      <c r="S740" s="1">
        <v>44595</v>
      </c>
      <c r="T740">
        <v>5.23</v>
      </c>
      <c r="U740" s="29">
        <f t="shared" si="80"/>
        <v>0.59451219512195141</v>
      </c>
      <c r="V740" s="5">
        <f>U740-V1274</f>
        <v>0.59277600434624433</v>
      </c>
      <c r="X740" t="s">
        <v>733</v>
      </c>
      <c r="Y740">
        <v>2.5499999999999998</v>
      </c>
      <c r="Z740" s="48">
        <f t="shared" si="81"/>
        <v>-3.906250000000111E-3</v>
      </c>
      <c r="AA740" s="5">
        <f>Z740-Y1274</f>
        <v>-8.1235694692742451E-3</v>
      </c>
      <c r="AD740" s="1">
        <v>44595</v>
      </c>
      <c r="AE740">
        <v>103.62</v>
      </c>
      <c r="AF740" s="29">
        <f t="shared" si="82"/>
        <v>1.9079464988198236E-2</v>
      </c>
    </row>
    <row r="741" spans="1:32">
      <c r="A741" s="3" t="s">
        <v>738</v>
      </c>
      <c r="B741" s="222">
        <v>34.869999999999997</v>
      </c>
      <c r="C741" s="227">
        <f t="shared" si="77"/>
        <v>-3.1446540880503138E-3</v>
      </c>
      <c r="D741" s="5">
        <f>C741-C1275</f>
        <v>-3.2226996576092031E-3</v>
      </c>
      <c r="E741" s="1"/>
      <c r="F741" s="8"/>
      <c r="H741" t="s">
        <v>737</v>
      </c>
      <c r="I741">
        <v>38.61</v>
      </c>
      <c r="J741" s="227">
        <f t="shared" si="78"/>
        <v>-8.4745762711864181E-3</v>
      </c>
      <c r="K741" s="5">
        <f>J741-J1276</f>
        <v>-1.0610532186796376E-2</v>
      </c>
      <c r="M741" s="241">
        <v>44564</v>
      </c>
      <c r="N741">
        <v>4306.26</v>
      </c>
      <c r="O741" s="227">
        <f t="shared" si="79"/>
        <v>-1.83014403151458E-2</v>
      </c>
      <c r="P741" s="5">
        <f>O741-O1278</f>
        <v>-1.7935683114232628E-2</v>
      </c>
      <c r="Q741" s="8">
        <f t="shared" si="83"/>
        <v>3.2168872877416942E-4</v>
      </c>
      <c r="S741" s="1">
        <v>44564</v>
      </c>
      <c r="T741">
        <v>5.52</v>
      </c>
      <c r="U741" s="29">
        <f t="shared" si="80"/>
        <v>5.5449330783938544E-2</v>
      </c>
      <c r="V741" s="5">
        <f>U741-V1274</f>
        <v>5.3713140008231505E-2</v>
      </c>
      <c r="X741" t="s">
        <v>734</v>
      </c>
      <c r="Y741">
        <v>1.8</v>
      </c>
      <c r="Z741" s="48">
        <f t="shared" si="81"/>
        <v>-0.29411764705882348</v>
      </c>
      <c r="AA741" s="5">
        <f>Z741-Y1274</f>
        <v>-0.2983349665280976</v>
      </c>
      <c r="AD741" s="1">
        <v>44564</v>
      </c>
      <c r="AE741">
        <v>102.43</v>
      </c>
      <c r="AF741" s="29">
        <f t="shared" si="82"/>
        <v>-1.1484269446052853E-2</v>
      </c>
    </row>
    <row r="742" spans="1:32">
      <c r="A742" s="3" t="s">
        <v>739</v>
      </c>
      <c r="B742" s="222">
        <v>32.39</v>
      </c>
      <c r="C742" s="227">
        <f t="shared" si="77"/>
        <v>-7.1121307714367532E-2</v>
      </c>
      <c r="D742" s="5">
        <f>C742-C1275</f>
        <v>-7.1199353283926417E-2</v>
      </c>
      <c r="E742" s="1"/>
      <c r="F742" s="8"/>
      <c r="H742" t="s">
        <v>738</v>
      </c>
      <c r="I742">
        <v>38.770000000000003</v>
      </c>
      <c r="J742" s="227">
        <f t="shared" si="78"/>
        <v>4.1440041440041764E-3</v>
      </c>
      <c r="K742" s="5">
        <f>J742-J1276</f>
        <v>2.0080482283942186E-3</v>
      </c>
      <c r="M742" s="240" t="s">
        <v>736</v>
      </c>
      <c r="N742">
        <v>4373.9399999999996</v>
      </c>
      <c r="O742" s="227">
        <f t="shared" si="79"/>
        <v>1.5716654359002824E-2</v>
      </c>
      <c r="P742" s="5">
        <f>O742-O1278</f>
        <v>1.6082411559915997E-2</v>
      </c>
      <c r="Q742" s="8">
        <f t="shared" si="83"/>
        <v>2.5864396158251969E-4</v>
      </c>
      <c r="S742" t="s">
        <v>736</v>
      </c>
      <c r="T742">
        <v>5.76</v>
      </c>
      <c r="U742" s="29">
        <f t="shared" si="80"/>
        <v>4.3478260869565188E-2</v>
      </c>
      <c r="V742" s="5">
        <f>U742-V1274</f>
        <v>4.174207009385815E-2</v>
      </c>
      <c r="X742" t="s">
        <v>735</v>
      </c>
      <c r="Y742">
        <v>1.76</v>
      </c>
      <c r="Z742" s="48">
        <f t="shared" si="81"/>
        <v>-2.2222222222222254E-2</v>
      </c>
      <c r="AA742" s="5">
        <f>Z742-Y1274</f>
        <v>-2.6439541691496388E-2</v>
      </c>
      <c r="AD742" t="s">
        <v>736</v>
      </c>
      <c r="AE742">
        <v>104.95</v>
      </c>
      <c r="AF742" s="29">
        <f t="shared" si="82"/>
        <v>2.4602167333788838E-2</v>
      </c>
    </row>
    <row r="743" spans="1:32">
      <c r="A743" s="3" t="s">
        <v>740</v>
      </c>
      <c r="B743" s="222">
        <v>33.68</v>
      </c>
      <c r="C743" s="227">
        <f t="shared" si="77"/>
        <v>3.9827107131830797E-2</v>
      </c>
      <c r="D743" s="5">
        <f>C743-C1275</f>
        <v>3.9749061562271905E-2</v>
      </c>
      <c r="E743" s="1"/>
      <c r="F743" s="8"/>
      <c r="H743" t="s">
        <v>739</v>
      </c>
      <c r="I743">
        <v>37.43</v>
      </c>
      <c r="J743" s="227">
        <f t="shared" si="78"/>
        <v>-3.4562806293526038E-2</v>
      </c>
      <c r="K743" s="5">
        <f>J743-J1276</f>
        <v>-3.6698762209135996E-2</v>
      </c>
      <c r="M743" s="240" t="s">
        <v>737</v>
      </c>
      <c r="N743">
        <v>4384.6499999999996</v>
      </c>
      <c r="O743" s="227">
        <f t="shared" si="79"/>
        <v>2.4485932591669091E-3</v>
      </c>
      <c r="P743" s="5">
        <f>O743-O1278</f>
        <v>2.8143504600800806E-3</v>
      </c>
      <c r="Q743" s="8">
        <f t="shared" si="83"/>
        <v>7.9205685121529616E-6</v>
      </c>
      <c r="S743" t="s">
        <v>737</v>
      </c>
      <c r="T743">
        <v>5.8</v>
      </c>
      <c r="U743" s="29">
        <f t="shared" si="80"/>
        <v>6.9444444444444198E-3</v>
      </c>
      <c r="V743" s="5">
        <f>U743-V1274</f>
        <v>5.2082536687373818E-3</v>
      </c>
      <c r="X743" s="1">
        <v>44868</v>
      </c>
      <c r="Y743">
        <v>1.89</v>
      </c>
      <c r="Z743" s="48">
        <f t="shared" si="81"/>
        <v>7.3863636363636243E-2</v>
      </c>
      <c r="AA743" s="5">
        <f>Z743-Y1274</f>
        <v>6.9646316894362112E-2</v>
      </c>
      <c r="AD743" t="s">
        <v>737</v>
      </c>
      <c r="AE743">
        <v>100.34</v>
      </c>
      <c r="AF743" s="29">
        <f t="shared" si="82"/>
        <v>-4.3925678894711773E-2</v>
      </c>
    </row>
    <row r="744" spans="1:32">
      <c r="A744" s="3" t="s">
        <v>741</v>
      </c>
      <c r="B744" s="222">
        <v>34.68</v>
      </c>
      <c r="C744" s="227">
        <f t="shared" si="77"/>
        <v>2.9691211401425166E-2</v>
      </c>
      <c r="D744" s="5">
        <f>C744-C1275</f>
        <v>2.9613165831866278E-2</v>
      </c>
      <c r="E744" s="1"/>
      <c r="F744" s="8"/>
      <c r="H744" t="s">
        <v>740</v>
      </c>
      <c r="I744">
        <v>38.880000000000003</v>
      </c>
      <c r="J744" s="227">
        <f t="shared" si="78"/>
        <v>3.8738979428266207E-2</v>
      </c>
      <c r="K744" s="5">
        <f>J744-J1276</f>
        <v>3.6603023512656249E-2</v>
      </c>
      <c r="M744" s="240" t="s">
        <v>738</v>
      </c>
      <c r="N744">
        <v>4288.7</v>
      </c>
      <c r="O744" s="227">
        <f t="shared" si="79"/>
        <v>-2.1883160571539273E-2</v>
      </c>
      <c r="P744" s="5">
        <f>O744-O1278</f>
        <v>-2.15174033706261E-2</v>
      </c>
      <c r="Q744" s="8">
        <f t="shared" si="83"/>
        <v>4.6299864781423146E-4</v>
      </c>
      <c r="S744" t="s">
        <v>738</v>
      </c>
      <c r="T744">
        <v>5.5</v>
      </c>
      <c r="U744" s="29">
        <f t="shared" si="80"/>
        <v>-5.1724137931034475E-2</v>
      </c>
      <c r="V744" s="5">
        <f>U744-V1274</f>
        <v>-5.3460328706741514E-2</v>
      </c>
      <c r="X744" s="1">
        <v>44837</v>
      </c>
      <c r="Y744">
        <v>3.38</v>
      </c>
      <c r="Z744" s="48">
        <f t="shared" si="81"/>
        <v>0.78835978835978837</v>
      </c>
      <c r="AA744" s="5">
        <f>Z744-Y1274</f>
        <v>0.7841424688905142</v>
      </c>
      <c r="AD744" t="s">
        <v>738</v>
      </c>
      <c r="AE744">
        <v>100.42</v>
      </c>
      <c r="AF744" s="29">
        <f t="shared" si="82"/>
        <v>7.9728921666322172E-4</v>
      </c>
    </row>
    <row r="745" spans="1:32">
      <c r="A745" s="3" t="s">
        <v>742</v>
      </c>
      <c r="B745" s="222">
        <v>35.71</v>
      </c>
      <c r="C745" s="227">
        <f t="shared" si="77"/>
        <v>2.9700115340253852E-2</v>
      </c>
      <c r="D745" s="5">
        <f>C745-C1275</f>
        <v>2.9622069770694964E-2</v>
      </c>
      <c r="E745" s="1"/>
      <c r="F745" s="8"/>
      <c r="H745" t="s">
        <v>741</v>
      </c>
      <c r="I745">
        <v>41.26</v>
      </c>
      <c r="J745" s="227">
        <f t="shared" si="78"/>
        <v>6.1213991769547116E-2</v>
      </c>
      <c r="K745" s="5">
        <f>J745-J1276</f>
        <v>5.9078035853937158E-2</v>
      </c>
      <c r="M745" s="240" t="s">
        <v>739</v>
      </c>
      <c r="N745">
        <v>4225.5</v>
      </c>
      <c r="O745" s="227">
        <f t="shared" si="79"/>
        <v>-1.4736400307785558E-2</v>
      </c>
      <c r="P745" s="5">
        <f>O745-O1278</f>
        <v>-1.4370643106872387E-2</v>
      </c>
      <c r="Q745" s="8">
        <f t="shared" si="83"/>
        <v>2.0651538330509884E-4</v>
      </c>
      <c r="S745" t="s">
        <v>739</v>
      </c>
      <c r="T745">
        <v>5.3</v>
      </c>
      <c r="U745" s="29">
        <f t="shared" si="80"/>
        <v>-3.6363636363636376E-2</v>
      </c>
      <c r="V745" s="5">
        <f>U745-V1274</f>
        <v>-3.8099827139343415E-2</v>
      </c>
      <c r="X745" s="1">
        <v>44807</v>
      </c>
      <c r="Y745">
        <v>3.78</v>
      </c>
      <c r="Z745" s="48">
        <f t="shared" si="81"/>
        <v>0.11834319526627213</v>
      </c>
      <c r="AA745" s="5">
        <f>Z745-Y1274</f>
        <v>0.114125875796998</v>
      </c>
      <c r="AD745" t="s">
        <v>739</v>
      </c>
      <c r="AE745">
        <v>90.55</v>
      </c>
      <c r="AF745" s="29">
        <f t="shared" si="82"/>
        <v>-9.8287193786098404E-2</v>
      </c>
    </row>
    <row r="746" spans="1:32">
      <c r="A746" s="3" t="s">
        <v>743</v>
      </c>
      <c r="B746" s="222">
        <v>36.58</v>
      </c>
      <c r="C746" s="227">
        <f t="shared" si="77"/>
        <v>2.4362923550826032E-2</v>
      </c>
      <c r="D746" s="5">
        <f>C746-C1275</f>
        <v>2.4284877981267144E-2</v>
      </c>
      <c r="E746" s="1"/>
      <c r="F746" s="8"/>
      <c r="H746" t="s">
        <v>742</v>
      </c>
      <c r="I746">
        <v>42.9</v>
      </c>
      <c r="J746" s="227">
        <f t="shared" si="78"/>
        <v>3.9747939893359119E-2</v>
      </c>
      <c r="K746" s="5">
        <f>J746-J1276</f>
        <v>3.7611983977749161E-2</v>
      </c>
      <c r="M746" s="240" t="s">
        <v>740</v>
      </c>
      <c r="N746">
        <v>4304.76</v>
      </c>
      <c r="O746" s="227">
        <f t="shared" si="79"/>
        <v>1.8757543485978134E-2</v>
      </c>
      <c r="P746" s="5">
        <f>O746-O1278</f>
        <v>1.9123300686891307E-2</v>
      </c>
      <c r="Q746" s="8">
        <f t="shared" si="83"/>
        <v>3.6570062916125754E-4</v>
      </c>
      <c r="S746" t="s">
        <v>740</v>
      </c>
      <c r="T746">
        <v>5.17</v>
      </c>
      <c r="U746" s="29">
        <f t="shared" si="80"/>
        <v>-2.4528301886792447E-2</v>
      </c>
      <c r="V746" s="5">
        <f>U746-V1274</f>
        <v>-2.6264492662499486E-2</v>
      </c>
      <c r="X746" s="1">
        <v>44776</v>
      </c>
      <c r="Y746">
        <v>3.55</v>
      </c>
      <c r="Z746" s="48">
        <f t="shared" si="81"/>
        <v>-6.0846560846560815E-2</v>
      </c>
      <c r="AA746" s="5">
        <f>Z746-Y1274</f>
        <v>-6.5063880315834946E-2</v>
      </c>
      <c r="AD746" t="s">
        <v>740</v>
      </c>
      <c r="AE746">
        <v>93.17</v>
      </c>
      <c r="AF746" s="29">
        <f t="shared" si="82"/>
        <v>2.8934290447266697E-2</v>
      </c>
    </row>
    <row r="747" spans="1:32">
      <c r="A747" s="3" t="s">
        <v>744</v>
      </c>
      <c r="B747" s="222">
        <v>37.090000000000003</v>
      </c>
      <c r="C747" s="227">
        <f t="shared" si="77"/>
        <v>1.3942044833242351E-2</v>
      </c>
      <c r="D747" s="5">
        <f>C747-C1275</f>
        <v>1.3863999263683462E-2</v>
      </c>
      <c r="F747" s="8"/>
      <c r="H747" t="s">
        <v>743</v>
      </c>
      <c r="I747">
        <v>43.82</v>
      </c>
      <c r="J747" s="227">
        <f t="shared" si="78"/>
        <v>2.144522144522143E-2</v>
      </c>
      <c r="K747" s="5">
        <f>J747-J1276</f>
        <v>1.9309265529611472E-2</v>
      </c>
      <c r="M747" s="240" t="s">
        <v>741</v>
      </c>
      <c r="N747">
        <v>4348.87</v>
      </c>
      <c r="O747" s="227">
        <f t="shared" si="79"/>
        <v>1.024679656937888E-2</v>
      </c>
      <c r="P747" s="5">
        <f>O747-O1278</f>
        <v>1.0612553770292051E-2</v>
      </c>
      <c r="Q747" s="8">
        <f t="shared" si="83"/>
        <v>1.1262629752734002E-4</v>
      </c>
      <c r="S747" t="s">
        <v>741</v>
      </c>
      <c r="T747">
        <v>5.52</v>
      </c>
      <c r="U747" s="29">
        <f t="shared" si="80"/>
        <v>6.7698259187620735E-2</v>
      </c>
      <c r="V747" s="5">
        <f>U747-V1274</f>
        <v>6.5962068411913696E-2</v>
      </c>
      <c r="X747" s="1">
        <v>44745</v>
      </c>
      <c r="Y747">
        <v>4</v>
      </c>
      <c r="Z747" s="48">
        <f t="shared" si="81"/>
        <v>0.12676056338028174</v>
      </c>
      <c r="AA747" s="5">
        <f>Z747-Y1274</f>
        <v>0.12254324391100761</v>
      </c>
      <c r="AD747" t="s">
        <v>741</v>
      </c>
      <c r="AE747">
        <v>96.21</v>
      </c>
      <c r="AF747" s="29">
        <f t="shared" si="82"/>
        <v>3.2628528496297049E-2</v>
      </c>
    </row>
    <row r="748" spans="1:32">
      <c r="A748" s="3" t="s">
        <v>745</v>
      </c>
      <c r="B748" s="222">
        <v>34.590000000000003</v>
      </c>
      <c r="C748" s="227">
        <f t="shared" si="77"/>
        <v>-6.740361283364793E-2</v>
      </c>
      <c r="D748" s="5">
        <f>C748-C1275</f>
        <v>-6.7481658403206815E-2</v>
      </c>
      <c r="F748" s="8"/>
      <c r="H748" t="s">
        <v>744</v>
      </c>
      <c r="I748">
        <v>43.5</v>
      </c>
      <c r="J748" s="227">
        <f t="shared" si="78"/>
        <v>-7.3026015518028453E-3</v>
      </c>
      <c r="K748" s="5">
        <f>J748-J1276</f>
        <v>-9.4385574674128031E-3</v>
      </c>
      <c r="M748" s="240" t="s">
        <v>742</v>
      </c>
      <c r="N748">
        <v>4380.26</v>
      </c>
      <c r="O748" s="227">
        <f t="shared" si="79"/>
        <v>7.2179669661314172E-3</v>
      </c>
      <c r="P748" s="5">
        <f>O748-O1278</f>
        <v>7.5837241670445891E-3</v>
      </c>
      <c r="Q748" s="8">
        <f t="shared" si="83"/>
        <v>5.7512872241816149E-5</v>
      </c>
      <c r="S748" t="s">
        <v>742</v>
      </c>
      <c r="T748">
        <v>5.81</v>
      </c>
      <c r="U748" s="29">
        <f t="shared" si="80"/>
        <v>5.2536231884057871E-2</v>
      </c>
      <c r="V748" s="5">
        <f>U748-V1274</f>
        <v>5.0800041108350832E-2</v>
      </c>
      <c r="X748" s="1">
        <v>44654</v>
      </c>
      <c r="Y748">
        <v>4.0199999999999996</v>
      </c>
      <c r="Z748" s="48">
        <f t="shared" si="81"/>
        <v>4.9999999999998934E-3</v>
      </c>
      <c r="AA748" s="5">
        <f>Z748-Y1274</f>
        <v>7.8268053072575935E-4</v>
      </c>
      <c r="AD748" t="s">
        <v>742</v>
      </c>
      <c r="AE748">
        <v>105.03</v>
      </c>
      <c r="AF748" s="29">
        <f t="shared" si="82"/>
        <v>9.1674462114125443E-2</v>
      </c>
    </row>
    <row r="749" spans="1:32">
      <c r="A749" s="220">
        <v>44867</v>
      </c>
      <c r="B749" s="222">
        <v>35.29</v>
      </c>
      <c r="C749" s="227">
        <f t="shared" si="77"/>
        <v>2.0237062734894451E-2</v>
      </c>
      <c r="D749" s="5">
        <f>C749-C1275</f>
        <v>2.0159017165335563E-2</v>
      </c>
      <c r="F749" s="8"/>
      <c r="H749" t="s">
        <v>745</v>
      </c>
      <c r="I749">
        <v>39.99</v>
      </c>
      <c r="J749" s="227">
        <f t="shared" si="78"/>
        <v>-8.0689655172413777E-2</v>
      </c>
      <c r="K749" s="5">
        <f>J749-J1276</f>
        <v>-8.2825611088023735E-2</v>
      </c>
      <c r="M749" s="240" t="s">
        <v>743</v>
      </c>
      <c r="N749">
        <v>4475.01</v>
      </c>
      <c r="O749" s="227">
        <f t="shared" si="79"/>
        <v>2.1631136051284638E-2</v>
      </c>
      <c r="P749" s="5">
        <f>O749-O1278</f>
        <v>2.1996893252197811E-2</v>
      </c>
      <c r="Q749" s="8">
        <f t="shared" si="83"/>
        <v>4.8386331274858561E-4</v>
      </c>
      <c r="S749" t="s">
        <v>743</v>
      </c>
      <c r="T749">
        <v>6.04</v>
      </c>
      <c r="U749" s="29">
        <f t="shared" si="80"/>
        <v>3.9586919104991569E-2</v>
      </c>
      <c r="V749" s="5">
        <f>U749-V1274</f>
        <v>3.785072832928453E-2</v>
      </c>
      <c r="X749" s="1">
        <v>44623</v>
      </c>
      <c r="Y749">
        <v>3.99</v>
      </c>
      <c r="Z749" s="48">
        <f t="shared" si="81"/>
        <v>-7.4626865671639786E-3</v>
      </c>
      <c r="AA749" s="5">
        <f>Z749-Y1274</f>
        <v>-1.1680006036438113E-2</v>
      </c>
      <c r="AD749" t="s">
        <v>743</v>
      </c>
      <c r="AE749">
        <v>94.89</v>
      </c>
      <c r="AF749" s="29">
        <f t="shared" si="82"/>
        <v>-9.6543844615824104E-2</v>
      </c>
    </row>
    <row r="750" spans="1:32">
      <c r="A750" s="220">
        <v>44836</v>
      </c>
      <c r="B750" s="222">
        <v>37.75</v>
      </c>
      <c r="C750" s="227">
        <f t="shared" si="77"/>
        <v>6.9708132615471818E-2</v>
      </c>
      <c r="D750" s="5">
        <f>C750-C1275</f>
        <v>6.9630087045912933E-2</v>
      </c>
      <c r="F750" s="8"/>
      <c r="H750" s="1">
        <v>44867</v>
      </c>
      <c r="I750">
        <v>39.99</v>
      </c>
      <c r="J750" s="227">
        <f t="shared" si="78"/>
        <v>0</v>
      </c>
      <c r="K750" s="5">
        <f>J750-J1276</f>
        <v>-2.1359559156099578E-3</v>
      </c>
      <c r="M750" s="240" t="s">
        <v>744</v>
      </c>
      <c r="N750">
        <v>4471.07</v>
      </c>
      <c r="O750" s="227">
        <f t="shared" si="79"/>
        <v>-8.8044495989969551E-4</v>
      </c>
      <c r="P750" s="5">
        <f>O750-O1278</f>
        <v>-5.1468775898652402E-4</v>
      </c>
      <c r="Q750" s="8">
        <f t="shared" si="83"/>
        <v>2.6490348925057024E-7</v>
      </c>
      <c r="S750" t="s">
        <v>744</v>
      </c>
      <c r="T750">
        <v>6</v>
      </c>
      <c r="U750" s="29">
        <f t="shared" si="80"/>
        <v>-6.6225165562914245E-3</v>
      </c>
      <c r="V750" s="5">
        <f>U750-V1274</f>
        <v>-8.3587073319984634E-3</v>
      </c>
      <c r="X750" s="1">
        <v>44595</v>
      </c>
      <c r="Y750">
        <v>4</v>
      </c>
      <c r="Z750" s="48">
        <f t="shared" si="81"/>
        <v>2.5062656641603454E-3</v>
      </c>
      <c r="AA750" s="5">
        <f>Z750-Y1274</f>
        <v>-1.7110538051137887E-3</v>
      </c>
      <c r="AD750" t="s">
        <v>744</v>
      </c>
      <c r="AE750">
        <v>101.81</v>
      </c>
      <c r="AF750" s="29">
        <f t="shared" si="82"/>
        <v>7.2926546527558145E-2</v>
      </c>
    </row>
    <row r="751" spans="1:32">
      <c r="A751" s="220">
        <v>44806</v>
      </c>
      <c r="B751" s="222">
        <v>40.19</v>
      </c>
      <c r="C751" s="227">
        <f t="shared" si="77"/>
        <v>6.4635761589403984E-2</v>
      </c>
      <c r="D751" s="5">
        <f>C751-C1275</f>
        <v>6.4557716019845099E-2</v>
      </c>
      <c r="F751" s="8"/>
      <c r="H751" s="1">
        <v>44836</v>
      </c>
      <c r="I751">
        <v>42.1</v>
      </c>
      <c r="J751" s="227">
        <f t="shared" si="78"/>
        <v>5.2763190797699311E-2</v>
      </c>
      <c r="K751" s="5">
        <f>J751-J1276</f>
        <v>5.0627234882089353E-2</v>
      </c>
      <c r="M751" s="240" t="s">
        <v>745</v>
      </c>
      <c r="N751">
        <v>4401.67</v>
      </c>
      <c r="O751" s="227">
        <f t="shared" si="79"/>
        <v>-1.5522011509549127E-2</v>
      </c>
      <c r="P751" s="5">
        <f>O751-O1278</f>
        <v>-1.5156254308635956E-2</v>
      </c>
      <c r="Q751" s="8">
        <f t="shared" si="83"/>
        <v>2.2971204466804598E-4</v>
      </c>
      <c r="S751" t="s">
        <v>745</v>
      </c>
      <c r="T751">
        <v>5.92</v>
      </c>
      <c r="U751" s="29">
        <f t="shared" si="80"/>
        <v>-1.3333333333333308E-2</v>
      </c>
      <c r="V751" s="5">
        <f>U751-V1274</f>
        <v>-1.5069524109040347E-2</v>
      </c>
      <c r="X751" s="1">
        <v>44564</v>
      </c>
      <c r="Y751">
        <v>4.08</v>
      </c>
      <c r="Z751" s="48">
        <f t="shared" si="81"/>
        <v>2.0000000000000018E-2</v>
      </c>
      <c r="AA751" s="5">
        <f>Z751-Y1274</f>
        <v>1.5782680530725884E-2</v>
      </c>
      <c r="AD751" t="s">
        <v>745</v>
      </c>
      <c r="AE751">
        <v>97.11</v>
      </c>
      <c r="AF751" s="29">
        <f t="shared" si="82"/>
        <v>-4.6164423926922771E-2</v>
      </c>
    </row>
    <row r="752" spans="1:32">
      <c r="A752" s="220">
        <v>44775</v>
      </c>
      <c r="B752" s="222">
        <v>38.340000000000003</v>
      </c>
      <c r="C752" s="227">
        <f t="shared" si="77"/>
        <v>-4.6031351082358674E-2</v>
      </c>
      <c r="D752" s="5">
        <f>C752-C1275</f>
        <v>-4.6109396651917565E-2</v>
      </c>
      <c r="F752" s="8"/>
      <c r="H752" s="1">
        <v>44806</v>
      </c>
      <c r="I752">
        <v>44</v>
      </c>
      <c r="J752" s="227">
        <f t="shared" si="78"/>
        <v>4.5130641330166199E-2</v>
      </c>
      <c r="K752" s="5">
        <f>J752-J1276</f>
        <v>4.2994685414556241E-2</v>
      </c>
      <c r="M752" s="241">
        <v>44867</v>
      </c>
      <c r="N752">
        <v>4418.6400000000003</v>
      </c>
      <c r="O752" s="227">
        <f t="shared" si="79"/>
        <v>3.855354899390484E-3</v>
      </c>
      <c r="P752" s="5">
        <f>O752-O1278</f>
        <v>4.221112100303656E-3</v>
      </c>
      <c r="Q752" s="8">
        <f t="shared" si="83"/>
        <v>1.7817787363329943E-5</v>
      </c>
      <c r="S752" s="1">
        <v>44867</v>
      </c>
      <c r="T752">
        <v>5.89</v>
      </c>
      <c r="U752" s="29">
        <f t="shared" si="80"/>
        <v>-5.0675675675676546E-3</v>
      </c>
      <c r="V752" s="5">
        <f>U752-V1274</f>
        <v>-6.8037583432746926E-3</v>
      </c>
      <c r="X752" t="s">
        <v>736</v>
      </c>
      <c r="Y752">
        <v>4.0999999999999996</v>
      </c>
      <c r="Z752" s="48">
        <f t="shared" si="81"/>
        <v>4.9019607843137081E-3</v>
      </c>
      <c r="AA752" s="5">
        <f>Z752-Y1274</f>
        <v>6.8464131503957401E-4</v>
      </c>
      <c r="AD752" s="1">
        <v>44867</v>
      </c>
      <c r="AE752">
        <v>95.01</v>
      </c>
      <c r="AF752" s="29">
        <f t="shared" si="82"/>
        <v>-2.1624961383997499E-2</v>
      </c>
    </row>
    <row r="753" spans="1:32">
      <c r="A753" s="220">
        <v>44744</v>
      </c>
      <c r="B753" s="222">
        <v>37.54</v>
      </c>
      <c r="C753" s="227">
        <f t="shared" si="77"/>
        <v>-2.0865936358894221E-2</v>
      </c>
      <c r="D753" s="5">
        <f>C753-C1275</f>
        <v>-2.094398192845311E-2</v>
      </c>
      <c r="F753" s="8"/>
      <c r="H753" s="1">
        <v>44775</v>
      </c>
      <c r="I753">
        <v>41.2</v>
      </c>
      <c r="J753" s="227">
        <f t="shared" si="78"/>
        <v>-6.3636363636363602E-2</v>
      </c>
      <c r="K753" s="5">
        <f>J753-J1276</f>
        <v>-6.577231955197356E-2</v>
      </c>
      <c r="M753" s="241">
        <v>44836</v>
      </c>
      <c r="N753">
        <v>4504.08</v>
      </c>
      <c r="O753" s="227">
        <f t="shared" si="79"/>
        <v>1.933626636250052E-2</v>
      </c>
      <c r="P753" s="5">
        <f>O753-O1278</f>
        <v>1.9702023563413693E-2</v>
      </c>
      <c r="Q753" s="8">
        <f t="shared" si="83"/>
        <v>3.8816973249330842E-4</v>
      </c>
      <c r="S753" s="1">
        <v>44836</v>
      </c>
      <c r="T753">
        <v>6.35</v>
      </c>
      <c r="U753" s="29">
        <f t="shared" si="80"/>
        <v>7.8098471986417728E-2</v>
      </c>
      <c r="V753" s="5">
        <f>U753-V1274</f>
        <v>7.6362281210710689E-2</v>
      </c>
      <c r="X753" t="s">
        <v>737</v>
      </c>
      <c r="Y753">
        <v>4.09</v>
      </c>
      <c r="Z753" s="48">
        <f t="shared" si="81"/>
        <v>-2.4390243902439046E-3</v>
      </c>
      <c r="AA753" s="5">
        <f>Z753-Y1274</f>
        <v>-6.6563438595180387E-3</v>
      </c>
      <c r="AD753" s="1">
        <v>44836</v>
      </c>
      <c r="AE753">
        <v>97.81</v>
      </c>
      <c r="AF753" s="29">
        <f t="shared" si="82"/>
        <v>2.947058204399533E-2</v>
      </c>
    </row>
    <row r="754" spans="1:32">
      <c r="A754" s="220">
        <v>44653</v>
      </c>
      <c r="B754" s="222">
        <v>37.049999999999997</v>
      </c>
      <c r="C754" s="227">
        <f t="shared" si="77"/>
        <v>-1.3052743740010753E-2</v>
      </c>
      <c r="D754" s="5">
        <f>C754-C1275</f>
        <v>-1.3130789309569641E-2</v>
      </c>
      <c r="F754" s="8"/>
      <c r="H754" s="1">
        <v>44744</v>
      </c>
      <c r="I754">
        <v>39.1</v>
      </c>
      <c r="J754" s="227">
        <f t="shared" si="78"/>
        <v>-5.0970873786407744E-2</v>
      </c>
      <c r="K754" s="5">
        <f>J754-J1276</f>
        <v>-5.3106829702017702E-2</v>
      </c>
      <c r="M754" s="241">
        <v>44806</v>
      </c>
      <c r="N754">
        <v>4587.18</v>
      </c>
      <c r="O754" s="227">
        <f t="shared" si="79"/>
        <v>1.8449938722225223E-2</v>
      </c>
      <c r="P754" s="5">
        <f>O754-O1278</f>
        <v>1.8815695923138396E-2</v>
      </c>
      <c r="Q754" s="8">
        <f t="shared" si="83"/>
        <v>3.5403041307200685E-4</v>
      </c>
      <c r="S754" s="1">
        <v>44806</v>
      </c>
      <c r="T754">
        <v>5.55</v>
      </c>
      <c r="U754" s="29">
        <f t="shared" si="80"/>
        <v>-0.12598425196850394</v>
      </c>
      <c r="V754" s="5">
        <f>U754-V1274</f>
        <v>-0.12772044274421096</v>
      </c>
      <c r="X754" t="s">
        <v>738</v>
      </c>
      <c r="Y754">
        <v>4.12</v>
      </c>
      <c r="Z754" s="48">
        <f t="shared" si="81"/>
        <v>7.3349633251833524E-3</v>
      </c>
      <c r="AA754" s="5">
        <f>Z754-Y1274</f>
        <v>3.1176438559092183E-3</v>
      </c>
      <c r="AD754" s="1">
        <v>44806</v>
      </c>
      <c r="AE754">
        <v>108.13</v>
      </c>
      <c r="AF754" s="29">
        <f t="shared" si="82"/>
        <v>0.10551068397914309</v>
      </c>
    </row>
    <row r="755" spans="1:32">
      <c r="A755" s="220">
        <v>44622</v>
      </c>
      <c r="B755" s="222">
        <v>34.54</v>
      </c>
      <c r="C755" s="227">
        <f t="shared" si="77"/>
        <v>-6.7746288798920307E-2</v>
      </c>
      <c r="D755" s="5">
        <f>C755-C1275</f>
        <v>-6.7824334368479192E-2</v>
      </c>
      <c r="F755" s="8"/>
      <c r="H755" s="1">
        <v>44653</v>
      </c>
      <c r="I755">
        <v>37.68</v>
      </c>
      <c r="J755" s="227">
        <f t="shared" si="78"/>
        <v>-3.6317135549872148E-2</v>
      </c>
      <c r="K755" s="5">
        <f>J755-J1276</f>
        <v>-3.8453091465482106E-2</v>
      </c>
      <c r="M755" s="241">
        <v>44775</v>
      </c>
      <c r="N755">
        <v>4521.54</v>
      </c>
      <c r="O755" s="227">
        <f t="shared" si="79"/>
        <v>-1.4309445018508171E-2</v>
      </c>
      <c r="P755" s="5">
        <f>O755-O1278</f>
        <v>-1.3943687817595E-2</v>
      </c>
      <c r="Q755" s="8">
        <f t="shared" si="83"/>
        <v>1.9442642995454721E-4</v>
      </c>
      <c r="S755" s="1">
        <v>44775</v>
      </c>
      <c r="T755">
        <v>5.21</v>
      </c>
      <c r="U755" s="29">
        <f t="shared" si="80"/>
        <v>-6.1261261261261191E-2</v>
      </c>
      <c r="V755" s="5">
        <f>U755-V1274</f>
        <v>-6.2997452036968229E-2</v>
      </c>
      <c r="X755" t="s">
        <v>739</v>
      </c>
      <c r="Y755">
        <v>4.17</v>
      </c>
      <c r="Z755" s="48">
        <f t="shared" si="81"/>
        <v>1.2135922330096971E-2</v>
      </c>
      <c r="AA755" s="5">
        <f>Z755-Y1274</f>
        <v>7.9186028608228369E-3</v>
      </c>
      <c r="AD755" s="1">
        <v>44775</v>
      </c>
      <c r="AE755">
        <v>100.51</v>
      </c>
      <c r="AF755" s="29">
        <f t="shared" si="82"/>
        <v>-7.0470729677240218E-2</v>
      </c>
    </row>
    <row r="756" spans="1:32">
      <c r="A756" s="220">
        <v>44594</v>
      </c>
      <c r="B756" s="222">
        <v>37.17</v>
      </c>
      <c r="C756" s="227">
        <f t="shared" si="77"/>
        <v>7.6143601621308621E-2</v>
      </c>
      <c r="D756" s="5">
        <f>C756-C1275</f>
        <v>7.6065556051749736E-2</v>
      </c>
      <c r="F756" s="8"/>
      <c r="H756" s="1">
        <v>44622</v>
      </c>
      <c r="I756">
        <v>36.36</v>
      </c>
      <c r="J756" s="227">
        <f t="shared" si="78"/>
        <v>-3.5031847133757954E-2</v>
      </c>
      <c r="K756" s="5">
        <f>J756-J1276</f>
        <v>-3.7167803049367912E-2</v>
      </c>
      <c r="M756" s="241">
        <v>44744</v>
      </c>
      <c r="N756">
        <v>4483.87</v>
      </c>
      <c r="O756" s="227">
        <f t="shared" si="79"/>
        <v>-8.3312322792676863E-3</v>
      </c>
      <c r="P756" s="5">
        <f>O756-O1278</f>
        <v>-7.9654750783545152E-3</v>
      </c>
      <c r="Q756" s="8">
        <f t="shared" si="83"/>
        <v>6.3448793223886877E-5</v>
      </c>
      <c r="S756" s="1">
        <v>44744</v>
      </c>
      <c r="T756">
        <v>5.34</v>
      </c>
      <c r="U756" s="29">
        <f t="shared" si="80"/>
        <v>2.4952015355086399E-2</v>
      </c>
      <c r="V756" s="5">
        <f>U756-V1274</f>
        <v>2.321582457937936E-2</v>
      </c>
      <c r="X756" t="s">
        <v>740</v>
      </c>
      <c r="Y756">
        <v>4.25</v>
      </c>
      <c r="Z756" s="48">
        <f t="shared" si="81"/>
        <v>1.9184652278177561E-2</v>
      </c>
      <c r="AA756" s="5">
        <f>Z756-Y1274</f>
        <v>1.4967332808903427E-2</v>
      </c>
      <c r="AD756" s="1">
        <v>44744</v>
      </c>
      <c r="AE756">
        <v>97.91</v>
      </c>
      <c r="AF756" s="29">
        <f t="shared" si="82"/>
        <v>-2.5868072828574395E-2</v>
      </c>
    </row>
    <row r="757" spans="1:32">
      <c r="A757" s="220">
        <v>44563</v>
      </c>
      <c r="B757" s="222">
        <v>38.61</v>
      </c>
      <c r="C757" s="227">
        <f t="shared" si="77"/>
        <v>3.874092009685226E-2</v>
      </c>
      <c r="D757" s="5">
        <f>C757-C1275</f>
        <v>3.8662874527293369E-2</v>
      </c>
      <c r="F757" s="8"/>
      <c r="H757" s="1">
        <v>44594</v>
      </c>
      <c r="I757">
        <v>38.44</v>
      </c>
      <c r="J757" s="227">
        <f t="shared" si="78"/>
        <v>5.7205720572057084E-2</v>
      </c>
      <c r="K757" s="5">
        <f>J757-J1276</f>
        <v>5.5069764656447126E-2</v>
      </c>
      <c r="M757" s="241">
        <v>44653</v>
      </c>
      <c r="N757">
        <v>4500.53</v>
      </c>
      <c r="O757" s="227">
        <f t="shared" si="79"/>
        <v>3.7155403702604506E-3</v>
      </c>
      <c r="P757" s="5">
        <f>O757-O1278</f>
        <v>4.0812975711736225E-3</v>
      </c>
      <c r="Q757" s="8">
        <f t="shared" si="83"/>
        <v>1.6656989864467711E-5</v>
      </c>
      <c r="S757" s="1">
        <v>44653</v>
      </c>
      <c r="T757">
        <v>5.32</v>
      </c>
      <c r="U757" s="29">
        <f t="shared" si="80"/>
        <v>-3.7453183520598232E-3</v>
      </c>
      <c r="V757" s="5">
        <f>U757-V1274</f>
        <v>-5.4815091277668612E-3</v>
      </c>
      <c r="X757" t="s">
        <v>741</v>
      </c>
      <c r="Y757">
        <v>4.03</v>
      </c>
      <c r="Z757" s="48">
        <f t="shared" si="81"/>
        <v>-5.1764705882352935E-2</v>
      </c>
      <c r="AA757" s="5">
        <f>Z757-Y1274</f>
        <v>-5.5982025351627066E-2</v>
      </c>
      <c r="AD757" s="1">
        <v>44653</v>
      </c>
      <c r="AE757">
        <v>98.49</v>
      </c>
      <c r="AF757" s="29">
        <f t="shared" si="82"/>
        <v>5.9238075783882849E-3</v>
      </c>
    </row>
    <row r="758" spans="1:32">
      <c r="A758" s="3" t="s">
        <v>746</v>
      </c>
      <c r="B758" s="222">
        <v>37.4</v>
      </c>
      <c r="C758" s="227">
        <f t="shared" si="77"/>
        <v>-3.1339031339031376E-2</v>
      </c>
      <c r="D758" s="5">
        <f>C758-C1275</f>
        <v>-3.1417076908590268E-2</v>
      </c>
      <c r="F758" s="8"/>
      <c r="H758" s="1">
        <v>44563</v>
      </c>
      <c r="I758">
        <v>39.42</v>
      </c>
      <c r="J758" s="227">
        <f t="shared" si="78"/>
        <v>2.5494276795005266E-2</v>
      </c>
      <c r="K758" s="5">
        <f>J758-J1276</f>
        <v>2.3358320879395308E-2</v>
      </c>
      <c r="M758" s="241">
        <v>44622</v>
      </c>
      <c r="N758">
        <v>4477.4399999999996</v>
      </c>
      <c r="O758" s="227">
        <f t="shared" si="79"/>
        <v>-5.1305068514153618E-3</v>
      </c>
      <c r="P758" s="5">
        <f>O758-O1278</f>
        <v>-4.7647496505021899E-3</v>
      </c>
      <c r="Q758" s="8">
        <f t="shared" si="83"/>
        <v>2.2702839231960741E-5</v>
      </c>
      <c r="S758" s="1">
        <v>44622</v>
      </c>
      <c r="T758">
        <v>4.9800000000000004</v>
      </c>
      <c r="U758" s="29">
        <f t="shared" si="80"/>
        <v>-6.390977443609025E-2</v>
      </c>
      <c r="V758" s="5">
        <f>U758-V1274</f>
        <v>-6.5645965211797289E-2</v>
      </c>
      <c r="X758" t="s">
        <v>742</v>
      </c>
      <c r="Y758">
        <v>4.26</v>
      </c>
      <c r="Z758" s="48">
        <f t="shared" si="81"/>
        <v>5.7071960297766733E-2</v>
      </c>
      <c r="AA758" s="5">
        <f>Z758-Y1274</f>
        <v>5.2854640828492602E-2</v>
      </c>
      <c r="AD758" s="1">
        <v>44622</v>
      </c>
      <c r="AE758">
        <v>92.29</v>
      </c>
      <c r="AF758" s="29">
        <f t="shared" si="82"/>
        <v>-6.2950553355670569E-2</v>
      </c>
    </row>
    <row r="759" spans="1:32">
      <c r="A759" s="3" t="s">
        <v>747</v>
      </c>
      <c r="B759" s="222">
        <v>35.21</v>
      </c>
      <c r="C759" s="227">
        <f t="shared" si="77"/>
        <v>-5.8556149732620244E-2</v>
      </c>
      <c r="D759" s="5">
        <f>C759-C1275</f>
        <v>-5.8634195302179136E-2</v>
      </c>
      <c r="E759" s="1"/>
      <c r="F759" s="8"/>
      <c r="H759" t="s">
        <v>746</v>
      </c>
      <c r="I759">
        <v>38.520000000000003</v>
      </c>
      <c r="J759" s="227">
        <f t="shared" si="78"/>
        <v>-2.2831050228310446E-2</v>
      </c>
      <c r="K759" s="5">
        <f>J759-J1276</f>
        <v>-2.4967006143920403E-2</v>
      </c>
      <c r="M759" s="241">
        <v>44594</v>
      </c>
      <c r="N759">
        <v>4589.38</v>
      </c>
      <c r="O759" s="227">
        <f t="shared" si="79"/>
        <v>2.5000893367638666E-2</v>
      </c>
      <c r="P759" s="5">
        <f>O759-O1278</f>
        <v>2.5366650568551839E-2</v>
      </c>
      <c r="Q759" s="8">
        <f t="shared" si="83"/>
        <v>6.4346696106701133E-4</v>
      </c>
      <c r="S759" s="1">
        <v>44594</v>
      </c>
      <c r="T759">
        <v>5.48</v>
      </c>
      <c r="U759" s="29">
        <f t="shared" si="80"/>
        <v>0.10040160642570273</v>
      </c>
      <c r="V759" s="5">
        <f>U759-V1274</f>
        <v>9.8665415649995689E-2</v>
      </c>
      <c r="X759" t="s">
        <v>743</v>
      </c>
      <c r="Y759">
        <v>4.46</v>
      </c>
      <c r="Z759" s="48">
        <f t="shared" si="81"/>
        <v>4.6948356807511749E-2</v>
      </c>
      <c r="AA759" s="5">
        <f>Z759-Y1274</f>
        <v>4.2731037338237618E-2</v>
      </c>
      <c r="AD759" s="1">
        <v>44594</v>
      </c>
      <c r="AE759">
        <v>104.17</v>
      </c>
      <c r="AF759" s="29">
        <f t="shared" si="82"/>
        <v>0.12872467222884376</v>
      </c>
    </row>
    <row r="760" spans="1:32">
      <c r="A760" s="3" t="s">
        <v>748</v>
      </c>
      <c r="B760" s="222">
        <v>34.090000000000003</v>
      </c>
      <c r="C760" s="227">
        <f t="shared" si="77"/>
        <v>-3.1809145129224614E-2</v>
      </c>
      <c r="D760" s="5">
        <f>C760-C1275</f>
        <v>-3.1887190698783506E-2</v>
      </c>
      <c r="E760" s="1"/>
      <c r="F760" s="8"/>
      <c r="H760" t="s">
        <v>747</v>
      </c>
      <c r="I760">
        <v>35.75</v>
      </c>
      <c r="J760" s="227">
        <f t="shared" si="78"/>
        <v>-7.1910695742471553E-2</v>
      </c>
      <c r="K760" s="5">
        <f>J760-J1276</f>
        <v>-7.4046651658081511E-2</v>
      </c>
      <c r="M760" s="241">
        <v>44563</v>
      </c>
      <c r="N760">
        <v>4546.54</v>
      </c>
      <c r="O760" s="227">
        <f t="shared" si="79"/>
        <v>-9.3345942153406636E-3</v>
      </c>
      <c r="P760" s="5">
        <f>O760-O1278</f>
        <v>-8.9688370144274925E-3</v>
      </c>
      <c r="Q760" s="8">
        <f t="shared" si="83"/>
        <v>8.0440037391364658E-5</v>
      </c>
      <c r="S760" s="1">
        <v>44563</v>
      </c>
      <c r="T760">
        <v>5.7</v>
      </c>
      <c r="U760" s="29">
        <f t="shared" si="80"/>
        <v>4.014598540145986E-2</v>
      </c>
      <c r="V760" s="5">
        <f>U760-V1274</f>
        <v>3.8409794625752822E-2</v>
      </c>
      <c r="X760" t="s">
        <v>744</v>
      </c>
      <c r="Y760">
        <v>4.38</v>
      </c>
      <c r="Z760" s="48">
        <f t="shared" si="81"/>
        <v>-1.7937219730941756E-2</v>
      </c>
      <c r="AA760" s="5">
        <f>Z760-Y1274</f>
        <v>-2.215453920021589E-2</v>
      </c>
      <c r="AD760" s="1">
        <v>44563</v>
      </c>
      <c r="AE760">
        <v>114.62</v>
      </c>
      <c r="AF760" s="29">
        <f t="shared" si="82"/>
        <v>0.10031678986272441</v>
      </c>
    </row>
    <row r="761" spans="1:32">
      <c r="A761" s="3" t="s">
        <v>749</v>
      </c>
      <c r="B761" s="222">
        <v>34.799999999999997</v>
      </c>
      <c r="C761" s="227">
        <f t="shared" si="77"/>
        <v>2.0827222059254691E-2</v>
      </c>
      <c r="D761" s="5">
        <f>C761-C1275</f>
        <v>2.0749176489695802E-2</v>
      </c>
      <c r="E761" s="1"/>
      <c r="F761" s="8"/>
      <c r="H761" t="s">
        <v>748</v>
      </c>
      <c r="I761">
        <v>34.93</v>
      </c>
      <c r="J761" s="227">
        <f t="shared" si="78"/>
        <v>-2.2937062937062991E-2</v>
      </c>
      <c r="K761" s="5">
        <f>J761-J1276</f>
        <v>-2.5073018852672949E-2</v>
      </c>
      <c r="M761" s="240" t="s">
        <v>746</v>
      </c>
      <c r="N761">
        <v>4515.55</v>
      </c>
      <c r="O761" s="227">
        <f t="shared" si="79"/>
        <v>-6.8161722980552009E-3</v>
      </c>
      <c r="P761" s="5">
        <f>O761-O1278</f>
        <v>-6.4504150971420289E-3</v>
      </c>
      <c r="Q761" s="8">
        <f t="shared" si="83"/>
        <v>4.1607854925437813E-5</v>
      </c>
      <c r="S761" t="s">
        <v>746</v>
      </c>
      <c r="T761">
        <v>5.66</v>
      </c>
      <c r="U761" s="29">
        <f t="shared" si="80"/>
        <v>-7.0175438596491446E-3</v>
      </c>
      <c r="V761" s="5">
        <f>U761-V1274</f>
        <v>-8.7537346353561835E-3</v>
      </c>
      <c r="X761" t="s">
        <v>745</v>
      </c>
      <c r="Y761">
        <v>4.28</v>
      </c>
      <c r="Z761" s="48">
        <f t="shared" si="81"/>
        <v>-2.2831050228310446E-2</v>
      </c>
      <c r="AA761" s="5">
        <f>Z761-Y1274</f>
        <v>-2.704836969758458E-2</v>
      </c>
      <c r="AD761" t="s">
        <v>746</v>
      </c>
      <c r="AE761">
        <v>113.49</v>
      </c>
      <c r="AF761" s="29">
        <f t="shared" si="82"/>
        <v>-9.8586634095272352E-3</v>
      </c>
    </row>
    <row r="762" spans="1:32">
      <c r="A762" s="3" t="s">
        <v>750</v>
      </c>
      <c r="B762" s="222">
        <v>34.82</v>
      </c>
      <c r="C762" s="227">
        <f t="shared" si="77"/>
        <v>5.7471264367814356E-4</v>
      </c>
      <c r="D762" s="5">
        <f>C762-C1275</f>
        <v>4.9666707411925436E-4</v>
      </c>
      <c r="E762" s="1"/>
      <c r="F762" s="8"/>
      <c r="H762" t="s">
        <v>749</v>
      </c>
      <c r="I762">
        <v>35.68</v>
      </c>
      <c r="J762" s="227">
        <f t="shared" si="78"/>
        <v>2.1471514457486407E-2</v>
      </c>
      <c r="K762" s="5">
        <f>J762-J1276</f>
        <v>1.9335558541876449E-2</v>
      </c>
      <c r="M762" s="240" t="s">
        <v>747</v>
      </c>
      <c r="N762">
        <v>4431.8500000000004</v>
      </c>
      <c r="O762" s="227">
        <f t="shared" si="79"/>
        <v>-1.8535948001904501E-2</v>
      </c>
      <c r="P762" s="5">
        <f>O762-O1278</f>
        <v>-1.8170190800991328E-2</v>
      </c>
      <c r="Q762" s="8">
        <f t="shared" si="83"/>
        <v>3.3015583374442989E-4</v>
      </c>
      <c r="S762" t="s">
        <v>747</v>
      </c>
      <c r="T762">
        <v>5.51</v>
      </c>
      <c r="U762" s="29">
        <f t="shared" si="80"/>
        <v>-2.6501766784452374E-2</v>
      </c>
      <c r="V762" s="5">
        <f>U762-V1274</f>
        <v>-2.8237957560159413E-2</v>
      </c>
      <c r="X762" s="1">
        <v>44867</v>
      </c>
      <c r="Y762">
        <v>3.99</v>
      </c>
      <c r="Z762" s="48">
        <f t="shared" si="81"/>
        <v>-6.7757009345794428E-2</v>
      </c>
      <c r="AA762" s="5">
        <f>Z762-Y1274</f>
        <v>-7.1974328815068558E-2</v>
      </c>
      <c r="AD762" t="s">
        <v>747</v>
      </c>
      <c r="AE762">
        <v>103.67</v>
      </c>
      <c r="AF762" s="29">
        <f t="shared" si="82"/>
        <v>-8.6527447352189535E-2</v>
      </c>
    </row>
    <row r="763" spans="1:32">
      <c r="A763" s="3" t="s">
        <v>751</v>
      </c>
      <c r="B763" s="222">
        <v>36.28</v>
      </c>
      <c r="C763" s="227">
        <f t="shared" si="77"/>
        <v>4.1929925330270068E-2</v>
      </c>
      <c r="D763" s="5">
        <f>C763-C1275</f>
        <v>4.1851879760711176E-2</v>
      </c>
      <c r="E763" s="1"/>
      <c r="F763" s="8"/>
      <c r="H763" t="s">
        <v>750</v>
      </c>
      <c r="I763">
        <v>36.22</v>
      </c>
      <c r="J763" s="227">
        <f t="shared" si="78"/>
        <v>1.5134529147982079E-2</v>
      </c>
      <c r="K763" s="5">
        <f>J763-J1276</f>
        <v>1.2998573232372121E-2</v>
      </c>
      <c r="M763" s="240" t="s">
        <v>748</v>
      </c>
      <c r="N763">
        <v>4326.51</v>
      </c>
      <c r="O763" s="227">
        <f t="shared" si="79"/>
        <v>-2.3768854992835986E-2</v>
      </c>
      <c r="P763" s="5">
        <f>O763-O1278</f>
        <v>-2.3403097791922813E-2</v>
      </c>
      <c r="Q763" s="8">
        <f t="shared" si="83"/>
        <v>5.4770498625830244E-4</v>
      </c>
      <c r="S763" t="s">
        <v>748</v>
      </c>
      <c r="T763">
        <v>5.71</v>
      </c>
      <c r="U763" s="29">
        <f t="shared" si="80"/>
        <v>3.6297640653357499E-2</v>
      </c>
      <c r="V763" s="5">
        <f>U763-V1274</f>
        <v>3.456144987765046E-2</v>
      </c>
      <c r="X763" s="1">
        <v>44836</v>
      </c>
      <c r="Y763">
        <v>4.3099999999999996</v>
      </c>
      <c r="Z763" s="48">
        <f t="shared" si="81"/>
        <v>8.0200501253132606E-2</v>
      </c>
      <c r="AA763" s="5">
        <f>Z763-Y1274</f>
        <v>7.5983181783858475E-2</v>
      </c>
      <c r="AD763" t="s">
        <v>748</v>
      </c>
      <c r="AE763">
        <v>96.09</v>
      </c>
      <c r="AF763" s="29">
        <f t="shared" si="82"/>
        <v>-7.3116620044371583E-2</v>
      </c>
    </row>
    <row r="764" spans="1:32">
      <c r="A764" s="3" t="s">
        <v>752</v>
      </c>
      <c r="B764" s="222">
        <v>35.94</v>
      </c>
      <c r="C764" s="227">
        <f t="shared" si="77"/>
        <v>-9.3715545755237439E-3</v>
      </c>
      <c r="D764" s="5">
        <f>C764-C1275</f>
        <v>-9.4496001450826324E-3</v>
      </c>
      <c r="E764" s="1"/>
      <c r="F764" s="8"/>
      <c r="H764" t="s">
        <v>751</v>
      </c>
      <c r="I764">
        <v>37.130000000000003</v>
      </c>
      <c r="J764" s="227">
        <f t="shared" si="78"/>
        <v>2.512424075096642E-2</v>
      </c>
      <c r="K764" s="5">
        <f>J764-J1276</f>
        <v>2.2988284835356462E-2</v>
      </c>
      <c r="M764" s="240" t="s">
        <v>749</v>
      </c>
      <c r="N764">
        <v>4349.93</v>
      </c>
      <c r="O764" s="227">
        <f t="shared" si="79"/>
        <v>5.4131389965583754E-3</v>
      </c>
      <c r="P764" s="5">
        <f>O764-O1278</f>
        <v>5.7788961974715473E-3</v>
      </c>
      <c r="Q764" s="8">
        <f t="shared" si="83"/>
        <v>3.3395641261151108E-5</v>
      </c>
      <c r="S764" t="s">
        <v>749</v>
      </c>
      <c r="T764">
        <v>5.94</v>
      </c>
      <c r="U764" s="29">
        <f t="shared" si="80"/>
        <v>4.028021015761829E-2</v>
      </c>
      <c r="V764" s="5">
        <f>U764-V1274</f>
        <v>3.8544019381911251E-2</v>
      </c>
      <c r="X764" s="1">
        <v>44806</v>
      </c>
      <c r="Y764">
        <v>3.96</v>
      </c>
      <c r="Z764" s="48">
        <f t="shared" si="81"/>
        <v>-8.1206496519721449E-2</v>
      </c>
      <c r="AA764" s="5">
        <f>Z764-Y1274</f>
        <v>-8.542381598899558E-2</v>
      </c>
      <c r="AD764" t="s">
        <v>749</v>
      </c>
      <c r="AE764">
        <v>101.47</v>
      </c>
      <c r="AF764" s="29">
        <f t="shared" si="82"/>
        <v>5.5989176813403985E-2</v>
      </c>
    </row>
    <row r="765" spans="1:32">
      <c r="A765" s="3" t="s">
        <v>753</v>
      </c>
      <c r="B765" s="222">
        <v>37.82</v>
      </c>
      <c r="C765" s="227">
        <f t="shared" si="77"/>
        <v>5.2309404563160911E-2</v>
      </c>
      <c r="D765" s="5">
        <f>C765-C1275</f>
        <v>5.2231358993602019E-2</v>
      </c>
      <c r="E765" s="1"/>
      <c r="F765" s="8"/>
      <c r="H765" t="s">
        <v>752</v>
      </c>
      <c r="I765">
        <v>36.799999999999997</v>
      </c>
      <c r="J765" s="227">
        <f t="shared" si="78"/>
        <v>-8.8876918933478155E-3</v>
      </c>
      <c r="K765" s="5">
        <f>J765-J1276</f>
        <v>-1.1023647808957773E-2</v>
      </c>
      <c r="M765" s="240" t="s">
        <v>750</v>
      </c>
      <c r="N765">
        <v>4356.45</v>
      </c>
      <c r="O765" s="227">
        <f t="shared" si="79"/>
        <v>1.498874694535246E-3</v>
      </c>
      <c r="P765" s="5">
        <f>O765-O1278</f>
        <v>1.8646318954484175E-3</v>
      </c>
      <c r="Q765" s="8">
        <f t="shared" si="83"/>
        <v>3.4768521055235582E-6</v>
      </c>
      <c r="S765" t="s">
        <v>750</v>
      </c>
      <c r="T765">
        <v>5.82</v>
      </c>
      <c r="U765" s="29">
        <f t="shared" si="80"/>
        <v>-2.0202020202020221E-2</v>
      </c>
      <c r="V765" s="5">
        <f>U765-V1274</f>
        <v>-2.193821097772726E-2</v>
      </c>
      <c r="X765" s="1">
        <v>44775</v>
      </c>
      <c r="Y765">
        <v>3.89</v>
      </c>
      <c r="Z765" s="48">
        <f t="shared" si="81"/>
        <v>-1.7676767676767624E-2</v>
      </c>
      <c r="AA765" s="5">
        <f>Z765-Y1274</f>
        <v>-2.1894087146041758E-2</v>
      </c>
      <c r="AD765" t="s">
        <v>750</v>
      </c>
      <c r="AE765">
        <v>109.39</v>
      </c>
      <c r="AF765" s="29">
        <f t="shared" si="82"/>
        <v>7.8052626392037139E-2</v>
      </c>
    </row>
    <row r="766" spans="1:32">
      <c r="A766" s="3" t="s">
        <v>754</v>
      </c>
      <c r="B766" s="222">
        <v>37.86</v>
      </c>
      <c r="C766" s="227">
        <f t="shared" si="77"/>
        <v>1.0576414595451222E-3</v>
      </c>
      <c r="D766" s="5">
        <f>C766-C1275</f>
        <v>9.7959588998623292E-4</v>
      </c>
      <c r="E766" s="1"/>
      <c r="F766" s="8"/>
      <c r="H766" t="s">
        <v>753</v>
      </c>
      <c r="I766">
        <v>37.6</v>
      </c>
      <c r="J766" s="227">
        <f t="shared" si="78"/>
        <v>2.1739130434782705E-2</v>
      </c>
      <c r="K766" s="5">
        <f>J766-J1276</f>
        <v>1.9603174519172747E-2</v>
      </c>
      <c r="M766" s="240" t="s">
        <v>751</v>
      </c>
      <c r="N766">
        <v>4410.13</v>
      </c>
      <c r="O766" s="227">
        <f t="shared" si="79"/>
        <v>1.232195939354308E-2</v>
      </c>
      <c r="P766" s="5">
        <f>O766-O1278</f>
        <v>1.2687716594456252E-2</v>
      </c>
      <c r="Q766" s="8">
        <f t="shared" si="83"/>
        <v>1.6097815238124054E-4</v>
      </c>
      <c r="S766" t="s">
        <v>751</v>
      </c>
      <c r="T766">
        <v>5.56</v>
      </c>
      <c r="U766" s="29">
        <f t="shared" si="80"/>
        <v>-4.4673539518900407E-2</v>
      </c>
      <c r="V766" s="5">
        <f>U766-V1274</f>
        <v>-4.6409730294607446E-2</v>
      </c>
      <c r="X766" s="1">
        <v>44744</v>
      </c>
      <c r="Y766">
        <v>3.55</v>
      </c>
      <c r="Z766" s="48">
        <f t="shared" si="81"/>
        <v>-8.7403598971722452E-2</v>
      </c>
      <c r="AA766" s="5">
        <f>Z766-Y1274</f>
        <v>-9.1620918440996582E-2</v>
      </c>
      <c r="AD766" t="s">
        <v>751</v>
      </c>
      <c r="AE766">
        <v>117.35</v>
      </c>
      <c r="AF766" s="29">
        <f t="shared" si="82"/>
        <v>7.2767163360453413E-2</v>
      </c>
    </row>
    <row r="767" spans="1:32">
      <c r="A767" s="3" t="s">
        <v>755</v>
      </c>
      <c r="B767" s="222">
        <v>38.409999999999997</v>
      </c>
      <c r="C767" s="227">
        <f t="shared" si="77"/>
        <v>1.4527205493924944E-2</v>
      </c>
      <c r="D767" s="5">
        <f>C767-C1275</f>
        <v>1.4449159924366056E-2</v>
      </c>
      <c r="F767" s="8"/>
      <c r="H767" t="s">
        <v>754</v>
      </c>
      <c r="I767">
        <v>36.909999999999997</v>
      </c>
      <c r="J767" s="227">
        <f t="shared" si="78"/>
        <v>-1.8351063829787351E-2</v>
      </c>
      <c r="K767" s="5">
        <f>J767-J1276</f>
        <v>-2.0487019745397309E-2</v>
      </c>
      <c r="M767" s="240" t="s">
        <v>752</v>
      </c>
      <c r="N767">
        <v>4397.9399999999996</v>
      </c>
      <c r="O767" s="227">
        <f t="shared" si="79"/>
        <v>-2.764090854464718E-3</v>
      </c>
      <c r="P767" s="5">
        <f>O767-O1278</f>
        <v>-2.3983336535515465E-3</v>
      </c>
      <c r="Q767" s="8">
        <f t="shared" si="83"/>
        <v>5.7520043137579099E-6</v>
      </c>
      <c r="S767" t="s">
        <v>752</v>
      </c>
      <c r="T767">
        <v>5.6</v>
      </c>
      <c r="U767" s="29">
        <f t="shared" si="80"/>
        <v>7.194244604316502E-3</v>
      </c>
      <c r="V767" s="5">
        <f>U767-V1274</f>
        <v>5.4580538286094641E-3</v>
      </c>
      <c r="X767" s="1">
        <v>44653</v>
      </c>
      <c r="Y767">
        <v>3.42</v>
      </c>
      <c r="Z767" s="48">
        <f t="shared" si="81"/>
        <v>-3.6619718309859106E-2</v>
      </c>
      <c r="AA767" s="5">
        <f>Z767-Y1274</f>
        <v>-4.0837037779133237E-2</v>
      </c>
      <c r="AD767" t="s">
        <v>752</v>
      </c>
      <c r="AE767">
        <v>116.95</v>
      </c>
      <c r="AF767" s="29">
        <f t="shared" si="82"/>
        <v>-3.408606731998276E-3</v>
      </c>
    </row>
    <row r="768" spans="1:32">
      <c r="A768" s="3" t="s">
        <v>756</v>
      </c>
      <c r="B768" s="222">
        <v>41.51</v>
      </c>
      <c r="C768" s="227">
        <f t="shared" si="77"/>
        <v>8.0708148919552247E-2</v>
      </c>
      <c r="D768" s="5">
        <f>C768-C1275</f>
        <v>8.0630103349993362E-2</v>
      </c>
      <c r="F768" s="8"/>
      <c r="H768" t="s">
        <v>755</v>
      </c>
      <c r="I768">
        <v>38.43</v>
      </c>
      <c r="J768" s="227">
        <f t="shared" si="78"/>
        <v>4.1181251693308107E-2</v>
      </c>
      <c r="K768" s="5">
        <f>J768-J1276</f>
        <v>3.904529577769815E-2</v>
      </c>
      <c r="M768" s="240" t="s">
        <v>753</v>
      </c>
      <c r="N768">
        <v>4482.7299999999996</v>
      </c>
      <c r="O768" s="227">
        <f t="shared" si="79"/>
        <v>1.9279480847851582E-2</v>
      </c>
      <c r="P768" s="5">
        <f>O768-O1278</f>
        <v>1.9645238048764755E-2</v>
      </c>
      <c r="Q768" s="8">
        <f t="shared" si="83"/>
        <v>3.8593537799263444E-4</v>
      </c>
      <c r="S768" t="s">
        <v>753</v>
      </c>
      <c r="T768">
        <v>5.94</v>
      </c>
      <c r="U768" s="29">
        <f t="shared" si="80"/>
        <v>6.0714285714285943E-2</v>
      </c>
      <c r="V768" s="5">
        <f>U768-V1274</f>
        <v>5.8978094938578904E-2</v>
      </c>
      <c r="X768" s="1">
        <v>44622</v>
      </c>
      <c r="Y768">
        <v>3.56</v>
      </c>
      <c r="Z768" s="48">
        <f t="shared" si="81"/>
        <v>4.0935672514619936E-2</v>
      </c>
      <c r="AA768" s="5">
        <f>Z768-Y1274</f>
        <v>3.6718353045345806E-2</v>
      </c>
      <c r="AD768" t="s">
        <v>753</v>
      </c>
      <c r="AE768">
        <v>126.78</v>
      </c>
      <c r="AF768" s="29">
        <f t="shared" si="82"/>
        <v>8.4053014108593338E-2</v>
      </c>
    </row>
    <row r="769" spans="1:32">
      <c r="A769" s="3" t="s">
        <v>757</v>
      </c>
      <c r="B769" s="222">
        <v>42.87</v>
      </c>
      <c r="C769" s="227">
        <f t="shared" si="77"/>
        <v>3.276318959286928E-2</v>
      </c>
      <c r="D769" s="5">
        <f>C769-C1275</f>
        <v>3.2685144023310388E-2</v>
      </c>
      <c r="F769" s="8"/>
      <c r="H769" t="s">
        <v>756</v>
      </c>
      <c r="I769">
        <v>41.26</v>
      </c>
      <c r="J769" s="227">
        <f t="shared" si="78"/>
        <v>7.364038511579496E-2</v>
      </c>
      <c r="K769" s="5">
        <f>J769-J1276</f>
        <v>7.1504429200185002E-2</v>
      </c>
      <c r="M769" s="240" t="s">
        <v>754</v>
      </c>
      <c r="N769">
        <v>4532.76</v>
      </c>
      <c r="O769" s="227">
        <f t="shared" si="79"/>
        <v>1.1160609717739023E-2</v>
      </c>
      <c r="P769" s="5">
        <f>O769-O1278</f>
        <v>1.1526366918652194E-2</v>
      </c>
      <c r="Q769" s="8">
        <f t="shared" si="83"/>
        <v>1.3285713434339966E-4</v>
      </c>
      <c r="S769" t="s">
        <v>754</v>
      </c>
      <c r="T769">
        <v>5.65</v>
      </c>
      <c r="U769" s="29">
        <f t="shared" si="80"/>
        <v>-4.8821548821548877E-2</v>
      </c>
      <c r="V769" s="5">
        <f>U769-V1274</f>
        <v>-5.0557739597255916E-2</v>
      </c>
      <c r="X769" s="1">
        <v>44594</v>
      </c>
      <c r="Y769">
        <v>3.66</v>
      </c>
      <c r="Z769" s="48">
        <f t="shared" si="81"/>
        <v>2.8089887640449396E-2</v>
      </c>
      <c r="AA769" s="5">
        <f>Z769-Y1274</f>
        <v>2.3872568171175262E-2</v>
      </c>
      <c r="AD769" t="s">
        <v>754</v>
      </c>
      <c r="AE769">
        <v>131.76</v>
      </c>
      <c r="AF769" s="29">
        <f t="shared" si="82"/>
        <v>3.9280643634642676E-2</v>
      </c>
    </row>
    <row r="770" spans="1:32">
      <c r="A770" s="220">
        <v>44896</v>
      </c>
      <c r="B770" s="222">
        <v>43.04</v>
      </c>
      <c r="C770" s="227">
        <f t="shared" si="77"/>
        <v>3.9654770235595382E-3</v>
      </c>
      <c r="D770" s="5">
        <f>C770-C1275</f>
        <v>3.8874314540006489E-3</v>
      </c>
      <c r="F770" s="8"/>
      <c r="H770" t="s">
        <v>757</v>
      </c>
      <c r="I770">
        <v>42.6</v>
      </c>
      <c r="J770" s="227">
        <f t="shared" si="78"/>
        <v>3.2476975278720399E-2</v>
      </c>
      <c r="K770" s="5">
        <f>J770-J1276</f>
        <v>3.0341019363110441E-2</v>
      </c>
      <c r="M770" s="240" t="s">
        <v>755</v>
      </c>
      <c r="N770">
        <v>4577.1099999999997</v>
      </c>
      <c r="O770" s="227">
        <f t="shared" si="79"/>
        <v>9.7843256647163201E-3</v>
      </c>
      <c r="P770" s="5">
        <f>O770-O1278</f>
        <v>1.0150082865629491E-2</v>
      </c>
      <c r="Q770" s="8">
        <f t="shared" si="83"/>
        <v>1.0302418217914538E-4</v>
      </c>
      <c r="S770" t="s">
        <v>755</v>
      </c>
      <c r="T770">
        <v>5.54</v>
      </c>
      <c r="U770" s="29">
        <f t="shared" si="80"/>
        <v>-1.9469026548672663E-2</v>
      </c>
      <c r="V770" s="5">
        <f>U770-V1274</f>
        <v>-2.1205217324379702E-2</v>
      </c>
      <c r="X770" s="1">
        <v>44563</v>
      </c>
      <c r="Y770">
        <v>3.61</v>
      </c>
      <c r="Z770" s="48">
        <f t="shared" si="81"/>
        <v>-1.3661202185792476E-2</v>
      </c>
      <c r="AA770" s="5">
        <f>Z770-Y1274</f>
        <v>-1.787852165506661E-2</v>
      </c>
      <c r="AD770" t="s">
        <v>755</v>
      </c>
      <c r="AE770">
        <v>128.58000000000001</v>
      </c>
      <c r="AF770" s="29">
        <f t="shared" si="82"/>
        <v>-2.4134790528232974E-2</v>
      </c>
    </row>
    <row r="771" spans="1:32">
      <c r="A771" s="220">
        <v>44866</v>
      </c>
      <c r="B771" s="222">
        <v>43.62</v>
      </c>
      <c r="C771" s="227">
        <f t="shared" si="77"/>
        <v>1.3475836431226629E-2</v>
      </c>
      <c r="D771" s="5">
        <f>C771-C1275</f>
        <v>1.339779086166774E-2</v>
      </c>
      <c r="F771" s="8"/>
      <c r="H771" s="1">
        <v>44896</v>
      </c>
      <c r="I771">
        <v>42.38</v>
      </c>
      <c r="J771" s="227">
        <f t="shared" si="78"/>
        <v>-5.1643192488262102E-3</v>
      </c>
      <c r="K771" s="5">
        <f>J771-J1276</f>
        <v>-7.300275164436168E-3</v>
      </c>
      <c r="M771" s="240" t="s">
        <v>756</v>
      </c>
      <c r="N771">
        <v>4662.8500000000004</v>
      </c>
      <c r="O771" s="227">
        <f t="shared" si="79"/>
        <v>1.8732344208463481E-2</v>
      </c>
      <c r="P771" s="5">
        <f>O771-O1278</f>
        <v>1.9098101409376653E-2</v>
      </c>
      <c r="Q771" s="8">
        <f t="shared" si="83"/>
        <v>3.6473747744283452E-4</v>
      </c>
      <c r="S771" t="s">
        <v>756</v>
      </c>
      <c r="T771">
        <v>6.04</v>
      </c>
      <c r="U771" s="29">
        <f t="shared" si="80"/>
        <v>9.0252707581227387E-2</v>
      </c>
      <c r="V771" s="5">
        <f>U771-V1274</f>
        <v>8.8516516805520348E-2</v>
      </c>
      <c r="X771" t="s">
        <v>746</v>
      </c>
      <c r="Y771">
        <v>3.61</v>
      </c>
      <c r="Z771" s="48">
        <f t="shared" si="81"/>
        <v>0</v>
      </c>
      <c r="AA771" s="5">
        <f>Z771-Y1274</f>
        <v>-4.2173194692741341E-3</v>
      </c>
      <c r="AD771" t="s">
        <v>756</v>
      </c>
      <c r="AE771">
        <v>131.53</v>
      </c>
      <c r="AF771" s="29">
        <f t="shared" si="82"/>
        <v>2.2942914916783241E-2</v>
      </c>
    </row>
    <row r="772" spans="1:32">
      <c r="A772" s="220">
        <v>44835</v>
      </c>
      <c r="B772" s="222">
        <v>42.6</v>
      </c>
      <c r="C772" s="227">
        <f t="shared" si="77"/>
        <v>-2.3383768913342373E-2</v>
      </c>
      <c r="D772" s="5">
        <f>C772-C1275</f>
        <v>-2.3461814482901262E-2</v>
      </c>
      <c r="F772" s="8"/>
      <c r="H772" s="1">
        <v>44866</v>
      </c>
      <c r="I772">
        <v>44.5</v>
      </c>
      <c r="J772" s="227">
        <f t="shared" si="78"/>
        <v>5.0023596035865925E-2</v>
      </c>
      <c r="K772" s="5">
        <f>J772-J1276</f>
        <v>4.7887640120255967E-2</v>
      </c>
      <c r="M772" s="240" t="s">
        <v>757</v>
      </c>
      <c r="N772">
        <v>4659.03</v>
      </c>
      <c r="O772" s="227">
        <f t="shared" si="79"/>
        <v>-8.1924145104406154E-4</v>
      </c>
      <c r="P772" s="5">
        <f>O772-O1278</f>
        <v>-4.5348425013089E-4</v>
      </c>
      <c r="Q772" s="8">
        <f t="shared" si="83"/>
        <v>2.0564796511677561E-7</v>
      </c>
      <c r="S772" t="s">
        <v>757</v>
      </c>
      <c r="T772">
        <v>6.11</v>
      </c>
      <c r="U772" s="29">
        <f t="shared" si="80"/>
        <v>1.1589403973510048E-2</v>
      </c>
      <c r="V772" s="5">
        <f>U772-V1274</f>
        <v>9.8532131978030096E-3</v>
      </c>
      <c r="X772" t="s">
        <v>747</v>
      </c>
      <c r="Y772">
        <v>3.72</v>
      </c>
      <c r="Z772" s="48">
        <f t="shared" si="81"/>
        <v>3.0470914127423976E-2</v>
      </c>
      <c r="AA772" s="5">
        <f>Z772-Y1274</f>
        <v>2.6253594658149842E-2</v>
      </c>
      <c r="AD772" t="s">
        <v>757</v>
      </c>
      <c r="AE772">
        <v>131.78</v>
      </c>
      <c r="AF772" s="29">
        <f t="shared" si="82"/>
        <v>1.9007070630274736E-3</v>
      </c>
    </row>
    <row r="773" spans="1:32">
      <c r="A773" s="220">
        <v>44743</v>
      </c>
      <c r="B773" s="222">
        <v>41.51</v>
      </c>
      <c r="C773" s="227">
        <f t="shared" si="77"/>
        <v>-2.5586854460094011E-2</v>
      </c>
      <c r="D773" s="5">
        <f>C773-C1275</f>
        <v>-2.5664900029652899E-2</v>
      </c>
      <c r="F773" s="8"/>
      <c r="H773" s="1">
        <v>44835</v>
      </c>
      <c r="I773">
        <v>44.13</v>
      </c>
      <c r="J773" s="227">
        <f t="shared" si="78"/>
        <v>-8.3146067415730274E-3</v>
      </c>
      <c r="K773" s="5">
        <f>J773-J1276</f>
        <v>-1.0450562657182985E-2</v>
      </c>
      <c r="M773" s="241">
        <v>44896</v>
      </c>
      <c r="N773">
        <v>4726.3500000000004</v>
      </c>
      <c r="O773" s="227">
        <f t="shared" si="79"/>
        <v>1.4449359630652969E-2</v>
      </c>
      <c r="P773" s="5">
        <f>O773-O1278</f>
        <v>1.481511683156614E-2</v>
      </c>
      <c r="Q773" s="8">
        <f t="shared" si="83"/>
        <v>2.1948768673295436E-4</v>
      </c>
      <c r="S773" s="1">
        <v>44896</v>
      </c>
      <c r="T773">
        <v>6.25</v>
      </c>
      <c r="U773" s="29">
        <f t="shared" si="80"/>
        <v>2.2913256955810146E-2</v>
      </c>
      <c r="V773" s="5">
        <f>U773-V1274</f>
        <v>2.1177066180103107E-2</v>
      </c>
      <c r="X773" t="s">
        <v>748</v>
      </c>
      <c r="Y773">
        <v>3.9</v>
      </c>
      <c r="Z773" s="48">
        <f t="shared" si="81"/>
        <v>4.8387096774193505E-2</v>
      </c>
      <c r="AA773" s="5">
        <f>Z773-Y1274</f>
        <v>4.4169777304919375E-2</v>
      </c>
      <c r="AD773" s="1">
        <v>44896</v>
      </c>
      <c r="AE773">
        <v>140.66</v>
      </c>
      <c r="AF773" s="29">
        <f t="shared" si="82"/>
        <v>6.7385035665503024E-2</v>
      </c>
    </row>
    <row r="774" spans="1:32">
      <c r="A774" s="220">
        <v>44713</v>
      </c>
      <c r="B774" s="222">
        <v>42.03</v>
      </c>
      <c r="C774" s="227">
        <f t="shared" si="77"/>
        <v>1.2527101903155868E-2</v>
      </c>
      <c r="D774" s="5">
        <f>C774-C1275</f>
        <v>1.244905633359698E-2</v>
      </c>
      <c r="F774" s="8"/>
      <c r="H774" s="1">
        <v>44743</v>
      </c>
      <c r="I774">
        <v>43.1</v>
      </c>
      <c r="J774" s="227">
        <f t="shared" si="78"/>
        <v>-2.3340131429866351E-2</v>
      </c>
      <c r="K774" s="5">
        <f>J774-J1276</f>
        <v>-2.5476087345476309E-2</v>
      </c>
      <c r="M774" s="241">
        <v>44866</v>
      </c>
      <c r="N774">
        <v>4713.07</v>
      </c>
      <c r="O774" s="227">
        <f t="shared" si="79"/>
        <v>-2.8097792165202584E-3</v>
      </c>
      <c r="P774" s="5">
        <f>O774-O1278</f>
        <v>-2.4440220156070869E-3</v>
      </c>
      <c r="Q774" s="8">
        <f t="shared" si="83"/>
        <v>5.9732436127721282E-6</v>
      </c>
      <c r="S774" s="1">
        <v>44866</v>
      </c>
      <c r="T774">
        <v>6.54</v>
      </c>
      <c r="U774" s="29">
        <f t="shared" si="80"/>
        <v>4.6399999999999997E-2</v>
      </c>
      <c r="V774" s="5">
        <f>U774-V1274</f>
        <v>4.4663809224292958E-2</v>
      </c>
      <c r="X774" t="s">
        <v>749</v>
      </c>
      <c r="Y774">
        <v>4.07</v>
      </c>
      <c r="Z774" s="48">
        <f t="shared" si="81"/>
        <v>4.3589743589743657E-2</v>
      </c>
      <c r="AA774" s="5">
        <f>Z774-Y1274</f>
        <v>3.9372424120469526E-2</v>
      </c>
      <c r="AD774" s="1">
        <v>44866</v>
      </c>
      <c r="AE774">
        <v>143.63999999999999</v>
      </c>
      <c r="AF774" s="29">
        <f t="shared" si="82"/>
        <v>2.1185838191383422E-2</v>
      </c>
    </row>
    <row r="775" spans="1:32">
      <c r="A775" s="220">
        <v>44682</v>
      </c>
      <c r="B775" s="222">
        <v>43.24</v>
      </c>
      <c r="C775" s="227">
        <f t="shared" si="77"/>
        <v>2.8788960266476371E-2</v>
      </c>
      <c r="D775" s="5">
        <f>C775-C1275</f>
        <v>2.8710914696917483E-2</v>
      </c>
      <c r="F775" s="8"/>
      <c r="H775" s="1">
        <v>44713</v>
      </c>
      <c r="I775">
        <v>43.6</v>
      </c>
      <c r="J775" s="227">
        <f t="shared" si="78"/>
        <v>1.1600928074245953E-2</v>
      </c>
      <c r="K775" s="5">
        <f>J775-J1276</f>
        <v>9.4649721586359953E-3</v>
      </c>
      <c r="M775" s="241">
        <v>44835</v>
      </c>
      <c r="N775">
        <v>4670.29</v>
      </c>
      <c r="O775" s="227">
        <f t="shared" si="79"/>
        <v>-9.0768861909540366E-3</v>
      </c>
      <c r="P775" s="5">
        <f>O775-O1278</f>
        <v>-8.7111289900408655E-3</v>
      </c>
      <c r="Q775" s="8">
        <f t="shared" si="83"/>
        <v>7.5883768281130384E-5</v>
      </c>
      <c r="S775" s="1">
        <v>44835</v>
      </c>
      <c r="T775">
        <v>6.6</v>
      </c>
      <c r="U775" s="29">
        <f t="shared" si="80"/>
        <v>9.1743119266054496E-3</v>
      </c>
      <c r="V775" s="5">
        <f>U775-V1274</f>
        <v>7.4381211508984116E-3</v>
      </c>
      <c r="X775" t="s">
        <v>750</v>
      </c>
      <c r="Y775">
        <v>4.29</v>
      </c>
      <c r="Z775" s="48">
        <f t="shared" si="81"/>
        <v>5.4054054054053946E-2</v>
      </c>
      <c r="AA775" s="5">
        <f>Z775-Y1274</f>
        <v>4.9836734584779815E-2</v>
      </c>
      <c r="AD775" s="1">
        <v>44835</v>
      </c>
      <c r="AE775">
        <v>133.44999999999999</v>
      </c>
      <c r="AF775" s="29">
        <f t="shared" si="82"/>
        <v>-7.0941241993873527E-2</v>
      </c>
    </row>
    <row r="776" spans="1:32">
      <c r="A776" s="220">
        <v>44652</v>
      </c>
      <c r="B776" s="222">
        <v>44.42</v>
      </c>
      <c r="C776" s="227">
        <f t="shared" si="77"/>
        <v>2.7289546716003699E-2</v>
      </c>
      <c r="D776" s="5">
        <f>C776-C1275</f>
        <v>2.721150114644481E-2</v>
      </c>
      <c r="F776" s="8"/>
      <c r="H776" s="1">
        <v>44682</v>
      </c>
      <c r="I776">
        <v>43.59</v>
      </c>
      <c r="J776" s="227">
        <f t="shared" si="78"/>
        <v>-2.2935779816513069E-4</v>
      </c>
      <c r="K776" s="5">
        <f>J776-J1276</f>
        <v>-2.3653137137750885E-3</v>
      </c>
      <c r="M776" s="241">
        <v>44743</v>
      </c>
      <c r="N776">
        <v>4677.03</v>
      </c>
      <c r="O776" s="227">
        <f t="shared" si="79"/>
        <v>1.443165199591423E-3</v>
      </c>
      <c r="P776" s="5">
        <f>O776-O1278</f>
        <v>1.8089224005045945E-3</v>
      </c>
      <c r="Q776" s="8">
        <f t="shared" si="83"/>
        <v>3.2722002510473046E-6</v>
      </c>
      <c r="S776" s="1">
        <v>44743</v>
      </c>
      <c r="T776">
        <v>6.81</v>
      </c>
      <c r="U776" s="29">
        <f t="shared" si="80"/>
        <v>3.1818181818181746E-2</v>
      </c>
      <c r="V776" s="5">
        <f>U776-V1274</f>
        <v>3.0081991042474707E-2</v>
      </c>
      <c r="X776" t="s">
        <v>751</v>
      </c>
      <c r="Y776">
        <v>4.76</v>
      </c>
      <c r="Z776" s="48">
        <f t="shared" si="81"/>
        <v>0.10955710955710951</v>
      </c>
      <c r="AA776" s="5">
        <f>Z776-Y1274</f>
        <v>0.10533979008783538</v>
      </c>
      <c r="AD776" s="1">
        <v>44743</v>
      </c>
      <c r="AE776">
        <v>132.27000000000001</v>
      </c>
      <c r="AF776" s="29">
        <f t="shared" si="82"/>
        <v>-8.8422630198574659E-3</v>
      </c>
    </row>
    <row r="777" spans="1:32">
      <c r="A777" s="220">
        <v>44621</v>
      </c>
      <c r="B777" s="222">
        <v>43.95</v>
      </c>
      <c r="C777" s="227">
        <f t="shared" si="77"/>
        <v>-1.0580819450697887E-2</v>
      </c>
      <c r="D777" s="5">
        <f>C777-C1275</f>
        <v>-1.0658865020256775E-2</v>
      </c>
      <c r="F777" s="8"/>
      <c r="H777" s="1">
        <v>44652</v>
      </c>
      <c r="I777">
        <v>44.95</v>
      </c>
      <c r="J777" s="227">
        <f t="shared" si="78"/>
        <v>3.1199816471667807E-2</v>
      </c>
      <c r="K777" s="5">
        <f>J777-J1276</f>
        <v>2.9063860556057849E-2</v>
      </c>
      <c r="M777" s="241">
        <v>44713</v>
      </c>
      <c r="N777">
        <v>4696.05</v>
      </c>
      <c r="O777" s="227">
        <f t="shared" si="79"/>
        <v>4.0666833439171324E-3</v>
      </c>
      <c r="P777" s="5">
        <f>O777-O1278</f>
        <v>4.4324405448303043E-3</v>
      </c>
      <c r="Q777" s="8">
        <f t="shared" si="83"/>
        <v>1.9646529183455564E-5</v>
      </c>
      <c r="S777" s="1">
        <v>44713</v>
      </c>
      <c r="T777">
        <v>6.65</v>
      </c>
      <c r="U777" s="29">
        <f t="shared" si="80"/>
        <v>-2.3494860499265635E-2</v>
      </c>
      <c r="V777" s="5">
        <f>U777-V1274</f>
        <v>-2.5231051274972674E-2</v>
      </c>
      <c r="X777" t="s">
        <v>752</v>
      </c>
      <c r="Y777">
        <v>4.8600000000000003</v>
      </c>
      <c r="Z777" s="48">
        <f t="shared" si="81"/>
        <v>2.1008403361344685E-2</v>
      </c>
      <c r="AA777" s="5">
        <f>Z777-Y1274</f>
        <v>1.6791083892070551E-2</v>
      </c>
      <c r="AD777" s="1">
        <v>44713</v>
      </c>
      <c r="AE777">
        <v>137.28</v>
      </c>
      <c r="AF777" s="29">
        <f t="shared" si="82"/>
        <v>3.7877069630301685E-2</v>
      </c>
    </row>
    <row r="778" spans="1:32">
      <c r="A778" s="3" t="s">
        <v>758</v>
      </c>
      <c r="B778" s="222">
        <v>41.93</v>
      </c>
      <c r="C778" s="227">
        <f t="shared" si="77"/>
        <v>-4.5961319681456225E-2</v>
      </c>
      <c r="D778" s="5">
        <f>C778-C1275</f>
        <v>-4.6039365251015117E-2</v>
      </c>
      <c r="F778" s="8"/>
      <c r="H778" s="1">
        <v>44621</v>
      </c>
      <c r="I778">
        <v>44.59</v>
      </c>
      <c r="J778" s="227">
        <f t="shared" si="78"/>
        <v>-8.008898776418194E-3</v>
      </c>
      <c r="K778" s="5">
        <f>J778-J1276</f>
        <v>-1.0144854692028152E-2</v>
      </c>
      <c r="M778" s="241">
        <v>44682</v>
      </c>
      <c r="N778">
        <v>4700.58</v>
      </c>
      <c r="O778" s="227">
        <f t="shared" si="79"/>
        <v>9.6464049573574684E-4</v>
      </c>
      <c r="P778" s="5">
        <f>O778-O1278</f>
        <v>1.3303976966489183E-3</v>
      </c>
      <c r="Q778" s="8">
        <f t="shared" si="83"/>
        <v>1.7699580312487472E-6</v>
      </c>
      <c r="S778" s="1">
        <v>44682</v>
      </c>
      <c r="T778">
        <v>6.9</v>
      </c>
      <c r="U778" s="29">
        <f t="shared" si="80"/>
        <v>3.7593984962406068E-2</v>
      </c>
      <c r="V778" s="5">
        <f>U778-V1274</f>
        <v>3.585779418669903E-2</v>
      </c>
      <c r="X778" t="s">
        <v>753</v>
      </c>
      <c r="Y778">
        <v>5.36</v>
      </c>
      <c r="Z778" s="48">
        <f t="shared" si="81"/>
        <v>0.10288065843621408</v>
      </c>
      <c r="AA778" s="5">
        <f>Z778-Y1274</f>
        <v>9.8663338966939948E-2</v>
      </c>
      <c r="AD778" s="1">
        <v>44682</v>
      </c>
      <c r="AE778">
        <v>127.97</v>
      </c>
      <c r="AF778" s="29">
        <f t="shared" si="82"/>
        <v>-6.7817599067599099E-2</v>
      </c>
    </row>
    <row r="779" spans="1:32">
      <c r="A779" s="3" t="s">
        <v>759</v>
      </c>
      <c r="B779" s="222">
        <v>42.66</v>
      </c>
      <c r="C779" s="227">
        <f t="shared" si="77"/>
        <v>1.7409968995945491E-2</v>
      </c>
      <c r="D779" s="5">
        <f>C779-C1275</f>
        <v>1.7331923426386602E-2</v>
      </c>
      <c r="F779" s="8"/>
      <c r="H779" t="s">
        <v>758</v>
      </c>
      <c r="I779">
        <v>42.73</v>
      </c>
      <c r="J779" s="227">
        <f t="shared" si="78"/>
        <v>-4.171338865216434E-2</v>
      </c>
      <c r="K779" s="5">
        <f>J779-J1276</f>
        <v>-4.3849344567774298E-2</v>
      </c>
      <c r="M779" s="241">
        <v>44652</v>
      </c>
      <c r="N779">
        <v>4793.54</v>
      </c>
      <c r="O779" s="227">
        <f t="shared" si="79"/>
        <v>1.9776282926787792E-2</v>
      </c>
      <c r="P779" s="5">
        <f>O779-O1278</f>
        <v>2.0142040127700964E-2</v>
      </c>
      <c r="Q779" s="8">
        <f t="shared" si="83"/>
        <v>4.0570178050591588E-4</v>
      </c>
      <c r="S779" s="1">
        <v>44652</v>
      </c>
      <c r="T779">
        <v>7.29</v>
      </c>
      <c r="U779" s="29">
        <f t="shared" si="80"/>
        <v>5.6521739130434678E-2</v>
      </c>
      <c r="V779" s="5">
        <f>U779-V1274</f>
        <v>5.478554835472764E-2</v>
      </c>
      <c r="X779" t="s">
        <v>754</v>
      </c>
      <c r="Y779">
        <v>5.01</v>
      </c>
      <c r="Z779" s="48">
        <f t="shared" si="81"/>
        <v>-6.5298507462686617E-2</v>
      </c>
      <c r="AA779" s="5">
        <f>Z779-Y1274</f>
        <v>-6.9515826931960747E-2</v>
      </c>
      <c r="AD779" s="1">
        <v>44652</v>
      </c>
      <c r="AE779">
        <v>135.91</v>
      </c>
      <c r="AF779" s="29">
        <f t="shared" si="82"/>
        <v>6.2045791982495935E-2</v>
      </c>
    </row>
    <row r="780" spans="1:32">
      <c r="A780" s="3" t="s">
        <v>760</v>
      </c>
      <c r="B780" s="222">
        <v>42.46</v>
      </c>
      <c r="C780" s="227">
        <f t="shared" si="77"/>
        <v>-4.6882325363336586E-3</v>
      </c>
      <c r="D780" s="5">
        <f>C780-C1275</f>
        <v>-4.7662781058925479E-3</v>
      </c>
      <c r="F780" s="8"/>
      <c r="H780" t="s">
        <v>759</v>
      </c>
      <c r="I780">
        <v>43.49</v>
      </c>
      <c r="J780" s="227">
        <f t="shared" si="78"/>
        <v>1.7786098759653868E-2</v>
      </c>
      <c r="K780" s="5">
        <f>J780-J1276</f>
        <v>1.565014284404391E-2</v>
      </c>
      <c r="M780" s="241">
        <v>44621</v>
      </c>
      <c r="N780">
        <v>4796.5600000000004</v>
      </c>
      <c r="O780" s="227">
        <f t="shared" si="79"/>
        <v>6.3001456126388078E-4</v>
      </c>
      <c r="P780" s="5">
        <f>O780-O1278</f>
        <v>9.9577176217705227E-4</v>
      </c>
      <c r="Q780" s="8">
        <f t="shared" si="83"/>
        <v>9.91561402349192E-7</v>
      </c>
      <c r="S780" s="1">
        <v>44621</v>
      </c>
      <c r="T780">
        <v>7.22</v>
      </c>
      <c r="U780" s="29">
        <f t="shared" si="80"/>
        <v>-9.6021947873800029E-3</v>
      </c>
      <c r="V780" s="5">
        <f>U780-V1274</f>
        <v>-1.1338385563087042E-2</v>
      </c>
      <c r="X780" t="s">
        <v>755</v>
      </c>
      <c r="Y780">
        <v>4.78</v>
      </c>
      <c r="Z780" s="48">
        <f t="shared" si="81"/>
        <v>-4.5908183632734412E-2</v>
      </c>
      <c r="AA780" s="5">
        <f>Z780-Y1274</f>
        <v>-5.0125503102008542E-2</v>
      </c>
      <c r="AD780" s="1">
        <v>44621</v>
      </c>
      <c r="AE780">
        <v>145.34</v>
      </c>
      <c r="AF780" s="29">
        <f t="shared" si="82"/>
        <v>6.9384151276580042E-2</v>
      </c>
    </row>
    <row r="781" spans="1:32">
      <c r="A781" s="3" t="s">
        <v>761</v>
      </c>
      <c r="B781" s="222">
        <v>42.54</v>
      </c>
      <c r="C781" s="227">
        <f t="shared" si="77"/>
        <v>1.8841262364577283E-3</v>
      </c>
      <c r="D781" s="5">
        <f>C781-C1275</f>
        <v>1.8060806668988389E-3</v>
      </c>
      <c r="E781" s="1"/>
      <c r="F781" s="8"/>
      <c r="H781" t="s">
        <v>760</v>
      </c>
      <c r="I781">
        <v>43.24</v>
      </c>
      <c r="J781" s="227">
        <f t="shared" si="78"/>
        <v>-5.7484479190618165E-3</v>
      </c>
      <c r="K781" s="5">
        <f>J781-J1276</f>
        <v>-7.8844038346717743E-3</v>
      </c>
      <c r="M781" s="240" t="s">
        <v>758</v>
      </c>
      <c r="N781">
        <v>4766.18</v>
      </c>
      <c r="O781" s="227">
        <f t="shared" si="79"/>
        <v>-6.3337058225061416E-3</v>
      </c>
      <c r="P781" s="5">
        <f>O781-O1278</f>
        <v>-5.9679486215929696E-3</v>
      </c>
      <c r="Q781" s="8">
        <f t="shared" si="83"/>
        <v>3.5616410749973428E-5</v>
      </c>
      <c r="S781" t="s">
        <v>758</v>
      </c>
      <c r="T781">
        <v>7.13</v>
      </c>
      <c r="U781" s="29">
        <f t="shared" si="80"/>
        <v>-1.2465373961218829E-2</v>
      </c>
      <c r="V781" s="5">
        <f>U781-V1274</f>
        <v>-1.4201564736925867E-2</v>
      </c>
      <c r="X781" t="s">
        <v>756</v>
      </c>
      <c r="Y781">
        <v>4.67</v>
      </c>
      <c r="Z781" s="48">
        <f t="shared" si="81"/>
        <v>-2.3012552301255318E-2</v>
      </c>
      <c r="AA781" s="5">
        <f>Z781-Y1274</f>
        <v>-2.7229871770529452E-2</v>
      </c>
      <c r="AD781" t="s">
        <v>758</v>
      </c>
      <c r="AE781">
        <v>148.9</v>
      </c>
      <c r="AF781" s="29">
        <f t="shared" si="82"/>
        <v>2.4494289252786627E-2</v>
      </c>
    </row>
    <row r="782" spans="1:32">
      <c r="A782" s="3" t="s">
        <v>762</v>
      </c>
      <c r="B782" s="222">
        <v>42.96</v>
      </c>
      <c r="C782" s="227">
        <f t="shared" si="77"/>
        <v>9.873060648801113E-3</v>
      </c>
      <c r="D782" s="5">
        <f>C782-C1275</f>
        <v>9.7950150792422246E-3</v>
      </c>
      <c r="E782" s="1"/>
      <c r="F782" s="8"/>
      <c r="H782" t="s">
        <v>761</v>
      </c>
      <c r="I782">
        <v>43.52</v>
      </c>
      <c r="J782" s="227">
        <f t="shared" si="78"/>
        <v>6.4754856614246403E-3</v>
      </c>
      <c r="K782" s="5">
        <f>J782-J1276</f>
        <v>4.3395297458146825E-3</v>
      </c>
      <c r="M782" s="240" t="s">
        <v>759</v>
      </c>
      <c r="N782">
        <v>4778.7299999999996</v>
      </c>
      <c r="O782" s="227">
        <f t="shared" si="79"/>
        <v>2.633135970525613E-3</v>
      </c>
      <c r="P782" s="5">
        <f>O782-O1278</f>
        <v>2.9988931714387845E-3</v>
      </c>
      <c r="Q782" s="8">
        <f t="shared" si="83"/>
        <v>8.9933602537021715E-6</v>
      </c>
      <c r="S782" t="s">
        <v>759</v>
      </c>
      <c r="T782">
        <v>7.15</v>
      </c>
      <c r="U782" s="29">
        <f t="shared" si="80"/>
        <v>2.8050490883591017E-3</v>
      </c>
      <c r="V782" s="5">
        <f>U782-V1274</f>
        <v>1.0688583126520637E-3</v>
      </c>
      <c r="X782" t="s">
        <v>757</v>
      </c>
      <c r="Y782">
        <v>4.67</v>
      </c>
      <c r="Z782" s="48">
        <f t="shared" si="81"/>
        <v>0</v>
      </c>
      <c r="AA782" s="5">
        <f>Z782-Y1274</f>
        <v>-4.2173194692741341E-3</v>
      </c>
      <c r="AD782" t="s">
        <v>759</v>
      </c>
      <c r="AE782">
        <v>152.38</v>
      </c>
      <c r="AF782" s="29">
        <f t="shared" si="82"/>
        <v>2.3371390194761421E-2</v>
      </c>
    </row>
    <row r="783" spans="1:32">
      <c r="A783" s="3" t="s">
        <v>763</v>
      </c>
      <c r="B783" s="222">
        <v>43.91</v>
      </c>
      <c r="C783" s="227">
        <f t="shared" si="77"/>
        <v>2.2113594040968243E-2</v>
      </c>
      <c r="D783" s="5">
        <f>C783-C1275</f>
        <v>2.2035548471409355E-2</v>
      </c>
      <c r="E783" s="1"/>
      <c r="F783" s="8"/>
      <c r="H783" t="s">
        <v>762</v>
      </c>
      <c r="I783">
        <v>44.03</v>
      </c>
      <c r="J783" s="227">
        <f t="shared" si="78"/>
        <v>1.171875E-2</v>
      </c>
      <c r="K783" s="5">
        <f>J783-J1276</f>
        <v>9.5827940843900422E-3</v>
      </c>
      <c r="M783" s="240" t="s">
        <v>760</v>
      </c>
      <c r="N783">
        <v>4793.0600000000004</v>
      </c>
      <c r="O783" s="227">
        <f t="shared" si="79"/>
        <v>2.9987046767656622E-3</v>
      </c>
      <c r="P783" s="5">
        <f>O783-O1278</f>
        <v>3.3644618776788337E-3</v>
      </c>
      <c r="Q783" s="8">
        <f t="shared" si="83"/>
        <v>1.1319603726354184E-5</v>
      </c>
      <c r="S783" t="s">
        <v>760</v>
      </c>
      <c r="T783">
        <v>6.96</v>
      </c>
      <c r="U783" s="29">
        <f t="shared" si="80"/>
        <v>-2.6573426573426651E-2</v>
      </c>
      <c r="V783" s="5">
        <f>U783-V1274</f>
        <v>-2.8309617349133689E-2</v>
      </c>
      <c r="X783" s="1">
        <v>44896</v>
      </c>
      <c r="Y783">
        <v>4.96</v>
      </c>
      <c r="Z783" s="48">
        <f t="shared" si="81"/>
        <v>6.2098501070663836E-2</v>
      </c>
      <c r="AA783" s="5">
        <f>Z783-Y1274</f>
        <v>5.7881181601389706E-2</v>
      </c>
      <c r="AD783" t="s">
        <v>760</v>
      </c>
      <c r="AE783">
        <v>150.11000000000001</v>
      </c>
      <c r="AF783" s="29">
        <f t="shared" si="82"/>
        <v>-1.4896968106050568E-2</v>
      </c>
    </row>
    <row r="784" spans="1:32">
      <c r="A784" s="3" t="s">
        <v>764</v>
      </c>
      <c r="B784" s="222">
        <v>43.02</v>
      </c>
      <c r="C784" s="227">
        <f t="shared" si="77"/>
        <v>-2.0268731496242198E-2</v>
      </c>
      <c r="D784" s="5">
        <f>C784-C1275</f>
        <v>-2.0346777065801087E-2</v>
      </c>
      <c r="E784" s="1"/>
      <c r="F784" s="8"/>
      <c r="H784" t="s">
        <v>763</v>
      </c>
      <c r="I784">
        <v>44.18</v>
      </c>
      <c r="J784" s="227">
        <f t="shared" si="78"/>
        <v>3.4067681126503935E-3</v>
      </c>
      <c r="K784" s="5">
        <f>J784-J1276</f>
        <v>1.2708121970404357E-3</v>
      </c>
      <c r="M784" s="240" t="s">
        <v>761</v>
      </c>
      <c r="N784">
        <v>4786.3500000000004</v>
      </c>
      <c r="O784" s="227">
        <f t="shared" si="79"/>
        <v>-1.3999407476643633E-3</v>
      </c>
      <c r="P784" s="5">
        <f>O784-O1278</f>
        <v>-1.0341835467511918E-3</v>
      </c>
      <c r="Q784" s="8">
        <f t="shared" si="83"/>
        <v>1.0695356083708745E-6</v>
      </c>
      <c r="S784" t="s">
        <v>761</v>
      </c>
      <c r="T784">
        <v>6.98</v>
      </c>
      <c r="U784" s="29">
        <f t="shared" si="80"/>
        <v>2.8735632183909399E-3</v>
      </c>
      <c r="V784" s="5">
        <f>U784-V1274</f>
        <v>1.1373724426839019E-3</v>
      </c>
      <c r="X784" s="1">
        <v>44866</v>
      </c>
      <c r="Y784">
        <v>4.9000000000000004</v>
      </c>
      <c r="Z784" s="48">
        <f t="shared" si="81"/>
        <v>-1.2096774193548265E-2</v>
      </c>
      <c r="AA784" s="5">
        <f>Z784-Y1274</f>
        <v>-1.6314093662822399E-2</v>
      </c>
      <c r="AD784" t="s">
        <v>761</v>
      </c>
      <c r="AE784">
        <v>153.56</v>
      </c>
      <c r="AF784" s="29">
        <f t="shared" si="82"/>
        <v>2.298314569315818E-2</v>
      </c>
    </row>
    <row r="785" spans="1:32">
      <c r="A785" s="3" t="s">
        <v>765</v>
      </c>
      <c r="B785" s="222">
        <v>41.97</v>
      </c>
      <c r="C785" s="227">
        <f t="shared" si="77"/>
        <v>-2.4407252440725391E-2</v>
      </c>
      <c r="D785" s="5">
        <f>C785-C1275</f>
        <v>-2.4485298010284279E-2</v>
      </c>
      <c r="E785" s="1"/>
      <c r="F785" s="8"/>
      <c r="H785" t="s">
        <v>764</v>
      </c>
      <c r="I785">
        <v>42.46</v>
      </c>
      <c r="J785" s="227">
        <f t="shared" si="78"/>
        <v>-3.8931643277501093E-2</v>
      </c>
      <c r="K785" s="5">
        <f>J785-J1276</f>
        <v>-4.1067599193111051E-2</v>
      </c>
      <c r="M785" s="240" t="s">
        <v>762</v>
      </c>
      <c r="N785">
        <v>4791.1899999999996</v>
      </c>
      <c r="O785" s="227">
        <f t="shared" si="79"/>
        <v>1.011208958809684E-3</v>
      </c>
      <c r="P785" s="5">
        <f>O785-O1278</f>
        <v>1.3769661597228555E-3</v>
      </c>
      <c r="Q785" s="8">
        <f t="shared" si="83"/>
        <v>1.8960358050219084E-6</v>
      </c>
      <c r="S785" t="s">
        <v>762</v>
      </c>
      <c r="T785">
        <v>7.09</v>
      </c>
      <c r="U785" s="29">
        <f t="shared" si="80"/>
        <v>1.5759312320916763E-2</v>
      </c>
      <c r="V785" s="5">
        <f>U785-V1274</f>
        <v>1.4023121545209724E-2</v>
      </c>
      <c r="X785" s="1">
        <v>44835</v>
      </c>
      <c r="Y785">
        <v>4.49</v>
      </c>
      <c r="Z785" s="48">
        <f t="shared" si="81"/>
        <v>-8.3673469387755106E-2</v>
      </c>
      <c r="AA785" s="5">
        <f>Z785-Y1274</f>
        <v>-8.7890788857029237E-2</v>
      </c>
      <c r="AD785" t="s">
        <v>762</v>
      </c>
      <c r="AE785">
        <v>156.04</v>
      </c>
      <c r="AF785" s="29">
        <f t="shared" si="82"/>
        <v>1.6150039072675204E-2</v>
      </c>
    </row>
    <row r="786" spans="1:32">
      <c r="A786" s="3" t="s">
        <v>766</v>
      </c>
      <c r="B786" s="222">
        <v>39.700000000000003</v>
      </c>
      <c r="C786" s="227">
        <f t="shared" ref="C786:C849" si="84">B786/B785-1</f>
        <v>-5.4086252084822428E-2</v>
      </c>
      <c r="D786" s="5">
        <f>C786-C1275</f>
        <v>-5.416429765438132E-2</v>
      </c>
      <c r="E786" s="1"/>
      <c r="F786" s="8"/>
      <c r="H786" t="s">
        <v>765</v>
      </c>
      <c r="I786">
        <v>40.909999999999997</v>
      </c>
      <c r="J786" s="227">
        <f t="shared" si="78"/>
        <v>-3.6504945831370761E-2</v>
      </c>
      <c r="K786" s="5">
        <f>J786-J1276</f>
        <v>-3.8640901746980719E-2</v>
      </c>
      <c r="M786" s="240" t="s">
        <v>763</v>
      </c>
      <c r="N786">
        <v>4725.79</v>
      </c>
      <c r="O786" s="227">
        <f t="shared" si="79"/>
        <v>-1.365005353576032E-2</v>
      </c>
      <c r="P786" s="5">
        <f>O786-O1278</f>
        <v>-1.3284296334847149E-2</v>
      </c>
      <c r="Q786" s="8">
        <f t="shared" si="83"/>
        <v>1.764725291120334E-4</v>
      </c>
      <c r="S786" t="s">
        <v>763</v>
      </c>
      <c r="T786">
        <v>7.35</v>
      </c>
      <c r="U786" s="29">
        <f t="shared" si="80"/>
        <v>3.667136812411842E-2</v>
      </c>
      <c r="V786" s="5">
        <f>U786-V1274</f>
        <v>3.4935177348411381E-2</v>
      </c>
      <c r="X786" s="1">
        <v>44743</v>
      </c>
      <c r="Y786">
        <v>4.5</v>
      </c>
      <c r="Z786" s="48">
        <f t="shared" si="81"/>
        <v>2.2271714922048602E-3</v>
      </c>
      <c r="AA786" s="5">
        <f>Z786-Y1274</f>
        <v>-1.9901479770692738E-3</v>
      </c>
      <c r="AD786" t="s">
        <v>763</v>
      </c>
      <c r="AE786">
        <v>153.68</v>
      </c>
      <c r="AF786" s="29">
        <f t="shared" si="82"/>
        <v>-1.5124327095616397E-2</v>
      </c>
    </row>
    <row r="787" spans="1:32">
      <c r="A787" s="3" t="s">
        <v>767</v>
      </c>
      <c r="B787" s="222">
        <v>39.68</v>
      </c>
      <c r="C787" s="227">
        <f t="shared" si="84"/>
        <v>-5.0377833753156853E-4</v>
      </c>
      <c r="D787" s="5">
        <f>C787-C1275</f>
        <v>-5.8182390709045774E-4</v>
      </c>
      <c r="E787" s="1"/>
      <c r="F787" s="8"/>
      <c r="H787" t="s">
        <v>766</v>
      </c>
      <c r="I787">
        <v>38.619999999999997</v>
      </c>
      <c r="J787" s="227">
        <f t="shared" si="78"/>
        <v>-5.5976533854803168E-2</v>
      </c>
      <c r="K787" s="5">
        <f>J787-J1276</f>
        <v>-5.8112489770413125E-2</v>
      </c>
      <c r="M787" s="240" t="s">
        <v>764</v>
      </c>
      <c r="N787">
        <v>4696.5600000000004</v>
      </c>
      <c r="O787" s="227">
        <f t="shared" si="79"/>
        <v>-6.1852092454381946E-3</v>
      </c>
      <c r="P787" s="5">
        <f>O787-O1278</f>
        <v>-5.8194520445250227E-3</v>
      </c>
      <c r="Q787" s="8">
        <f t="shared" si="83"/>
        <v>3.3866022098526463E-5</v>
      </c>
      <c r="S787" t="s">
        <v>764</v>
      </c>
      <c r="T787">
        <v>7.34</v>
      </c>
      <c r="U787" s="29">
        <f t="shared" si="80"/>
        <v>-1.3605442176870541E-3</v>
      </c>
      <c r="V787" s="5">
        <f>U787-V1274</f>
        <v>-3.0967349933940921E-3</v>
      </c>
      <c r="X787" s="1">
        <v>44713</v>
      </c>
      <c r="Y787">
        <v>4.7</v>
      </c>
      <c r="Z787" s="48">
        <f t="shared" si="81"/>
        <v>4.4444444444444509E-2</v>
      </c>
      <c r="AA787" s="5">
        <f>Z787-Y1274</f>
        <v>4.0227124975170378E-2</v>
      </c>
      <c r="AD787" t="s">
        <v>764</v>
      </c>
      <c r="AE787">
        <v>149.24</v>
      </c>
      <c r="AF787" s="29">
        <f t="shared" si="82"/>
        <v>-2.8891202498698587E-2</v>
      </c>
    </row>
    <row r="788" spans="1:32">
      <c r="A788" s="3" t="s">
        <v>768</v>
      </c>
      <c r="B788" s="222">
        <v>37.700000000000003</v>
      </c>
      <c r="C788" s="227">
        <f t="shared" si="84"/>
        <v>-4.9899193548387011E-2</v>
      </c>
      <c r="D788" s="5">
        <f>C788-C1275</f>
        <v>-4.9977239117945903E-2</v>
      </c>
      <c r="E788" s="1"/>
      <c r="F788" s="8"/>
      <c r="H788" t="s">
        <v>767</v>
      </c>
      <c r="I788">
        <v>38.07</v>
      </c>
      <c r="J788" s="227">
        <f t="shared" ref="J788:J851" si="85">I788/I787-1</f>
        <v>-1.4241325737959554E-2</v>
      </c>
      <c r="K788" s="5">
        <f>J788-J1276</f>
        <v>-1.6377281653569511E-2</v>
      </c>
      <c r="M788" s="240" t="s">
        <v>765</v>
      </c>
      <c r="N788">
        <v>4649.2299999999996</v>
      </c>
      <c r="O788" s="227">
        <f t="shared" si="79"/>
        <v>-1.0077588703221285E-2</v>
      </c>
      <c r="P788" s="5">
        <f>O788-O1278</f>
        <v>-9.7118315023081141E-3</v>
      </c>
      <c r="Q788" s="8">
        <f t="shared" si="83"/>
        <v>9.4319671129224287E-5</v>
      </c>
      <c r="S788" t="s">
        <v>765</v>
      </c>
      <c r="T788">
        <v>7.3</v>
      </c>
      <c r="U788" s="29">
        <f t="shared" si="80"/>
        <v>-5.4495912806539204E-3</v>
      </c>
      <c r="V788" s="5">
        <f>U788-V1274</f>
        <v>-7.1857820563609584E-3</v>
      </c>
      <c r="X788" s="1">
        <v>44682</v>
      </c>
      <c r="Y788">
        <v>5.0199999999999996</v>
      </c>
      <c r="Z788" s="48">
        <f t="shared" si="81"/>
        <v>6.80851063829786E-2</v>
      </c>
      <c r="AA788" s="5">
        <f>Z788-Y1274</f>
        <v>6.3867786913704469E-2</v>
      </c>
      <c r="AD788" t="s">
        <v>765</v>
      </c>
      <c r="AE788">
        <v>151.61000000000001</v>
      </c>
      <c r="AF788" s="29">
        <f t="shared" si="82"/>
        <v>1.588046100241236E-2</v>
      </c>
    </row>
    <row r="789" spans="1:32">
      <c r="A789" s="3" t="s">
        <v>769</v>
      </c>
      <c r="B789" s="222">
        <v>37.83</v>
      </c>
      <c r="C789" s="227">
        <f t="shared" si="84"/>
        <v>3.4482758620688614E-3</v>
      </c>
      <c r="D789" s="5">
        <f>C789-C1275</f>
        <v>3.3702302925099721E-3</v>
      </c>
      <c r="F789" s="8"/>
      <c r="H789" t="s">
        <v>768</v>
      </c>
      <c r="I789">
        <v>37.46</v>
      </c>
      <c r="J789" s="227">
        <f t="shared" si="85"/>
        <v>-1.6023115313895442E-2</v>
      </c>
      <c r="K789" s="5">
        <f>J789-J1276</f>
        <v>-1.81590712295054E-2</v>
      </c>
      <c r="M789" s="240" t="s">
        <v>766</v>
      </c>
      <c r="N789">
        <v>4568.0200000000004</v>
      </c>
      <c r="O789" s="227">
        <f t="shared" si="79"/>
        <v>-1.7467408581635868E-2</v>
      </c>
      <c r="P789" s="5">
        <f>O789-O1278</f>
        <v>-1.7101651380722695E-2</v>
      </c>
      <c r="Q789" s="8">
        <f t="shared" si="83"/>
        <v>2.9246647994777446E-4</v>
      </c>
      <c r="S789" t="s">
        <v>766</v>
      </c>
      <c r="T789">
        <v>7.3</v>
      </c>
      <c r="U789" s="29">
        <f t="shared" si="80"/>
        <v>0</v>
      </c>
      <c r="V789" s="5">
        <f>U789-V1274</f>
        <v>-1.736190775707038E-3</v>
      </c>
      <c r="X789" s="1">
        <v>44652</v>
      </c>
      <c r="Y789">
        <v>5</v>
      </c>
      <c r="Z789" s="48">
        <f t="shared" si="81"/>
        <v>-3.9840637450198058E-3</v>
      </c>
      <c r="AA789" s="5">
        <f>Z789-Y1274</f>
        <v>-8.2013832142939398E-3</v>
      </c>
      <c r="AD789" t="s">
        <v>766</v>
      </c>
      <c r="AE789">
        <v>148.07</v>
      </c>
      <c r="AF789" s="29">
        <f t="shared" si="82"/>
        <v>-2.3349383286063063E-2</v>
      </c>
    </row>
    <row r="790" spans="1:32">
      <c r="A790" s="3" t="s">
        <v>770</v>
      </c>
      <c r="B790" s="222">
        <v>37.26</v>
      </c>
      <c r="C790" s="227">
        <f t="shared" si="84"/>
        <v>-1.5067406819984197E-2</v>
      </c>
      <c r="D790" s="5">
        <f>C790-C1275</f>
        <v>-1.5145452389543086E-2</v>
      </c>
      <c r="F790" s="8"/>
      <c r="H790" t="s">
        <v>769</v>
      </c>
      <c r="I790">
        <v>38.42</v>
      </c>
      <c r="J790" s="227">
        <f t="shared" si="85"/>
        <v>2.5627335824879971E-2</v>
      </c>
      <c r="K790" s="5">
        <f>J790-J1276</f>
        <v>2.3491379909270013E-2</v>
      </c>
      <c r="M790" s="240" t="s">
        <v>767</v>
      </c>
      <c r="N790">
        <v>4620.6400000000003</v>
      </c>
      <c r="O790" s="227">
        <f t="shared" ref="O790:O853" si="86">N790/N789-1</f>
        <v>1.1519214013949064E-2</v>
      </c>
      <c r="P790" s="5">
        <f>O790-O1278</f>
        <v>1.1884971214862235E-2</v>
      </c>
      <c r="Q790" s="8">
        <f t="shared" si="83"/>
        <v>1.4125254077810391E-4</v>
      </c>
      <c r="S790" t="s">
        <v>767</v>
      </c>
      <c r="T790">
        <v>7.57</v>
      </c>
      <c r="U790" s="29">
        <f t="shared" ref="U790:U805" si="87">T790/T789-1</f>
        <v>3.6986301369863028E-2</v>
      </c>
      <c r="V790" s="5">
        <f>U790-V1274</f>
        <v>3.5250110594155989E-2</v>
      </c>
      <c r="X790" s="1">
        <v>44621</v>
      </c>
      <c r="Y790">
        <v>5.25</v>
      </c>
      <c r="Z790" s="48">
        <f t="shared" ref="Z790:Z853" si="88">Y790/Y789-1</f>
        <v>5.0000000000000044E-2</v>
      </c>
      <c r="AA790" s="5">
        <f>Z790-Y1274</f>
        <v>4.5782680530725914E-2</v>
      </c>
      <c r="AD790" t="s">
        <v>767</v>
      </c>
      <c r="AE790">
        <v>148.81</v>
      </c>
      <c r="AF790" s="29">
        <f t="shared" ref="AF790:AF853" si="89">AE790/AE789-1</f>
        <v>4.9976362531236607E-3</v>
      </c>
    </row>
    <row r="791" spans="1:32">
      <c r="A791" s="3" t="s">
        <v>771</v>
      </c>
      <c r="B791" s="222">
        <v>35.729999999999997</v>
      </c>
      <c r="C791" s="227">
        <f t="shared" si="84"/>
        <v>-4.1062801932367221E-2</v>
      </c>
      <c r="D791" s="5">
        <f>C791-C1275</f>
        <v>-4.1140847501926113E-2</v>
      </c>
      <c r="F791" s="8"/>
      <c r="H791" t="s">
        <v>770</v>
      </c>
      <c r="I791">
        <v>38.979999999999997</v>
      </c>
      <c r="J791" s="227">
        <f t="shared" si="85"/>
        <v>1.4575741801145181E-2</v>
      </c>
      <c r="K791" s="5">
        <f>J791-J1276</f>
        <v>1.2439785885535223E-2</v>
      </c>
      <c r="M791" s="240" t="s">
        <v>768</v>
      </c>
      <c r="N791">
        <v>4668.67</v>
      </c>
      <c r="O791" s="227">
        <f t="shared" si="86"/>
        <v>1.0394663942657312E-2</v>
      </c>
      <c r="P791" s="5">
        <f>O791-O1278</f>
        <v>1.0760421143570483E-2</v>
      </c>
      <c r="Q791" s="8">
        <f t="shared" ref="Q791:Q854" si="90">P791*P791</f>
        <v>1.1578666318699869E-4</v>
      </c>
      <c r="S791" t="s">
        <v>768</v>
      </c>
      <c r="T791">
        <v>7.25</v>
      </c>
      <c r="U791" s="29">
        <f t="shared" si="87"/>
        <v>-4.2272126816380484E-2</v>
      </c>
      <c r="V791" s="5">
        <f>U791-V1274</f>
        <v>-4.4008317592087523E-2</v>
      </c>
      <c r="X791" t="s">
        <v>758</v>
      </c>
      <c r="Y791">
        <v>4.9800000000000004</v>
      </c>
      <c r="Z791" s="48">
        <f t="shared" si="88"/>
        <v>-5.1428571428571379E-2</v>
      </c>
      <c r="AA791" s="5">
        <f>Z791-Y1274</f>
        <v>-5.564589089784551E-2</v>
      </c>
      <c r="AD791" t="s">
        <v>768</v>
      </c>
      <c r="AE791">
        <v>144.44</v>
      </c>
      <c r="AF791" s="29">
        <f t="shared" si="89"/>
        <v>-2.9366306027820754E-2</v>
      </c>
    </row>
    <row r="792" spans="1:32">
      <c r="A792" s="220">
        <v>44481</v>
      </c>
      <c r="B792" s="222">
        <v>36.67</v>
      </c>
      <c r="C792" s="227">
        <f t="shared" si="84"/>
        <v>2.630842429331115E-2</v>
      </c>
      <c r="D792" s="5">
        <f>C792-C1275</f>
        <v>2.6230378723752262E-2</v>
      </c>
      <c r="F792" s="8"/>
      <c r="H792" t="s">
        <v>771</v>
      </c>
      <c r="I792">
        <v>38.409999999999997</v>
      </c>
      <c r="J792" s="227">
        <f t="shared" si="85"/>
        <v>-1.4622883530015396E-2</v>
      </c>
      <c r="K792" s="5">
        <f>J792-J1276</f>
        <v>-1.6758839445625354E-2</v>
      </c>
      <c r="M792" s="240" t="s">
        <v>769</v>
      </c>
      <c r="N792">
        <v>4709.8500000000004</v>
      </c>
      <c r="O792" s="227">
        <f t="shared" si="86"/>
        <v>8.820499199986287E-3</v>
      </c>
      <c r="P792" s="5">
        <f>O792-O1278</f>
        <v>9.186256400899458E-3</v>
      </c>
      <c r="Q792" s="8">
        <f t="shared" si="90"/>
        <v>8.4387306663066269E-5</v>
      </c>
      <c r="S792" t="s">
        <v>769</v>
      </c>
      <c r="T792">
        <v>7.14</v>
      </c>
      <c r="U792" s="29">
        <f t="shared" si="87"/>
        <v>-1.5172413793103523E-2</v>
      </c>
      <c r="V792" s="5">
        <f>U792-V1274</f>
        <v>-1.6908604568810562E-2</v>
      </c>
      <c r="X792" t="s">
        <v>759</v>
      </c>
      <c r="Y792">
        <v>5.23</v>
      </c>
      <c r="Z792" s="48">
        <f t="shared" si="88"/>
        <v>5.0200803212851364E-2</v>
      </c>
      <c r="AA792" s="5">
        <f>Z792-Y1274</f>
        <v>4.5983483743577233E-2</v>
      </c>
      <c r="AD792" t="s">
        <v>769</v>
      </c>
      <c r="AE792">
        <v>156.24</v>
      </c>
      <c r="AF792" s="29">
        <f t="shared" si="89"/>
        <v>8.1694821379119542E-2</v>
      </c>
    </row>
    <row r="793" spans="1:32">
      <c r="A793" s="220">
        <v>44451</v>
      </c>
      <c r="B793" s="222">
        <v>37.54</v>
      </c>
      <c r="C793" s="227">
        <f t="shared" si="84"/>
        <v>2.3725115898554527E-2</v>
      </c>
      <c r="D793" s="5">
        <f>C793-C1275</f>
        <v>2.3647070328995639E-2</v>
      </c>
      <c r="F793" s="8"/>
      <c r="H793" s="1">
        <v>44481</v>
      </c>
      <c r="I793">
        <v>39.51</v>
      </c>
      <c r="J793" s="227">
        <f t="shared" si="85"/>
        <v>2.863837542306702E-2</v>
      </c>
      <c r="K793" s="5">
        <f>J793-J1276</f>
        <v>2.6502419507457062E-2</v>
      </c>
      <c r="M793" s="240" t="s">
        <v>770</v>
      </c>
      <c r="N793">
        <v>4634.09</v>
      </c>
      <c r="O793" s="227">
        <f t="shared" si="86"/>
        <v>-1.6085437965115745E-2</v>
      </c>
      <c r="P793" s="5">
        <f>O793-O1278</f>
        <v>-1.5719680764202573E-2</v>
      </c>
      <c r="Q793" s="8">
        <f t="shared" si="90"/>
        <v>2.4710836332844037E-4</v>
      </c>
      <c r="S793" t="s">
        <v>770</v>
      </c>
      <c r="T793">
        <v>6.79</v>
      </c>
      <c r="U793" s="29">
        <f t="shared" si="87"/>
        <v>-4.9019607843137192E-2</v>
      </c>
      <c r="V793" s="5">
        <f>U793-V1274</f>
        <v>-5.0755798618844231E-2</v>
      </c>
      <c r="X793" t="s">
        <v>760</v>
      </c>
      <c r="Y793">
        <v>4.9400000000000004</v>
      </c>
      <c r="Z793" s="48">
        <f t="shared" si="88"/>
        <v>-5.5449330783938766E-2</v>
      </c>
      <c r="AA793" s="5">
        <f>Z793-Y1274</f>
        <v>-5.9666650253212897E-2</v>
      </c>
      <c r="AD793" t="s">
        <v>770</v>
      </c>
      <c r="AE793">
        <v>156.43</v>
      </c>
      <c r="AF793" s="29">
        <f t="shared" si="89"/>
        <v>1.2160778289811436E-3</v>
      </c>
    </row>
    <row r="794" spans="1:32">
      <c r="A794" s="220">
        <v>44420</v>
      </c>
      <c r="B794" s="222">
        <v>38.81</v>
      </c>
      <c r="C794" s="227">
        <f t="shared" si="84"/>
        <v>3.3830580713905212E-2</v>
      </c>
      <c r="D794" s="5">
        <f>C794-C1275</f>
        <v>3.375253514434632E-2</v>
      </c>
      <c r="F794" s="8"/>
      <c r="H794" s="1">
        <v>44451</v>
      </c>
      <c r="I794">
        <v>40.76</v>
      </c>
      <c r="J794" s="227">
        <f t="shared" si="85"/>
        <v>3.1637560111364316E-2</v>
      </c>
      <c r="K794" s="5">
        <f>J794-J1276</f>
        <v>2.9501604195754358E-2</v>
      </c>
      <c r="M794" s="240" t="s">
        <v>771</v>
      </c>
      <c r="N794">
        <v>4668.97</v>
      </c>
      <c r="O794" s="227">
        <f t="shared" si="86"/>
        <v>7.5268283524920765E-3</v>
      </c>
      <c r="P794" s="5">
        <f>O794-O1278</f>
        <v>7.8925855534052475E-3</v>
      </c>
      <c r="Q794" s="8">
        <f t="shared" si="90"/>
        <v>6.229290671782122E-5</v>
      </c>
      <c r="S794" t="s">
        <v>771</v>
      </c>
      <c r="T794">
        <v>7.17</v>
      </c>
      <c r="U794" s="29">
        <f t="shared" si="87"/>
        <v>5.5964653902798256E-2</v>
      </c>
      <c r="V794" s="5">
        <f>U794-V1274</f>
        <v>5.4228463127091217E-2</v>
      </c>
      <c r="X794" t="s">
        <v>761</v>
      </c>
      <c r="Y794">
        <v>5.38</v>
      </c>
      <c r="Z794" s="48">
        <f t="shared" si="88"/>
        <v>8.9068825910931126E-2</v>
      </c>
      <c r="AA794" s="5">
        <f>Z794-Y1274</f>
        <v>8.4851506441656996E-2</v>
      </c>
      <c r="AD794" t="s">
        <v>771</v>
      </c>
      <c r="AE794">
        <v>155.25</v>
      </c>
      <c r="AF794" s="29">
        <f t="shared" si="89"/>
        <v>-7.5433101067570174E-3</v>
      </c>
    </row>
    <row r="795" spans="1:32">
      <c r="A795" s="220">
        <v>44389</v>
      </c>
      <c r="B795" s="222">
        <v>38.08</v>
      </c>
      <c r="C795" s="227">
        <f t="shared" si="84"/>
        <v>-1.8809585158464426E-2</v>
      </c>
      <c r="D795" s="5">
        <f>C795-C1275</f>
        <v>-1.8887630728023314E-2</v>
      </c>
      <c r="F795" s="8"/>
      <c r="H795" s="1">
        <v>44420</v>
      </c>
      <c r="I795">
        <v>42.21</v>
      </c>
      <c r="J795" s="227">
        <f t="shared" si="85"/>
        <v>3.5574092247301348E-2</v>
      </c>
      <c r="K795" s="5">
        <f>J795-J1276</f>
        <v>3.343813633169139E-2</v>
      </c>
      <c r="M795" s="241">
        <v>44481</v>
      </c>
      <c r="N795">
        <v>4712.0200000000004</v>
      </c>
      <c r="O795" s="227">
        <f t="shared" si="86"/>
        <v>9.220449049790469E-3</v>
      </c>
      <c r="P795" s="5">
        <f>O795-O1278</f>
        <v>9.58620625070364E-3</v>
      </c>
      <c r="Q795" s="8">
        <f t="shared" si="90"/>
        <v>9.1895350281029538E-5</v>
      </c>
      <c r="S795" s="1">
        <v>44481</v>
      </c>
      <c r="T795">
        <v>7.12</v>
      </c>
      <c r="U795" s="29">
        <f t="shared" si="87"/>
        <v>-6.9735006973500324E-3</v>
      </c>
      <c r="V795" s="5">
        <f>U795-V1274</f>
        <v>-8.7096914730570713E-3</v>
      </c>
      <c r="X795" t="s">
        <v>762</v>
      </c>
      <c r="Y795">
        <v>5.3</v>
      </c>
      <c r="Z795" s="48">
        <f t="shared" si="88"/>
        <v>-1.4869888475836479E-2</v>
      </c>
      <c r="AA795" s="5">
        <f>Z795-Y1274</f>
        <v>-1.9087207945110613E-2</v>
      </c>
      <c r="AD795" s="1">
        <v>44481</v>
      </c>
      <c r="AE795">
        <v>158</v>
      </c>
      <c r="AF795" s="29">
        <f t="shared" si="89"/>
        <v>1.7713365539452575E-2</v>
      </c>
    </row>
    <row r="796" spans="1:32">
      <c r="A796" s="220">
        <v>44359</v>
      </c>
      <c r="B796" s="222">
        <v>38.49</v>
      </c>
      <c r="C796" s="227">
        <f t="shared" si="84"/>
        <v>1.0766806722689148E-2</v>
      </c>
      <c r="D796" s="5">
        <f>C796-C1275</f>
        <v>1.068876115313026E-2</v>
      </c>
      <c r="F796" s="8"/>
      <c r="H796" s="1">
        <v>44389</v>
      </c>
      <c r="I796">
        <v>41.41</v>
      </c>
      <c r="J796" s="227">
        <f t="shared" si="85"/>
        <v>-1.8952854773750416E-2</v>
      </c>
      <c r="K796" s="5">
        <f>J796-J1276</f>
        <v>-2.1088810689360374E-2</v>
      </c>
      <c r="M796" s="241">
        <v>44451</v>
      </c>
      <c r="N796">
        <v>4667.45</v>
      </c>
      <c r="O796" s="227">
        <f t="shared" si="86"/>
        <v>-9.4587883752617063E-3</v>
      </c>
      <c r="P796" s="5">
        <f>O796-O1278</f>
        <v>-9.0930311743485353E-3</v>
      </c>
      <c r="Q796" s="8">
        <f t="shared" si="90"/>
        <v>8.2683215937674298E-5</v>
      </c>
      <c r="S796" s="1">
        <v>44451</v>
      </c>
      <c r="T796">
        <v>8.08</v>
      </c>
      <c r="U796" s="29">
        <f t="shared" si="87"/>
        <v>0.13483146067415719</v>
      </c>
      <c r="V796" s="5">
        <f>U796-V1274</f>
        <v>0.13309526989845016</v>
      </c>
      <c r="X796" t="s">
        <v>763</v>
      </c>
      <c r="Y796">
        <v>5.6</v>
      </c>
      <c r="Z796" s="48">
        <f t="shared" si="88"/>
        <v>5.6603773584905648E-2</v>
      </c>
      <c r="AA796" s="5">
        <f>Z796-Y1274</f>
        <v>5.2386454115631517E-2</v>
      </c>
      <c r="AD796" s="1">
        <v>44451</v>
      </c>
      <c r="AE796">
        <v>164.86</v>
      </c>
      <c r="AF796" s="29">
        <f t="shared" si="89"/>
        <v>4.3417721518987484E-2</v>
      </c>
    </row>
    <row r="797" spans="1:32">
      <c r="A797" s="220">
        <v>44267</v>
      </c>
      <c r="B797" s="222">
        <v>35.85</v>
      </c>
      <c r="C797" s="227">
        <f t="shared" si="84"/>
        <v>-6.858924395946997E-2</v>
      </c>
      <c r="D797" s="5">
        <f>C797-C1275</f>
        <v>-6.8667289529028855E-2</v>
      </c>
      <c r="F797" s="8"/>
      <c r="H797" s="1">
        <v>44359</v>
      </c>
      <c r="I797">
        <v>41.95</v>
      </c>
      <c r="J797" s="227">
        <f t="shared" si="85"/>
        <v>1.3040328423086445E-2</v>
      </c>
      <c r="K797" s="5">
        <f>J797-J1276</f>
        <v>1.0904372507476487E-2</v>
      </c>
      <c r="M797" s="241">
        <v>44420</v>
      </c>
      <c r="N797">
        <v>4701.21</v>
      </c>
      <c r="O797" s="227">
        <f t="shared" si="86"/>
        <v>7.2330715915542854E-3</v>
      </c>
      <c r="P797" s="5">
        <f>O797-O1278</f>
        <v>7.5988287924674573E-3</v>
      </c>
      <c r="Q797" s="8">
        <f t="shared" si="90"/>
        <v>5.7742199017232433E-5</v>
      </c>
      <c r="S797" s="1">
        <v>44420</v>
      </c>
      <c r="T797">
        <v>8.89</v>
      </c>
      <c r="U797" s="29">
        <f t="shared" si="87"/>
        <v>0.10024752475247523</v>
      </c>
      <c r="V797" s="5">
        <f>U797-V1274</f>
        <v>9.8511333976768187E-2</v>
      </c>
      <c r="X797" t="s">
        <v>764</v>
      </c>
      <c r="Y797">
        <v>5.63</v>
      </c>
      <c r="Z797" s="48">
        <f t="shared" si="88"/>
        <v>5.3571428571428381E-3</v>
      </c>
      <c r="AA797" s="5">
        <f>Z797-Y1274</f>
        <v>1.139823387868704E-3</v>
      </c>
      <c r="AD797" s="1">
        <v>44420</v>
      </c>
      <c r="AE797">
        <v>168.93</v>
      </c>
      <c r="AF797" s="29">
        <f t="shared" si="89"/>
        <v>2.4687613732864211E-2</v>
      </c>
    </row>
    <row r="798" spans="1:32">
      <c r="A798" s="220">
        <v>44239</v>
      </c>
      <c r="B798" s="222">
        <v>38.119999999999997</v>
      </c>
      <c r="C798" s="227">
        <f t="shared" si="84"/>
        <v>6.3319386331938565E-2</v>
      </c>
      <c r="D798" s="5">
        <f>C798-C1275</f>
        <v>6.324134076237968E-2</v>
      </c>
      <c r="F798" s="8"/>
      <c r="H798" s="1">
        <v>44267</v>
      </c>
      <c r="I798">
        <v>39.47</v>
      </c>
      <c r="J798" s="227">
        <f t="shared" si="85"/>
        <v>-5.9117997616209839E-2</v>
      </c>
      <c r="K798" s="5">
        <f>J798-J1276</f>
        <v>-6.1253953531819796E-2</v>
      </c>
      <c r="M798" s="241">
        <v>44389</v>
      </c>
      <c r="N798">
        <v>4686.75</v>
      </c>
      <c r="O798" s="227">
        <f t="shared" si="86"/>
        <v>-3.0758038887860328E-3</v>
      </c>
      <c r="P798" s="5">
        <f>O798-O1278</f>
        <v>-2.7100466878728613E-3</v>
      </c>
      <c r="Q798" s="8">
        <f t="shared" si="90"/>
        <v>7.3443530504506657E-6</v>
      </c>
      <c r="S798" s="1">
        <v>44389</v>
      </c>
      <c r="T798">
        <v>8.85</v>
      </c>
      <c r="U798" s="29">
        <f t="shared" si="87"/>
        <v>-4.4994375703037992E-3</v>
      </c>
      <c r="V798" s="5">
        <f>U798-V1274</f>
        <v>-6.2356283460108372E-3</v>
      </c>
      <c r="X798" t="s">
        <v>765</v>
      </c>
      <c r="Y798">
        <v>6.04</v>
      </c>
      <c r="Z798" s="48">
        <f t="shared" si="88"/>
        <v>7.2824156305506316E-2</v>
      </c>
      <c r="AA798" s="5">
        <f>Z798-Y1274</f>
        <v>6.8606836836232185E-2</v>
      </c>
      <c r="AD798" s="1">
        <v>44389</v>
      </c>
      <c r="AE798">
        <v>163.46</v>
      </c>
      <c r="AF798" s="29">
        <f t="shared" si="89"/>
        <v>-3.2380275853904017E-2</v>
      </c>
    </row>
    <row r="799" spans="1:32">
      <c r="A799" s="220">
        <v>44208</v>
      </c>
      <c r="B799" s="222">
        <v>36.020000000000003</v>
      </c>
      <c r="C799" s="227">
        <f t="shared" si="84"/>
        <v>-5.5089192025183475E-2</v>
      </c>
      <c r="D799" s="5">
        <f>C799-C1275</f>
        <v>-5.5167237594742367E-2</v>
      </c>
      <c r="F799" s="8"/>
      <c r="H799" s="1">
        <v>44239</v>
      </c>
      <c r="I799">
        <v>41.15</v>
      </c>
      <c r="J799" s="227">
        <f t="shared" si="85"/>
        <v>4.2563972637446046E-2</v>
      </c>
      <c r="K799" s="5">
        <f>J799-J1276</f>
        <v>4.0428016721836088E-2</v>
      </c>
      <c r="M799" s="241">
        <v>44359</v>
      </c>
      <c r="N799">
        <v>4591.67</v>
      </c>
      <c r="O799" s="227">
        <f t="shared" si="86"/>
        <v>-2.0286979250013326E-2</v>
      </c>
      <c r="P799" s="5">
        <f>O799-O1278</f>
        <v>-1.9921222049100153E-2</v>
      </c>
      <c r="Q799" s="8">
        <f t="shared" si="90"/>
        <v>3.9685508792955409E-4</v>
      </c>
      <c r="S799" s="1">
        <v>44359</v>
      </c>
      <c r="T799">
        <v>9</v>
      </c>
      <c r="U799" s="29">
        <f t="shared" si="87"/>
        <v>1.6949152542372836E-2</v>
      </c>
      <c r="V799" s="5">
        <f>U799-V1274</f>
        <v>1.5212961766665797E-2</v>
      </c>
      <c r="X799" t="s">
        <v>766</v>
      </c>
      <c r="Y799">
        <v>5.9</v>
      </c>
      <c r="Z799" s="48">
        <f t="shared" si="88"/>
        <v>-2.3178807947019764E-2</v>
      </c>
      <c r="AA799" s="5">
        <f>Z799-Y1274</f>
        <v>-2.7396127416293898E-2</v>
      </c>
      <c r="AD799" s="1">
        <v>44359</v>
      </c>
      <c r="AE799">
        <v>161.54</v>
      </c>
      <c r="AF799" s="29">
        <f t="shared" si="89"/>
        <v>-1.1745992903462676E-2</v>
      </c>
    </row>
    <row r="800" spans="1:32">
      <c r="A800" s="3" t="s">
        <v>772</v>
      </c>
      <c r="B800" s="222">
        <v>38</v>
      </c>
      <c r="C800" s="227">
        <f t="shared" si="84"/>
        <v>5.4969461410327547E-2</v>
      </c>
      <c r="D800" s="5">
        <f>C800-C1275</f>
        <v>5.4891415840768655E-2</v>
      </c>
      <c r="E800" s="1"/>
      <c r="F800" s="8"/>
      <c r="H800" s="1">
        <v>44208</v>
      </c>
      <c r="I800">
        <v>38.22</v>
      </c>
      <c r="J800" s="227">
        <f t="shared" si="85"/>
        <v>-7.1202916160388763E-2</v>
      </c>
      <c r="K800" s="5">
        <f>J800-J1276</f>
        <v>-7.3338872075998721E-2</v>
      </c>
      <c r="M800" s="241">
        <v>44267</v>
      </c>
      <c r="N800">
        <v>4538.43</v>
      </c>
      <c r="O800" s="227">
        <f t="shared" si="86"/>
        <v>-1.1594909912950979E-2</v>
      </c>
      <c r="P800" s="5">
        <f>O800-O1278</f>
        <v>-1.1229152712037808E-2</v>
      </c>
      <c r="Q800" s="8">
        <f t="shared" si="90"/>
        <v>1.2609387063026607E-4</v>
      </c>
      <c r="S800" s="1">
        <v>44267</v>
      </c>
      <c r="T800">
        <v>8.99</v>
      </c>
      <c r="U800" s="29">
        <f t="shared" si="87"/>
        <v>-1.1111111111110628E-3</v>
      </c>
      <c r="V800" s="5">
        <f>U800-V1274</f>
        <v>-2.8473018868181007E-3</v>
      </c>
      <c r="X800" t="s">
        <v>767</v>
      </c>
      <c r="Y800">
        <v>6.28</v>
      </c>
      <c r="Z800" s="48">
        <f t="shared" si="88"/>
        <v>6.4406779661016822E-2</v>
      </c>
      <c r="AA800" s="5">
        <f>Z800-Y1274</f>
        <v>6.0189460191742691E-2</v>
      </c>
      <c r="AD800" s="1">
        <v>44267</v>
      </c>
      <c r="AE800">
        <v>157.71</v>
      </c>
      <c r="AF800" s="29">
        <f t="shared" si="89"/>
        <v>-2.3709298006685531E-2</v>
      </c>
    </row>
    <row r="801" spans="1:32">
      <c r="A801" s="3" t="s">
        <v>773</v>
      </c>
      <c r="B801" s="222">
        <v>39.700000000000003</v>
      </c>
      <c r="C801" s="227">
        <f t="shared" si="84"/>
        <v>4.4736842105263186E-2</v>
      </c>
      <c r="D801" s="5">
        <f>C801-C1275</f>
        <v>4.4658796535704294E-2</v>
      </c>
      <c r="E801" s="1"/>
      <c r="F801" s="8"/>
      <c r="H801" t="s">
        <v>772</v>
      </c>
      <c r="I801">
        <v>40.61</v>
      </c>
      <c r="J801" s="227">
        <f t="shared" si="85"/>
        <v>6.2532705389848342E-2</v>
      </c>
      <c r="K801" s="5">
        <f>J801-J1276</f>
        <v>6.0396749474238384E-2</v>
      </c>
      <c r="M801" s="241">
        <v>44239</v>
      </c>
      <c r="N801">
        <v>4577.1000000000004</v>
      </c>
      <c r="O801" s="227">
        <f t="shared" si="86"/>
        <v>8.5205676853008505E-3</v>
      </c>
      <c r="P801" s="5">
        <f>O801-O1278</f>
        <v>8.8863248862140216E-3</v>
      </c>
      <c r="Q801" s="8">
        <f t="shared" si="90"/>
        <v>7.8966769983346643E-5</v>
      </c>
      <c r="S801" s="1">
        <v>44239</v>
      </c>
      <c r="T801">
        <v>8.75</v>
      </c>
      <c r="U801" s="29">
        <f t="shared" si="87"/>
        <v>-2.6696329254727535E-2</v>
      </c>
      <c r="V801" s="5">
        <f>U801-V1274</f>
        <v>-2.8432520030434574E-2</v>
      </c>
      <c r="X801" t="s">
        <v>768</v>
      </c>
      <c r="Y801">
        <v>6.34</v>
      </c>
      <c r="Z801" s="48">
        <f t="shared" si="88"/>
        <v>9.5541401273884219E-3</v>
      </c>
      <c r="AA801" s="5">
        <f>Z801-Y1274</f>
        <v>5.3368206581142878E-3</v>
      </c>
      <c r="AD801" s="1">
        <v>44239</v>
      </c>
      <c r="AE801">
        <v>166.12</v>
      </c>
      <c r="AF801" s="29">
        <f t="shared" si="89"/>
        <v>5.3325724430917543E-2</v>
      </c>
    </row>
    <row r="802" spans="1:32">
      <c r="A802" s="3" t="s">
        <v>774</v>
      </c>
      <c r="B802" s="222">
        <v>40.520000000000003</v>
      </c>
      <c r="C802" s="227">
        <f t="shared" si="84"/>
        <v>2.0654911838790868E-2</v>
      </c>
      <c r="D802" s="5">
        <f>C802-C1275</f>
        <v>2.057686626923198E-2</v>
      </c>
      <c r="E802" s="1"/>
      <c r="F802" s="8"/>
      <c r="H802" t="s">
        <v>773</v>
      </c>
      <c r="I802">
        <v>41.82</v>
      </c>
      <c r="J802" s="227">
        <f t="shared" si="85"/>
        <v>2.9795616843142136E-2</v>
      </c>
      <c r="K802" s="5">
        <f>J802-J1276</f>
        <v>2.7659660927532179E-2</v>
      </c>
      <c r="M802" s="241">
        <v>44208</v>
      </c>
      <c r="N802">
        <v>4513.04</v>
      </c>
      <c r="O802" s="227">
        <f t="shared" si="86"/>
        <v>-1.3995761508378779E-2</v>
      </c>
      <c r="P802" s="5">
        <f>O802-O1278</f>
        <v>-1.3630004307465608E-2</v>
      </c>
      <c r="Q802" s="8">
        <f t="shared" si="90"/>
        <v>1.8577701742153102E-4</v>
      </c>
      <c r="S802" s="1">
        <v>44389</v>
      </c>
      <c r="T802">
        <v>8.85</v>
      </c>
      <c r="U802" s="29">
        <f t="shared" si="87"/>
        <v>1.1428571428571344E-2</v>
      </c>
      <c r="V802" s="5">
        <f>U802-V1274</f>
        <v>9.6923806528643047E-3</v>
      </c>
      <c r="X802" t="s">
        <v>769</v>
      </c>
      <c r="Y802">
        <v>6.07</v>
      </c>
      <c r="Z802" s="48">
        <f t="shared" si="88"/>
        <v>-4.258675078864349E-2</v>
      </c>
      <c r="AA802" s="5">
        <f>Z802-Y1274</f>
        <v>-4.6804070257917621E-2</v>
      </c>
      <c r="AD802" s="1">
        <v>44208</v>
      </c>
      <c r="AE802">
        <v>161.62</v>
      </c>
      <c r="AF802" s="29">
        <f t="shared" si="89"/>
        <v>-2.7088851432699235E-2</v>
      </c>
    </row>
    <row r="803" spans="1:32">
      <c r="A803" s="3" t="s">
        <v>775</v>
      </c>
      <c r="B803" s="222">
        <v>42.08</v>
      </c>
      <c r="C803" s="227">
        <f t="shared" si="84"/>
        <v>3.8499506416584284E-2</v>
      </c>
      <c r="D803" s="5">
        <f>C803-C1275</f>
        <v>3.8421460847025392E-2</v>
      </c>
      <c r="E803" s="1"/>
      <c r="F803" s="8"/>
      <c r="H803" t="s">
        <v>774</v>
      </c>
      <c r="I803">
        <v>42.4</v>
      </c>
      <c r="J803" s="227">
        <f t="shared" si="85"/>
        <v>1.3868962219033998E-2</v>
      </c>
      <c r="K803" s="5">
        <f>J803-J1276</f>
        <v>1.173300630342404E-2</v>
      </c>
      <c r="M803" s="240" t="s">
        <v>772</v>
      </c>
      <c r="N803">
        <v>4567</v>
      </c>
      <c r="O803" s="227">
        <f t="shared" si="86"/>
        <v>1.1956463935617778E-2</v>
      </c>
      <c r="P803" s="5">
        <f>O803-O1278</f>
        <v>1.2322221136530949E-2</v>
      </c>
      <c r="Q803" s="8">
        <f t="shared" si="90"/>
        <v>1.5183713373757008E-4</v>
      </c>
      <c r="S803" s="1">
        <v>44359</v>
      </c>
      <c r="T803">
        <v>9</v>
      </c>
      <c r="U803" s="29">
        <f t="shared" si="87"/>
        <v>1.6949152542372836E-2</v>
      </c>
      <c r="V803" s="5">
        <f>U803-V1274</f>
        <v>1.5212961766665797E-2</v>
      </c>
      <c r="X803" t="s">
        <v>770</v>
      </c>
      <c r="Y803">
        <v>6.32</v>
      </c>
      <c r="Z803" s="48">
        <f t="shared" si="88"/>
        <v>4.1186161449752845E-2</v>
      </c>
      <c r="AA803" s="5">
        <f>Z803-Y1274</f>
        <v>3.6968841980478714E-2</v>
      </c>
      <c r="AD803" t="s">
        <v>772</v>
      </c>
      <c r="AE803">
        <v>178.77</v>
      </c>
      <c r="AF803" s="29">
        <f t="shared" si="89"/>
        <v>0.10611310481376068</v>
      </c>
    </row>
    <row r="804" spans="1:32">
      <c r="A804" s="3" t="s">
        <v>776</v>
      </c>
      <c r="B804" s="222">
        <v>42.68</v>
      </c>
      <c r="C804" s="227">
        <f t="shared" si="84"/>
        <v>1.4258555133079831E-2</v>
      </c>
      <c r="D804" s="5">
        <f>C804-C1275</f>
        <v>1.4180509563520943E-2</v>
      </c>
      <c r="E804" s="1"/>
      <c r="F804" s="8"/>
      <c r="H804" t="s">
        <v>775</v>
      </c>
      <c r="I804">
        <v>44.52</v>
      </c>
      <c r="J804" s="227">
        <f t="shared" si="85"/>
        <v>5.0000000000000044E-2</v>
      </c>
      <c r="K804" s="5">
        <f>J804-J1276</f>
        <v>4.7864044084390087E-2</v>
      </c>
      <c r="M804" s="240" t="s">
        <v>773</v>
      </c>
      <c r="N804">
        <v>4655.2700000000004</v>
      </c>
      <c r="O804" s="227">
        <f t="shared" si="86"/>
        <v>1.9327786292971494E-2</v>
      </c>
      <c r="P804" s="5">
        <f>O804-O1278</f>
        <v>1.9693543493884667E-2</v>
      </c>
      <c r="Q804" s="8">
        <f t="shared" si="90"/>
        <v>3.8783565534552709E-4</v>
      </c>
      <c r="S804" s="1">
        <v>44267</v>
      </c>
      <c r="T804">
        <v>8.99</v>
      </c>
      <c r="U804" s="29">
        <f t="shared" si="87"/>
        <v>-1.1111111111110628E-3</v>
      </c>
      <c r="V804" s="5">
        <f>U804-V1274</f>
        <v>-2.8473018868181007E-3</v>
      </c>
      <c r="X804" t="s">
        <v>771</v>
      </c>
      <c r="Y804">
        <v>6.42</v>
      </c>
      <c r="Z804" s="48">
        <f t="shared" si="88"/>
        <v>1.5822784810126445E-2</v>
      </c>
      <c r="AA804" s="5">
        <f>Z804-Y1274</f>
        <v>1.160546534085231E-2</v>
      </c>
      <c r="AD804" t="s">
        <v>773</v>
      </c>
      <c r="AE804">
        <v>183.01</v>
      </c>
      <c r="AF804" s="29">
        <f t="shared" si="89"/>
        <v>2.3717625999887915E-2</v>
      </c>
    </row>
    <row r="805" spans="1:32">
      <c r="A805" s="3" t="s">
        <v>777</v>
      </c>
      <c r="B805" s="222">
        <v>42.6</v>
      </c>
      <c r="C805" s="227">
        <f t="shared" si="84"/>
        <v>-1.8744142455482393E-3</v>
      </c>
      <c r="D805" s="5">
        <f>C805-C1275</f>
        <v>-1.9524598151071286E-3</v>
      </c>
      <c r="E805" s="1"/>
      <c r="F805" s="8"/>
      <c r="H805" t="s">
        <v>776</v>
      </c>
      <c r="I805">
        <v>45.67</v>
      </c>
      <c r="J805" s="227">
        <f t="shared" si="85"/>
        <v>2.5831087151841903E-2</v>
      </c>
      <c r="K805" s="5">
        <f>J805-J1276</f>
        <v>2.3695131236231945E-2</v>
      </c>
      <c r="M805" s="240" t="s">
        <v>774</v>
      </c>
      <c r="N805">
        <v>4594.62</v>
      </c>
      <c r="O805" s="227">
        <f t="shared" si="86"/>
        <v>-1.3028245407892713E-2</v>
      </c>
      <c r="P805" s="5">
        <f>O805-O1278</f>
        <v>-1.2662488206979542E-2</v>
      </c>
      <c r="Q805" s="8">
        <f t="shared" si="90"/>
        <v>1.6033860759189598E-4</v>
      </c>
      <c r="S805" s="1">
        <v>44239</v>
      </c>
      <c r="T805">
        <v>8.75</v>
      </c>
      <c r="U805" s="29">
        <f t="shared" si="87"/>
        <v>-2.6696329254727535E-2</v>
      </c>
      <c r="V805" s="5">
        <f>U805-V1274</f>
        <v>-2.8432520030434574E-2</v>
      </c>
      <c r="X805" s="1">
        <v>44481</v>
      </c>
      <c r="Y805">
        <v>6.49</v>
      </c>
      <c r="Z805" s="48">
        <f t="shared" si="88"/>
        <v>1.0903426791277315E-2</v>
      </c>
      <c r="AA805" s="5">
        <f>Z805-Y1274</f>
        <v>6.6861073220031812E-3</v>
      </c>
      <c r="AD805" t="s">
        <v>774</v>
      </c>
      <c r="AE805">
        <v>187.92</v>
      </c>
      <c r="AF805" s="29">
        <f t="shared" si="89"/>
        <v>2.6829135019944328E-2</v>
      </c>
    </row>
    <row r="806" spans="1:32">
      <c r="A806" s="3" t="s">
        <v>778</v>
      </c>
      <c r="B806" s="222">
        <v>44.23</v>
      </c>
      <c r="C806" s="227">
        <f t="shared" si="84"/>
        <v>3.8262910798122052E-2</v>
      </c>
      <c r="D806" s="5">
        <f>C806-C1275</f>
        <v>3.818486522856316E-2</v>
      </c>
      <c r="E806" s="1"/>
      <c r="F806" s="8"/>
      <c r="H806" t="s">
        <v>777</v>
      </c>
      <c r="I806">
        <v>45.48</v>
      </c>
      <c r="J806" s="227">
        <f t="shared" si="85"/>
        <v>-4.1602802715131615E-3</v>
      </c>
      <c r="K806" s="5">
        <f>J806-J1276</f>
        <v>-6.2962361871231193E-3</v>
      </c>
      <c r="M806" s="240" t="s">
        <v>775</v>
      </c>
      <c r="N806">
        <v>4701.46</v>
      </c>
      <c r="O806" s="227">
        <f t="shared" si="86"/>
        <v>2.3253283187728346E-2</v>
      </c>
      <c r="P806" s="5">
        <f>O806-O1278</f>
        <v>2.3619040388641519E-2</v>
      </c>
      <c r="Q806" s="8">
        <f t="shared" si="90"/>
        <v>5.5785906888027937E-4</v>
      </c>
      <c r="X806" s="1">
        <v>44451</v>
      </c>
      <c r="Y806">
        <v>6.66</v>
      </c>
      <c r="Z806" s="48">
        <f t="shared" si="88"/>
        <v>2.6194144838212585E-2</v>
      </c>
      <c r="AA806" s="5">
        <f>Z806-Y1274</f>
        <v>2.1976825368938451E-2</v>
      </c>
      <c r="AD806" t="s">
        <v>775</v>
      </c>
      <c r="AE806">
        <v>184.93</v>
      </c>
      <c r="AF806" s="29">
        <f t="shared" si="89"/>
        <v>-1.5911025968497139E-2</v>
      </c>
    </row>
    <row r="807" spans="1:32">
      <c r="A807" s="3" t="s">
        <v>779</v>
      </c>
      <c r="B807" s="222">
        <v>45</v>
      </c>
      <c r="C807" s="227">
        <f t="shared" si="84"/>
        <v>1.7408998417363764E-2</v>
      </c>
      <c r="D807" s="5">
        <f>C807-C1275</f>
        <v>1.7330952847804875E-2</v>
      </c>
      <c r="E807" s="1"/>
      <c r="F807" s="8"/>
      <c r="H807" t="s">
        <v>778</v>
      </c>
      <c r="I807">
        <v>47.51</v>
      </c>
      <c r="J807" s="227">
        <f t="shared" si="85"/>
        <v>4.4635004397537426E-2</v>
      </c>
      <c r="K807" s="5">
        <f>J807-J1276</f>
        <v>4.2499048481927468E-2</v>
      </c>
      <c r="M807" s="240" t="s">
        <v>776</v>
      </c>
      <c r="N807">
        <v>4690.7</v>
      </c>
      <c r="O807" s="227">
        <f t="shared" si="86"/>
        <v>-2.2886507595513139E-3</v>
      </c>
      <c r="P807" s="5">
        <f>O807-O1278</f>
        <v>-1.9228935586381424E-3</v>
      </c>
      <c r="Q807" s="8">
        <f t="shared" si="90"/>
        <v>3.6975196378520594E-6</v>
      </c>
      <c r="X807" s="1">
        <v>44420</v>
      </c>
      <c r="Y807">
        <v>6.96</v>
      </c>
      <c r="Z807" s="48">
        <f t="shared" si="88"/>
        <v>4.5045045045045029E-2</v>
      </c>
      <c r="AA807" s="5">
        <f>Z807-Y1274</f>
        <v>4.0827725575770898E-2</v>
      </c>
      <c r="AD807" t="s">
        <v>776</v>
      </c>
      <c r="AE807">
        <v>184.31</v>
      </c>
      <c r="AF807" s="29">
        <f t="shared" si="89"/>
        <v>-3.3526199102362764E-3</v>
      </c>
    </row>
    <row r="808" spans="1:32">
      <c r="A808" s="3" t="s">
        <v>780</v>
      </c>
      <c r="B808" s="222">
        <v>44.11</v>
      </c>
      <c r="C808" s="227">
        <f t="shared" si="84"/>
        <v>-1.9777777777777783E-2</v>
      </c>
      <c r="D808" s="5">
        <f>C808-C1275</f>
        <v>-1.9855823347336671E-2</v>
      </c>
      <c r="E808" s="1"/>
      <c r="F808" s="8"/>
      <c r="H808" t="s">
        <v>779</v>
      </c>
      <c r="I808">
        <v>49.29</v>
      </c>
      <c r="J808" s="227">
        <f t="shared" si="85"/>
        <v>3.7465796674384322E-2</v>
      </c>
      <c r="K808" s="5">
        <f>J808-J1276</f>
        <v>3.5329840758774364E-2</v>
      </c>
      <c r="M808" s="240" t="s">
        <v>777</v>
      </c>
      <c r="N808">
        <v>4682.9399999999996</v>
      </c>
      <c r="O808" s="227">
        <f t="shared" si="86"/>
        <v>-1.6543373057326116E-3</v>
      </c>
      <c r="P808" s="5">
        <f>O808-O1278</f>
        <v>-1.2885801048194401E-3</v>
      </c>
      <c r="Q808" s="8">
        <f t="shared" si="90"/>
        <v>1.6604386865364793E-6</v>
      </c>
      <c r="X808" s="1">
        <v>44389</v>
      </c>
      <c r="Y808">
        <v>7.2</v>
      </c>
      <c r="Z808" s="48">
        <f t="shared" si="88"/>
        <v>3.4482758620689724E-2</v>
      </c>
      <c r="AA808" s="5">
        <f>Z808-Y1274</f>
        <v>3.026543915141559E-2</v>
      </c>
      <c r="AD808" t="s">
        <v>777</v>
      </c>
      <c r="AE808">
        <v>201.46</v>
      </c>
      <c r="AF808" s="29">
        <f t="shared" si="89"/>
        <v>9.30497531333081E-2</v>
      </c>
    </row>
    <row r="809" spans="1:32">
      <c r="A809" s="3" t="s">
        <v>781</v>
      </c>
      <c r="B809" s="222">
        <v>45.76</v>
      </c>
      <c r="C809" s="227">
        <f t="shared" si="84"/>
        <v>3.7406483790523692E-2</v>
      </c>
      <c r="D809" s="5">
        <f>C809-C1275</f>
        <v>3.7328438220964801E-2</v>
      </c>
      <c r="E809" s="1"/>
      <c r="F809" s="8"/>
      <c r="H809" t="s">
        <v>780</v>
      </c>
      <c r="I809">
        <v>49.71</v>
      </c>
      <c r="J809" s="227">
        <f t="shared" si="85"/>
        <v>8.5209981740719254E-3</v>
      </c>
      <c r="K809" s="5">
        <f>J809-J1276</f>
        <v>6.3850422584619676E-3</v>
      </c>
      <c r="M809" s="240" t="s">
        <v>778</v>
      </c>
      <c r="N809">
        <v>4697.96</v>
      </c>
      <c r="O809" s="227">
        <f t="shared" si="86"/>
        <v>3.2073868125579441E-3</v>
      </c>
      <c r="P809" s="5">
        <f>O809-O1278</f>
        <v>3.5731440134711156E-3</v>
      </c>
      <c r="Q809" s="8">
        <f t="shared" si="90"/>
        <v>1.2767358141004473E-5</v>
      </c>
      <c r="X809" s="1">
        <v>44359</v>
      </c>
      <c r="Y809">
        <v>6.67</v>
      </c>
      <c r="Z809" s="48">
        <f t="shared" si="88"/>
        <v>-7.3611111111111183E-2</v>
      </c>
      <c r="AA809" s="5">
        <f>Z809-Y1274</f>
        <v>-7.7828430580385313E-2</v>
      </c>
      <c r="AD809" t="s">
        <v>778</v>
      </c>
      <c r="AE809">
        <v>215.25</v>
      </c>
      <c r="AF809" s="29">
        <f t="shared" si="89"/>
        <v>6.845031271716473E-2</v>
      </c>
    </row>
    <row r="810" spans="1:32">
      <c r="A810" s="3" t="s">
        <v>782</v>
      </c>
      <c r="B810" s="222">
        <v>43.61</v>
      </c>
      <c r="C810" s="227">
        <f t="shared" si="84"/>
        <v>-4.6984265734265729E-2</v>
      </c>
      <c r="D810" s="5">
        <f>C810-C1275</f>
        <v>-4.7062311303824621E-2</v>
      </c>
      <c r="F810" s="8"/>
      <c r="H810" t="s">
        <v>781</v>
      </c>
      <c r="I810">
        <v>51.28</v>
      </c>
      <c r="J810" s="227">
        <f t="shared" si="85"/>
        <v>3.1583182458257975E-2</v>
      </c>
      <c r="K810" s="5">
        <f>J810-J1276</f>
        <v>2.9447226542648017E-2</v>
      </c>
      <c r="M810" s="240" t="s">
        <v>779</v>
      </c>
      <c r="N810">
        <v>4704.54</v>
      </c>
      <c r="O810" s="227">
        <f t="shared" si="86"/>
        <v>1.4006079234389901E-3</v>
      </c>
      <c r="P810" s="5">
        <f>O810-O1278</f>
        <v>1.7663651243521616E-3</v>
      </c>
      <c r="Q810" s="8">
        <f t="shared" si="90"/>
        <v>3.1200457525276271E-6</v>
      </c>
      <c r="X810" s="1">
        <v>44267</v>
      </c>
      <c r="Y810">
        <v>6.07</v>
      </c>
      <c r="Z810" s="48">
        <f t="shared" si="88"/>
        <v>-8.9955022488755532E-2</v>
      </c>
      <c r="AA810" s="5">
        <f>Z810-Y1274</f>
        <v>-9.4172341958029662E-2</v>
      </c>
      <c r="AD810" t="s">
        <v>779</v>
      </c>
      <c r="AE810">
        <v>228.81</v>
      </c>
      <c r="AF810" s="29">
        <f t="shared" si="89"/>
        <v>6.2996515679442533E-2</v>
      </c>
    </row>
    <row r="811" spans="1:32">
      <c r="A811" s="220">
        <v>44541</v>
      </c>
      <c r="B811" s="222">
        <v>45.12</v>
      </c>
      <c r="C811" s="227">
        <f t="shared" si="84"/>
        <v>3.4625085989451909E-2</v>
      </c>
      <c r="D811" s="5">
        <f>C811-C1275</f>
        <v>3.4547040419893017E-2</v>
      </c>
      <c r="F811" s="8"/>
      <c r="H811" t="s">
        <v>782</v>
      </c>
      <c r="I811">
        <v>51.66</v>
      </c>
      <c r="J811" s="227">
        <f t="shared" si="85"/>
        <v>7.4102964118563097E-3</v>
      </c>
      <c r="K811" s="5">
        <f>J811-J1276</f>
        <v>5.2743404962463519E-3</v>
      </c>
      <c r="M811" s="240" t="s">
        <v>780</v>
      </c>
      <c r="N811">
        <v>4688.67</v>
      </c>
      <c r="O811" s="227">
        <f t="shared" si="86"/>
        <v>-3.3733372444489929E-3</v>
      </c>
      <c r="P811" s="5">
        <f>O811-O1278</f>
        <v>-3.0075800435358214E-3</v>
      </c>
      <c r="Q811" s="8">
        <f t="shared" si="90"/>
        <v>9.0455377182749332E-6</v>
      </c>
      <c r="X811" s="1">
        <v>44239</v>
      </c>
      <c r="Y811">
        <v>7.8</v>
      </c>
      <c r="Z811" s="48">
        <f t="shared" si="88"/>
        <v>0.28500823723228996</v>
      </c>
      <c r="AA811" s="5">
        <f>Z811-Y1274</f>
        <v>0.28079091776301585</v>
      </c>
      <c r="AD811" t="s">
        <v>780</v>
      </c>
      <c r="AE811">
        <v>229.46</v>
      </c>
      <c r="AF811" s="29">
        <f t="shared" si="89"/>
        <v>2.8407849307285904E-3</v>
      </c>
    </row>
    <row r="812" spans="1:32">
      <c r="A812" s="220">
        <v>44511</v>
      </c>
      <c r="B812" s="222">
        <v>43.28</v>
      </c>
      <c r="C812" s="227">
        <f t="shared" si="84"/>
        <v>-4.0780141843971607E-2</v>
      </c>
      <c r="D812" s="5">
        <f>C812-C1275</f>
        <v>-4.0858187413530499E-2</v>
      </c>
      <c r="F812" s="8"/>
      <c r="H812" s="1">
        <v>44541</v>
      </c>
      <c r="I812">
        <v>52.96</v>
      </c>
      <c r="J812" s="227">
        <f t="shared" si="85"/>
        <v>2.51645373596594E-2</v>
      </c>
      <c r="K812" s="5">
        <f>J812-J1276</f>
        <v>2.3028581444049442E-2</v>
      </c>
      <c r="M812" s="240" t="s">
        <v>781</v>
      </c>
      <c r="N812">
        <v>4700.8999999999996</v>
      </c>
      <c r="O812" s="227">
        <f t="shared" si="86"/>
        <v>2.6084156061312314E-3</v>
      </c>
      <c r="P812" s="5">
        <f>O812-O1278</f>
        <v>2.9741728070444028E-3</v>
      </c>
      <c r="Q812" s="8">
        <f t="shared" si="90"/>
        <v>8.8457038861623819E-6</v>
      </c>
      <c r="X812" s="1">
        <v>44208</v>
      </c>
      <c r="Y812">
        <v>7.81</v>
      </c>
      <c r="Z812" s="48">
        <f t="shared" si="88"/>
        <v>1.2820512820512775E-3</v>
      </c>
      <c r="AA812" s="5">
        <f>Z812-Y1274</f>
        <v>-2.9352681872228566E-3</v>
      </c>
      <c r="AD812" t="s">
        <v>781</v>
      </c>
      <c r="AE812">
        <v>234.65</v>
      </c>
      <c r="AF812" s="29">
        <f t="shared" si="89"/>
        <v>2.2618321276039355E-2</v>
      </c>
    </row>
    <row r="813" spans="1:32">
      <c r="A813" s="220">
        <v>44480</v>
      </c>
      <c r="B813" s="222">
        <v>43.38</v>
      </c>
      <c r="C813" s="227">
        <f t="shared" si="84"/>
        <v>2.3105360443622658E-3</v>
      </c>
      <c r="D813" s="5">
        <f>C813-C1275</f>
        <v>2.2324904748033765E-3</v>
      </c>
      <c r="F813" s="8"/>
      <c r="H813" s="1">
        <v>44511</v>
      </c>
      <c r="I813">
        <v>53.18</v>
      </c>
      <c r="J813" s="227">
        <f t="shared" si="85"/>
        <v>4.1540785498488386E-3</v>
      </c>
      <c r="K813" s="5">
        <f>J813-J1276</f>
        <v>2.0181226342388808E-3</v>
      </c>
      <c r="M813" s="240" t="s">
        <v>782</v>
      </c>
      <c r="N813">
        <v>4682.8</v>
      </c>
      <c r="O813" s="227">
        <f t="shared" si="86"/>
        <v>-3.8503265332169301E-3</v>
      </c>
      <c r="P813" s="5">
        <f>O813-O1278</f>
        <v>-3.4845693323037586E-3</v>
      </c>
      <c r="Q813" s="8">
        <f t="shared" si="90"/>
        <v>1.2142223431631862E-5</v>
      </c>
      <c r="X813" t="s">
        <v>772</v>
      </c>
      <c r="Y813">
        <v>7.63</v>
      </c>
      <c r="Z813" s="48">
        <f t="shared" si="88"/>
        <v>-2.3047375160051176E-2</v>
      </c>
      <c r="AA813" s="5">
        <f>Z813-Y1274</f>
        <v>-2.726469462932531E-2</v>
      </c>
      <c r="AD813" t="s">
        <v>782</v>
      </c>
      <c r="AE813">
        <v>242.72</v>
      </c>
      <c r="AF813" s="29">
        <f t="shared" si="89"/>
        <v>3.4391647134029313E-2</v>
      </c>
    </row>
    <row r="814" spans="1:32">
      <c r="A814" s="220">
        <v>44450</v>
      </c>
      <c r="B814" s="222">
        <v>45.51</v>
      </c>
      <c r="C814" s="227">
        <f t="shared" si="84"/>
        <v>4.9100968188104943E-2</v>
      </c>
      <c r="D814" s="5">
        <f>C814-C1275</f>
        <v>4.9022922618546051E-2</v>
      </c>
      <c r="F814" s="8"/>
      <c r="H814" s="1">
        <v>44480</v>
      </c>
      <c r="I814">
        <v>54.6</v>
      </c>
      <c r="J814" s="227">
        <f t="shared" si="85"/>
        <v>2.6701767581797764E-2</v>
      </c>
      <c r="K814" s="5">
        <f>J814-J1276</f>
        <v>2.4565811666187806E-2</v>
      </c>
      <c r="M814" s="241">
        <v>44541</v>
      </c>
      <c r="N814">
        <v>4682.8500000000004</v>
      </c>
      <c r="O814" s="227">
        <f t="shared" si="86"/>
        <v>1.0677372512146732E-5</v>
      </c>
      <c r="P814" s="5">
        <f>O814-O1278</f>
        <v>3.7643457342531828E-4</v>
      </c>
      <c r="Q814" s="8">
        <f t="shared" si="90"/>
        <v>1.4170298806990133E-7</v>
      </c>
      <c r="X814" t="s">
        <v>773</v>
      </c>
      <c r="Y814">
        <v>7.81</v>
      </c>
      <c r="Z814" s="48">
        <f t="shared" si="88"/>
        <v>2.3591087811271283E-2</v>
      </c>
      <c r="AA814" s="5">
        <f>Z814-Y1274</f>
        <v>1.9373768341997149E-2</v>
      </c>
      <c r="AD814" s="1">
        <v>44541</v>
      </c>
      <c r="AE814">
        <v>245.97</v>
      </c>
      <c r="AF814" s="29">
        <f t="shared" si="89"/>
        <v>1.3389914304548389E-2</v>
      </c>
    </row>
    <row r="815" spans="1:32">
      <c r="A815" s="220">
        <v>44419</v>
      </c>
      <c r="B815" s="222">
        <v>45.89</v>
      </c>
      <c r="C815" s="227">
        <f t="shared" si="84"/>
        <v>8.3498132278621018E-3</v>
      </c>
      <c r="D815" s="5">
        <f>C815-C1275</f>
        <v>8.2717676583032133E-3</v>
      </c>
      <c r="F815" s="8"/>
      <c r="H815" s="1">
        <v>44450</v>
      </c>
      <c r="I815">
        <v>56.26</v>
      </c>
      <c r="J815" s="227">
        <f t="shared" si="85"/>
        <v>3.0402930402930295E-2</v>
      </c>
      <c r="K815" s="5">
        <f>J815-J1276</f>
        <v>2.8266974487320337E-2</v>
      </c>
      <c r="M815" s="241">
        <v>44511</v>
      </c>
      <c r="N815">
        <v>4649.2700000000004</v>
      </c>
      <c r="O815" s="227">
        <f t="shared" si="86"/>
        <v>-7.1708468133722114E-3</v>
      </c>
      <c r="P815" s="5">
        <f>O815-O1278</f>
        <v>-6.8050896124590395E-3</v>
      </c>
      <c r="Q815" s="8">
        <f t="shared" si="90"/>
        <v>4.6309244633597918E-5</v>
      </c>
      <c r="X815" t="s">
        <v>774</v>
      </c>
      <c r="Y815">
        <v>7.88</v>
      </c>
      <c r="Z815" s="48">
        <f t="shared" si="88"/>
        <v>8.9628681177977843E-3</v>
      </c>
      <c r="AA815" s="5">
        <f>Z815-Y1274</f>
        <v>4.7455486485236502E-3</v>
      </c>
      <c r="AD815" s="1">
        <v>44511</v>
      </c>
      <c r="AE815">
        <v>227.42</v>
      </c>
      <c r="AF815" s="29">
        <f t="shared" si="89"/>
        <v>-7.5415701101760435E-2</v>
      </c>
    </row>
    <row r="816" spans="1:32">
      <c r="A816" s="220">
        <v>44327</v>
      </c>
      <c r="B816" s="222">
        <v>47.19</v>
      </c>
      <c r="C816" s="227">
        <f t="shared" si="84"/>
        <v>2.8328611898016831E-2</v>
      </c>
      <c r="D816" s="5">
        <f>C816-C1275</f>
        <v>2.8250566328457943E-2</v>
      </c>
      <c r="F816" s="8"/>
      <c r="H816" s="1">
        <v>44419</v>
      </c>
      <c r="I816">
        <v>55.24</v>
      </c>
      <c r="J816" s="227">
        <f t="shared" si="85"/>
        <v>-1.8130110202630556E-2</v>
      </c>
      <c r="K816" s="5">
        <f>J816-J1276</f>
        <v>-2.0266066118240514E-2</v>
      </c>
      <c r="M816" s="241">
        <v>44480</v>
      </c>
      <c r="N816">
        <v>4646.71</v>
      </c>
      <c r="O816" s="227">
        <f t="shared" si="86"/>
        <v>-5.5062407646799816E-4</v>
      </c>
      <c r="P816" s="5">
        <f>O816-O1278</f>
        <v>-1.8486687555482661E-4</v>
      </c>
      <c r="Q816" s="8">
        <f t="shared" si="90"/>
        <v>3.4175761677403748E-8</v>
      </c>
      <c r="X816" t="s">
        <v>775</v>
      </c>
      <c r="Y816">
        <v>8.11</v>
      </c>
      <c r="Z816" s="48">
        <f t="shared" si="88"/>
        <v>2.9187817258883086E-2</v>
      </c>
      <c r="AA816" s="5">
        <f>Z816-Y1274</f>
        <v>2.4970497789608952E-2</v>
      </c>
      <c r="AD816" s="1">
        <v>44480</v>
      </c>
      <c r="AE816">
        <v>214.24</v>
      </c>
      <c r="AF816" s="29">
        <f t="shared" si="89"/>
        <v>-5.7954445519303399E-2</v>
      </c>
    </row>
    <row r="817" spans="1:32">
      <c r="A817" s="220">
        <v>44297</v>
      </c>
      <c r="B817" s="222">
        <v>45.27</v>
      </c>
      <c r="C817" s="227">
        <f t="shared" si="84"/>
        <v>-4.068658614113152E-2</v>
      </c>
      <c r="D817" s="5">
        <f>C817-C1275</f>
        <v>-4.0764631710690412E-2</v>
      </c>
      <c r="F817" s="8"/>
      <c r="H817" s="1">
        <v>44327</v>
      </c>
      <c r="I817">
        <v>53.55</v>
      </c>
      <c r="J817" s="227">
        <f t="shared" si="85"/>
        <v>-3.0593772628530136E-2</v>
      </c>
      <c r="K817" s="5">
        <f>J817-J1276</f>
        <v>-3.2729728544140094E-2</v>
      </c>
      <c r="M817" s="241">
        <v>44450</v>
      </c>
      <c r="N817">
        <v>4685.25</v>
      </c>
      <c r="O817" s="227">
        <f t="shared" si="86"/>
        <v>8.294040299480665E-3</v>
      </c>
      <c r="P817" s="5">
        <f>O817-O1278</f>
        <v>8.6597975003938361E-3</v>
      </c>
      <c r="Q817" s="8">
        <f t="shared" si="90"/>
        <v>7.4992092747827325E-5</v>
      </c>
      <c r="X817" t="s">
        <v>776</v>
      </c>
      <c r="Y817">
        <v>8.1199999999999992</v>
      </c>
      <c r="Z817" s="48">
        <f t="shared" si="88"/>
        <v>1.2330456226881115E-3</v>
      </c>
      <c r="AA817" s="5">
        <f>Z817-Y1274</f>
        <v>-2.9842738465860226E-3</v>
      </c>
      <c r="AD817" s="1">
        <v>44450</v>
      </c>
      <c r="AE817">
        <v>192.01</v>
      </c>
      <c r="AF817" s="29">
        <f t="shared" si="89"/>
        <v>-0.10376213592233019</v>
      </c>
    </row>
    <row r="818" spans="1:32">
      <c r="A818" s="220">
        <v>44266</v>
      </c>
      <c r="B818" s="222">
        <v>45.72</v>
      </c>
      <c r="C818" s="227">
        <f t="shared" si="84"/>
        <v>9.9403578528827197E-3</v>
      </c>
      <c r="D818" s="5">
        <f>C818-C1275</f>
        <v>9.8623122833238312E-3</v>
      </c>
      <c r="F818" s="8"/>
      <c r="H818" s="1">
        <v>44297</v>
      </c>
      <c r="I818">
        <v>49.14</v>
      </c>
      <c r="J818" s="227">
        <f t="shared" si="85"/>
        <v>-8.2352941176470518E-2</v>
      </c>
      <c r="K818" s="5">
        <f>J818-J1276</f>
        <v>-8.4488897092080475E-2</v>
      </c>
      <c r="M818" s="241">
        <v>44419</v>
      </c>
      <c r="N818">
        <v>4701.7</v>
      </c>
      <c r="O818" s="227">
        <f t="shared" si="86"/>
        <v>3.5110186222719886E-3</v>
      </c>
      <c r="P818" s="5">
        <f>O818-O1278</f>
        <v>3.8767758231851601E-3</v>
      </c>
      <c r="Q818" s="8">
        <f t="shared" si="90"/>
        <v>1.5029390783232975E-5</v>
      </c>
      <c r="X818" t="s">
        <v>777</v>
      </c>
      <c r="Y818">
        <v>8.1300000000000008</v>
      </c>
      <c r="Z818" s="48">
        <f t="shared" si="88"/>
        <v>1.2315270935963074E-3</v>
      </c>
      <c r="AA818" s="5">
        <f>Z818-Y1274</f>
        <v>-2.9857923756778267E-3</v>
      </c>
      <c r="AD818" s="1">
        <v>44419</v>
      </c>
      <c r="AE818">
        <v>193.15</v>
      </c>
      <c r="AF818" s="29">
        <f t="shared" si="89"/>
        <v>5.9371907713141603E-3</v>
      </c>
    </row>
    <row r="819" spans="1:32">
      <c r="A819" s="220">
        <v>44238</v>
      </c>
      <c r="B819" s="222">
        <v>42.89</v>
      </c>
      <c r="C819" s="227">
        <f t="shared" si="84"/>
        <v>-6.1898512685914175E-2</v>
      </c>
      <c r="D819" s="5">
        <f>C819-C1275</f>
        <v>-6.1976558255473067E-2</v>
      </c>
      <c r="F819" s="8"/>
      <c r="H819" s="1">
        <v>44266</v>
      </c>
      <c r="I819">
        <v>49.03</v>
      </c>
      <c r="J819" s="227">
        <f t="shared" si="85"/>
        <v>-2.2385022385021935E-3</v>
      </c>
      <c r="K819" s="5">
        <f>J819-J1276</f>
        <v>-4.3744581541121513E-3</v>
      </c>
      <c r="M819" s="241">
        <v>44327</v>
      </c>
      <c r="N819">
        <v>4697.53</v>
      </c>
      <c r="O819" s="227">
        <f t="shared" si="86"/>
        <v>-8.8691324414580386E-4</v>
      </c>
      <c r="P819" s="5">
        <f>O819-O1278</f>
        <v>-5.2115604323263237E-4</v>
      </c>
      <c r="Q819" s="8">
        <f t="shared" si="90"/>
        <v>2.7160362139789339E-7</v>
      </c>
      <c r="X819" t="s">
        <v>778</v>
      </c>
      <c r="Y819">
        <v>8.3000000000000007</v>
      </c>
      <c r="Z819" s="48">
        <f t="shared" si="88"/>
        <v>2.091020910209096E-2</v>
      </c>
      <c r="AA819" s="5">
        <f>Z819-Y1274</f>
        <v>1.6692889632816826E-2</v>
      </c>
      <c r="AD819" s="1">
        <v>44327</v>
      </c>
      <c r="AE819">
        <v>198.68</v>
      </c>
      <c r="AF819" s="29">
        <f t="shared" si="89"/>
        <v>2.8630597980843886E-2</v>
      </c>
    </row>
    <row r="820" spans="1:32">
      <c r="A820" s="220">
        <v>44207</v>
      </c>
      <c r="B820" s="222">
        <v>44.36</v>
      </c>
      <c r="C820" s="227">
        <f t="shared" si="84"/>
        <v>3.4273723478666307E-2</v>
      </c>
      <c r="D820" s="5">
        <f>C820-C1275</f>
        <v>3.4195677909107415E-2</v>
      </c>
      <c r="F820" s="8"/>
      <c r="H820" s="1">
        <v>44238</v>
      </c>
      <c r="I820">
        <v>45.32</v>
      </c>
      <c r="J820" s="227">
        <f t="shared" si="85"/>
        <v>-7.56679583928207E-2</v>
      </c>
      <c r="K820" s="5">
        <f>J820-J1276</f>
        <v>-7.7803914308430658E-2</v>
      </c>
      <c r="M820" s="241">
        <v>44297</v>
      </c>
      <c r="N820">
        <v>4680.0600000000004</v>
      </c>
      <c r="O820" s="227">
        <f t="shared" si="86"/>
        <v>-3.7189757170256188E-3</v>
      </c>
      <c r="P820" s="5">
        <f>O820-O1278</f>
        <v>-3.3532185161124473E-3</v>
      </c>
      <c r="Q820" s="8">
        <f t="shared" si="90"/>
        <v>1.1244074416799364E-5</v>
      </c>
      <c r="X820" t="s">
        <v>779</v>
      </c>
      <c r="Y820">
        <v>8.43</v>
      </c>
      <c r="Z820" s="48">
        <f t="shared" si="88"/>
        <v>1.5662650602409567E-2</v>
      </c>
      <c r="AA820" s="5">
        <f>Z820-Y1274</f>
        <v>1.1445331133135433E-2</v>
      </c>
      <c r="AD820" s="1">
        <v>44297</v>
      </c>
      <c r="AE820">
        <v>207.44</v>
      </c>
      <c r="AF820" s="29">
        <f t="shared" si="89"/>
        <v>4.4091000603986297E-2</v>
      </c>
    </row>
    <row r="821" spans="1:32">
      <c r="A821" s="3" t="s">
        <v>783</v>
      </c>
      <c r="B821" s="222">
        <v>43.82</v>
      </c>
      <c r="C821" s="227">
        <f t="shared" si="84"/>
        <v>-1.2173128944995448E-2</v>
      </c>
      <c r="D821" s="5">
        <f>C821-C1275</f>
        <v>-1.2251174514554337E-2</v>
      </c>
      <c r="F821" s="8"/>
      <c r="H821" s="1">
        <v>44207</v>
      </c>
      <c r="I821">
        <v>46.4</v>
      </c>
      <c r="J821" s="227">
        <f t="shared" si="85"/>
        <v>2.383053839364524E-2</v>
      </c>
      <c r="K821" s="5">
        <f>J821-J1276</f>
        <v>2.1694582478035282E-2</v>
      </c>
      <c r="M821" s="241">
        <v>44266</v>
      </c>
      <c r="N821">
        <v>4660.57</v>
      </c>
      <c r="O821" s="227">
        <f t="shared" si="86"/>
        <v>-4.1644765238053605E-3</v>
      </c>
      <c r="P821" s="5">
        <f>O821-O1278</f>
        <v>-3.798719322892189E-3</v>
      </c>
      <c r="Q821" s="8">
        <f t="shared" si="90"/>
        <v>1.443026849411449E-5</v>
      </c>
      <c r="X821" t="s">
        <v>780</v>
      </c>
      <c r="Y821">
        <v>8.64</v>
      </c>
      <c r="Z821" s="48">
        <f t="shared" si="88"/>
        <v>2.4911032028469782E-2</v>
      </c>
      <c r="AA821" s="5">
        <f>Z821-Y1274</f>
        <v>2.0693712559195648E-2</v>
      </c>
      <c r="AD821" s="1">
        <v>44266</v>
      </c>
      <c r="AE821">
        <v>206.02</v>
      </c>
      <c r="AF821" s="29">
        <f t="shared" si="89"/>
        <v>-6.8453528731198254E-3</v>
      </c>
    </row>
    <row r="822" spans="1:32">
      <c r="A822" s="3" t="s">
        <v>784</v>
      </c>
      <c r="B822" s="222">
        <v>44.62</v>
      </c>
      <c r="C822" s="227">
        <f t="shared" si="84"/>
        <v>1.8256503879507058E-2</v>
      </c>
      <c r="D822" s="5">
        <f>C822-C1275</f>
        <v>1.8178458309948169E-2</v>
      </c>
      <c r="F822" s="8"/>
      <c r="H822" t="s">
        <v>783</v>
      </c>
      <c r="I822">
        <v>45.87</v>
      </c>
      <c r="J822" s="227">
        <f t="shared" si="85"/>
        <v>-1.1422413793103492E-2</v>
      </c>
      <c r="K822" s="5">
        <f>J822-J1276</f>
        <v>-1.355836970871345E-2</v>
      </c>
      <c r="M822" s="241">
        <v>44238</v>
      </c>
      <c r="N822">
        <v>4630.6499999999996</v>
      </c>
      <c r="O822" s="227">
        <f t="shared" si="86"/>
        <v>-6.4198156019542596E-3</v>
      </c>
      <c r="P822" s="5">
        <f>O822-O1278</f>
        <v>-6.0540584010410877E-3</v>
      </c>
      <c r="Q822" s="8">
        <f t="shared" si="90"/>
        <v>3.6651623123216171E-5</v>
      </c>
      <c r="X822" t="s">
        <v>781</v>
      </c>
      <c r="Y822">
        <v>9</v>
      </c>
      <c r="Z822" s="48">
        <f t="shared" si="88"/>
        <v>4.1666666666666519E-2</v>
      </c>
      <c r="AA822" s="5">
        <f>Z822-Y1274</f>
        <v>3.7449347197392388E-2</v>
      </c>
      <c r="AD822" s="1">
        <v>44238</v>
      </c>
      <c r="AE822">
        <v>199.19</v>
      </c>
      <c r="AF822" s="29">
        <f t="shared" si="89"/>
        <v>-3.315212115328614E-2</v>
      </c>
    </row>
    <row r="823" spans="1:32">
      <c r="A823" s="3" t="s">
        <v>785</v>
      </c>
      <c r="B823" s="222">
        <v>44.73</v>
      </c>
      <c r="C823" s="227">
        <f t="shared" si="84"/>
        <v>2.4652622142535829E-3</v>
      </c>
      <c r="D823" s="5">
        <f>C823-C1275</f>
        <v>2.3872166446946936E-3</v>
      </c>
      <c r="E823" s="1"/>
      <c r="F823" s="8"/>
      <c r="H823" t="s">
        <v>784</v>
      </c>
      <c r="I823">
        <v>46.92</v>
      </c>
      <c r="J823" s="227">
        <f t="shared" si="85"/>
        <v>2.2890778286461799E-2</v>
      </c>
      <c r="K823" s="5">
        <f>J823-J1276</f>
        <v>2.0754822370851841E-2</v>
      </c>
      <c r="M823" s="241">
        <v>44207</v>
      </c>
      <c r="N823">
        <v>4613.67</v>
      </c>
      <c r="O823" s="227">
        <f t="shared" si="86"/>
        <v>-3.6668718214504237E-3</v>
      </c>
      <c r="P823" s="5">
        <f>O823-O1278</f>
        <v>-3.3011146205372522E-3</v>
      </c>
      <c r="Q823" s="8">
        <f t="shared" si="90"/>
        <v>1.0897357737924806E-5</v>
      </c>
      <c r="X823" t="s">
        <v>782</v>
      </c>
      <c r="Y823">
        <v>9.01</v>
      </c>
      <c r="Z823" s="48">
        <f t="shared" si="88"/>
        <v>1.1111111111110628E-3</v>
      </c>
      <c r="AA823" s="5">
        <f>Z823-Y1274</f>
        <v>-3.1062083581630713E-3</v>
      </c>
      <c r="AD823" s="1">
        <v>44207</v>
      </c>
      <c r="AE823">
        <v>197.94</v>
      </c>
      <c r="AF823" s="29">
        <f t="shared" si="89"/>
        <v>-6.275415432501652E-3</v>
      </c>
    </row>
    <row r="824" spans="1:32">
      <c r="A824" s="3" t="s">
        <v>786</v>
      </c>
      <c r="B824" s="222">
        <v>46.02</v>
      </c>
      <c r="C824" s="227">
        <f t="shared" si="84"/>
        <v>2.883970489604315E-2</v>
      </c>
      <c r="D824" s="5">
        <f>C824-C1275</f>
        <v>2.8761659326484262E-2</v>
      </c>
      <c r="E824" s="1"/>
      <c r="F824" s="8"/>
      <c r="H824" t="s">
        <v>785</v>
      </c>
      <c r="I824">
        <v>46.72</v>
      </c>
      <c r="J824" s="227">
        <f t="shared" si="85"/>
        <v>-4.2625745950555238E-3</v>
      </c>
      <c r="K824" s="5">
        <f>J824-J1276</f>
        <v>-6.3985305106654816E-3</v>
      </c>
      <c r="M824" s="240" t="s">
        <v>783</v>
      </c>
      <c r="N824">
        <v>4605.38</v>
      </c>
      <c r="O824" s="227">
        <f t="shared" si="86"/>
        <v>-1.7968341905684193E-3</v>
      </c>
      <c r="P824" s="5">
        <f>O824-O1278</f>
        <v>-1.4310769896552478E-3</v>
      </c>
      <c r="Q824" s="8">
        <f t="shared" si="90"/>
        <v>2.0479813503207261E-6</v>
      </c>
      <c r="X824" s="1">
        <v>44541</v>
      </c>
      <c r="Y824">
        <v>9.51</v>
      </c>
      <c r="Z824" s="48">
        <f t="shared" si="88"/>
        <v>5.5493895671476112E-2</v>
      </c>
      <c r="AA824" s="5">
        <f>Z824-Y1274</f>
        <v>5.1276576202201982E-2</v>
      </c>
      <c r="AD824" t="s">
        <v>783</v>
      </c>
      <c r="AE824">
        <v>194.8</v>
      </c>
      <c r="AF824" s="29">
        <f t="shared" si="89"/>
        <v>-1.5863392947357724E-2</v>
      </c>
    </row>
    <row r="825" spans="1:32">
      <c r="A825" s="3" t="s">
        <v>787</v>
      </c>
      <c r="B825" s="222">
        <v>45.72</v>
      </c>
      <c r="C825" s="227">
        <f t="shared" si="84"/>
        <v>-6.5189048239896463E-3</v>
      </c>
      <c r="D825" s="5">
        <f>C825-C1275</f>
        <v>-6.5969503935485356E-3</v>
      </c>
      <c r="E825" s="1"/>
      <c r="F825" s="8"/>
      <c r="H825" t="s">
        <v>786</v>
      </c>
      <c r="I825">
        <v>47.54</v>
      </c>
      <c r="J825" s="227">
        <f t="shared" si="85"/>
        <v>1.7551369863013644E-2</v>
      </c>
      <c r="K825" s="5">
        <f>J825-J1276</f>
        <v>1.5415413947403686E-2</v>
      </c>
      <c r="M825" s="240" t="s">
        <v>784</v>
      </c>
      <c r="N825">
        <v>4596.42</v>
      </c>
      <c r="O825" s="227">
        <f t="shared" si="86"/>
        <v>-1.9455506386009125E-3</v>
      </c>
      <c r="P825" s="5">
        <f>O825-O1278</f>
        <v>-1.579793437687741E-3</v>
      </c>
      <c r="Q825" s="8">
        <f t="shared" si="90"/>
        <v>2.4957473057612506E-6</v>
      </c>
      <c r="X825" s="1">
        <v>44511</v>
      </c>
      <c r="Y825">
        <v>8.9600000000000009</v>
      </c>
      <c r="Z825" s="48">
        <f t="shared" si="88"/>
        <v>-5.7833859095688611E-2</v>
      </c>
      <c r="AA825" s="5">
        <f>Z825-Y1274</f>
        <v>-6.2051178564962742E-2</v>
      </c>
      <c r="AD825" t="s">
        <v>784</v>
      </c>
      <c r="AE825">
        <v>196</v>
      </c>
      <c r="AF825" s="29">
        <f t="shared" si="89"/>
        <v>6.1601642710471527E-3</v>
      </c>
    </row>
    <row r="826" spans="1:32">
      <c r="A826" s="3" t="s">
        <v>788</v>
      </c>
      <c r="B826" s="222">
        <v>45.51</v>
      </c>
      <c r="C826" s="227">
        <f t="shared" si="84"/>
        <v>-4.5931758530184386E-3</v>
      </c>
      <c r="D826" s="5">
        <f>C826-C1275</f>
        <v>-4.6712214225773279E-3</v>
      </c>
      <c r="E826" s="1"/>
      <c r="F826" s="8"/>
      <c r="H826" t="s">
        <v>787</v>
      </c>
      <c r="I826">
        <v>48.12</v>
      </c>
      <c r="J826" s="227">
        <f t="shared" si="85"/>
        <v>1.2200252419015456E-2</v>
      </c>
      <c r="K826" s="5">
        <f>J826-J1276</f>
        <v>1.0064296503405498E-2</v>
      </c>
      <c r="M826" s="240" t="s">
        <v>785</v>
      </c>
      <c r="N826">
        <v>4551.68</v>
      </c>
      <c r="O826" s="227">
        <f t="shared" si="86"/>
        <v>-9.7336622849956145E-3</v>
      </c>
      <c r="P826" s="5">
        <f>O826-O1278</f>
        <v>-9.3679050840824434E-3</v>
      </c>
      <c r="Q826" s="8">
        <f t="shared" si="90"/>
        <v>8.7757645664377697E-5</v>
      </c>
      <c r="X826" s="1">
        <v>44480</v>
      </c>
      <c r="Y826">
        <v>8.9499999999999993</v>
      </c>
      <c r="Z826" s="48">
        <f t="shared" si="88"/>
        <v>-1.1160714285716189E-3</v>
      </c>
      <c r="AA826" s="5">
        <f>Z826-Y1274</f>
        <v>-5.333390897845753E-3</v>
      </c>
      <c r="AD826" t="s">
        <v>785</v>
      </c>
      <c r="AE826">
        <v>198.95</v>
      </c>
      <c r="AF826" s="29">
        <f t="shared" si="89"/>
        <v>1.5051020408163307E-2</v>
      </c>
    </row>
    <row r="827" spans="1:32">
      <c r="A827" s="3" t="s">
        <v>789</v>
      </c>
      <c r="B827" s="222">
        <v>46.47</v>
      </c>
      <c r="C827" s="227">
        <f t="shared" si="84"/>
        <v>2.1094264996704082E-2</v>
      </c>
      <c r="D827" s="5">
        <f>C827-C1275</f>
        <v>2.1016219427145193E-2</v>
      </c>
      <c r="E827" s="1"/>
      <c r="F827" s="8"/>
      <c r="H827" t="s">
        <v>788</v>
      </c>
      <c r="I827">
        <v>48.32</v>
      </c>
      <c r="J827" s="227">
        <f t="shared" si="85"/>
        <v>4.1562759767248547E-3</v>
      </c>
      <c r="K827" s="5">
        <f>J827-J1276</f>
        <v>2.0203200611148969E-3</v>
      </c>
      <c r="M827" s="240" t="s">
        <v>786</v>
      </c>
      <c r="N827">
        <v>4574.79</v>
      </c>
      <c r="O827" s="227">
        <f t="shared" si="86"/>
        <v>5.0772462035995058E-3</v>
      </c>
      <c r="P827" s="5">
        <f>O827-O1278</f>
        <v>5.4430034045126778E-3</v>
      </c>
      <c r="Q827" s="8">
        <f t="shared" si="90"/>
        <v>2.9626286061536601E-5</v>
      </c>
      <c r="X827" s="1">
        <v>44450</v>
      </c>
      <c r="Y827">
        <v>8.1199999999999992</v>
      </c>
      <c r="Z827" s="48">
        <f t="shared" si="88"/>
        <v>-9.2737430167597834E-2</v>
      </c>
      <c r="AA827" s="5">
        <f>Z827-Y1274</f>
        <v>-9.6954749636871965E-2</v>
      </c>
      <c r="AD827" t="s">
        <v>786</v>
      </c>
      <c r="AE827">
        <v>212.93</v>
      </c>
      <c r="AF827" s="29">
        <f t="shared" si="89"/>
        <v>7.0268911786881327E-2</v>
      </c>
    </row>
    <row r="828" spans="1:32">
      <c r="A828" s="3" t="s">
        <v>790</v>
      </c>
      <c r="B828" s="222">
        <v>46</v>
      </c>
      <c r="C828" s="227">
        <f t="shared" si="84"/>
        <v>-1.0114052076608537E-2</v>
      </c>
      <c r="D828" s="5">
        <f>C828-C1275</f>
        <v>-1.0192097646167426E-2</v>
      </c>
      <c r="E828" s="1"/>
      <c r="F828" s="8"/>
      <c r="H828" t="s">
        <v>789</v>
      </c>
      <c r="I828">
        <v>49.57</v>
      </c>
      <c r="J828" s="227">
        <f t="shared" si="85"/>
        <v>2.5869205298013176E-2</v>
      </c>
      <c r="K828" s="5">
        <f>J828-J1276</f>
        <v>2.3733249382403218E-2</v>
      </c>
      <c r="M828" s="240" t="s">
        <v>787</v>
      </c>
      <c r="N828">
        <v>4566.4799999999996</v>
      </c>
      <c r="O828" s="227">
        <f t="shared" si="86"/>
        <v>-1.8164768218870142E-3</v>
      </c>
      <c r="P828" s="5">
        <f>O828-O1278</f>
        <v>-1.4507196209738427E-3</v>
      </c>
      <c r="Q828" s="8">
        <f t="shared" si="90"/>
        <v>2.1045874186784899E-6</v>
      </c>
      <c r="X828" s="1">
        <v>44419</v>
      </c>
      <c r="Y828">
        <v>8.1199999999999992</v>
      </c>
      <c r="Z828" s="48">
        <f t="shared" si="88"/>
        <v>0</v>
      </c>
      <c r="AA828" s="5">
        <f>Z828-Y1274</f>
        <v>-4.2173194692741341E-3</v>
      </c>
      <c r="AD828" t="s">
        <v>787</v>
      </c>
      <c r="AE828">
        <v>216.33</v>
      </c>
      <c r="AF828" s="29">
        <f t="shared" si="89"/>
        <v>1.5967688911848965E-2</v>
      </c>
    </row>
    <row r="829" spans="1:32">
      <c r="A829" s="3" t="s">
        <v>791</v>
      </c>
      <c r="B829" s="222">
        <v>47.05</v>
      </c>
      <c r="C829" s="227">
        <f t="shared" si="84"/>
        <v>2.2826086956521774E-2</v>
      </c>
      <c r="D829" s="5">
        <f>C829-C1275</f>
        <v>2.2748041386962885E-2</v>
      </c>
      <c r="E829" s="1"/>
      <c r="F829" s="8"/>
      <c r="H829" t="s">
        <v>790</v>
      </c>
      <c r="I829">
        <v>49.41</v>
      </c>
      <c r="J829" s="227">
        <f t="shared" si="85"/>
        <v>-3.2277587250353346E-3</v>
      </c>
      <c r="K829" s="5">
        <f>J829-J1276</f>
        <v>-5.3637146406452924E-3</v>
      </c>
      <c r="M829" s="240" t="s">
        <v>788</v>
      </c>
      <c r="N829">
        <v>4544.8999999999996</v>
      </c>
      <c r="O829" s="227">
        <f t="shared" si="86"/>
        <v>-4.7257406142148239E-3</v>
      </c>
      <c r="P829" s="5">
        <f>O829-O1278</f>
        <v>-4.359983413301652E-3</v>
      </c>
      <c r="Q829" s="8">
        <f t="shared" si="90"/>
        <v>1.9009455364265525E-5</v>
      </c>
      <c r="X829" s="1">
        <v>44327</v>
      </c>
      <c r="Y829">
        <v>8.1199999999999992</v>
      </c>
      <c r="Z829" s="48">
        <f t="shared" si="88"/>
        <v>0</v>
      </c>
      <c r="AA829" s="5">
        <f>Z829-Y1274</f>
        <v>-4.2173194692741341E-3</v>
      </c>
      <c r="AD829" t="s">
        <v>788</v>
      </c>
      <c r="AE829">
        <v>213.83</v>
      </c>
      <c r="AF829" s="29">
        <f t="shared" si="89"/>
        <v>-1.155641843479871E-2</v>
      </c>
    </row>
    <row r="830" spans="1:32">
      <c r="A830" s="3" t="s">
        <v>792</v>
      </c>
      <c r="B830" s="222">
        <v>47.07</v>
      </c>
      <c r="C830" s="227">
        <f t="shared" si="84"/>
        <v>4.2507970244431981E-4</v>
      </c>
      <c r="D830" s="5">
        <f>C830-C1275</f>
        <v>3.470341328854306E-4</v>
      </c>
      <c r="E830" s="1"/>
      <c r="F830" s="8"/>
      <c r="H830" t="s">
        <v>791</v>
      </c>
      <c r="I830">
        <v>50.04</v>
      </c>
      <c r="J830" s="227">
        <f t="shared" si="85"/>
        <v>1.2750455373406355E-2</v>
      </c>
      <c r="K830" s="5">
        <f>J830-J1276</f>
        <v>1.0614499457796397E-2</v>
      </c>
      <c r="M830" s="240" t="s">
        <v>789</v>
      </c>
      <c r="N830">
        <v>4549.78</v>
      </c>
      <c r="O830" s="227">
        <f t="shared" si="86"/>
        <v>1.0737309951813767E-3</v>
      </c>
      <c r="P830" s="5">
        <f>O830-O1278</f>
        <v>1.4394881960945482E-3</v>
      </c>
      <c r="Q830" s="8">
        <f t="shared" si="90"/>
        <v>2.0721262666955363E-6</v>
      </c>
      <c r="X830" s="1">
        <v>44297</v>
      </c>
      <c r="Y830">
        <v>8.24</v>
      </c>
      <c r="Z830" s="48">
        <f t="shared" si="88"/>
        <v>1.4778325123152802E-2</v>
      </c>
      <c r="AA830" s="5">
        <f>Z830-Y1274</f>
        <v>1.0561005653878668E-2</v>
      </c>
      <c r="AD830" t="s">
        <v>789</v>
      </c>
      <c r="AE830">
        <v>218.82</v>
      </c>
      <c r="AF830" s="29">
        <f t="shared" si="89"/>
        <v>2.333629518776581E-2</v>
      </c>
    </row>
    <row r="831" spans="1:32">
      <c r="A831" s="3" t="s">
        <v>793</v>
      </c>
      <c r="B831" s="222">
        <v>48.36</v>
      </c>
      <c r="C831" s="227">
        <f t="shared" si="84"/>
        <v>2.7405991077119163E-2</v>
      </c>
      <c r="D831" s="5">
        <f>C831-C1275</f>
        <v>2.7327945507560274E-2</v>
      </c>
      <c r="F831" s="8"/>
      <c r="H831" t="s">
        <v>792</v>
      </c>
      <c r="I831">
        <v>50.47</v>
      </c>
      <c r="J831" s="227">
        <f t="shared" si="85"/>
        <v>8.5931254996003403E-3</v>
      </c>
      <c r="K831" s="5">
        <f>J831-J1276</f>
        <v>6.4571695839903825E-3</v>
      </c>
      <c r="M831" s="240" t="s">
        <v>790</v>
      </c>
      <c r="N831">
        <v>4536.1899999999996</v>
      </c>
      <c r="O831" s="227">
        <f t="shared" si="86"/>
        <v>-2.9869576111373197E-3</v>
      </c>
      <c r="P831" s="5">
        <f>O831-O1278</f>
        <v>-2.6212004102241482E-3</v>
      </c>
      <c r="Q831" s="8">
        <f t="shared" si="90"/>
        <v>6.8706915905592428E-6</v>
      </c>
      <c r="X831" s="1">
        <v>44266</v>
      </c>
      <c r="Y831">
        <v>8.36</v>
      </c>
      <c r="Z831" s="48">
        <f t="shared" si="88"/>
        <v>1.4563106796116498E-2</v>
      </c>
      <c r="AA831" s="5">
        <f>Z831-Y1274</f>
        <v>1.0345787326842364E-2</v>
      </c>
      <c r="AD831" t="s">
        <v>790</v>
      </c>
      <c r="AE831">
        <v>215.68</v>
      </c>
      <c r="AF831" s="29">
        <f t="shared" si="89"/>
        <v>-1.4349693812265696E-2</v>
      </c>
    </row>
    <row r="832" spans="1:32">
      <c r="A832" s="3" t="s">
        <v>794</v>
      </c>
      <c r="B832" s="222">
        <v>47.28</v>
      </c>
      <c r="C832" s="227">
        <f t="shared" si="84"/>
        <v>-2.2332506203473934E-2</v>
      </c>
      <c r="D832" s="5">
        <f>C832-C1275</f>
        <v>-2.2410551773032823E-2</v>
      </c>
      <c r="F832" s="8"/>
      <c r="H832" t="s">
        <v>793</v>
      </c>
      <c r="I832">
        <v>51.58</v>
      </c>
      <c r="J832" s="227">
        <f t="shared" si="85"/>
        <v>2.199326332474727E-2</v>
      </c>
      <c r="K832" s="5">
        <f>J832-J1276</f>
        <v>1.9857307409137312E-2</v>
      </c>
      <c r="M832" s="240" t="s">
        <v>791</v>
      </c>
      <c r="N832">
        <v>4519.63</v>
      </c>
      <c r="O832" s="227">
        <f t="shared" si="86"/>
        <v>-3.6506407359478965E-3</v>
      </c>
      <c r="P832" s="5">
        <f>O832-O1278</f>
        <v>-3.284883535034725E-3</v>
      </c>
      <c r="Q832" s="8">
        <f t="shared" si="90"/>
        <v>1.0790459838742232E-5</v>
      </c>
      <c r="X832" s="1">
        <v>44238</v>
      </c>
      <c r="Y832">
        <v>8.23</v>
      </c>
      <c r="Z832" s="48">
        <f t="shared" si="88"/>
        <v>-1.5550239234449648E-2</v>
      </c>
      <c r="AA832" s="5">
        <f>Z832-Y1274</f>
        <v>-1.9767558703723782E-2</v>
      </c>
      <c r="AD832" t="s">
        <v>791</v>
      </c>
      <c r="AE832">
        <v>213.33</v>
      </c>
      <c r="AF832" s="29">
        <f t="shared" si="89"/>
        <v>-1.0895771513353081E-2</v>
      </c>
    </row>
    <row r="833" spans="1:32">
      <c r="A833" s="3" t="s">
        <v>795</v>
      </c>
      <c r="B833" s="222">
        <v>46.41</v>
      </c>
      <c r="C833" s="227">
        <f t="shared" si="84"/>
        <v>-1.840101522842652E-2</v>
      </c>
      <c r="D833" s="5">
        <f>C833-C1275</f>
        <v>-1.8479060797985409E-2</v>
      </c>
      <c r="F833" s="8"/>
      <c r="H833" t="s">
        <v>794</v>
      </c>
      <c r="I833">
        <v>50.51</v>
      </c>
      <c r="J833" s="227">
        <f t="shared" si="85"/>
        <v>-2.0744474602559126E-2</v>
      </c>
      <c r="K833" s="5">
        <f>J833-J1276</f>
        <v>-2.2880430518169084E-2</v>
      </c>
      <c r="M833" s="240" t="s">
        <v>792</v>
      </c>
      <c r="N833">
        <v>4486.46</v>
      </c>
      <c r="O833" s="227">
        <f t="shared" si="86"/>
        <v>-7.3390963419571742E-3</v>
      </c>
      <c r="P833" s="5">
        <f>O833-O1278</f>
        <v>-6.9733391410440023E-3</v>
      </c>
      <c r="Q833" s="8">
        <f t="shared" si="90"/>
        <v>4.8627458776016302E-5</v>
      </c>
      <c r="X833" s="1">
        <v>44207</v>
      </c>
      <c r="Y833">
        <v>8.4600000000000009</v>
      </c>
      <c r="Z833" s="48">
        <f t="shared" si="88"/>
        <v>2.7946537059538423E-2</v>
      </c>
      <c r="AA833" s="5">
        <f>Z833-Y1274</f>
        <v>2.3729217590264289E-2</v>
      </c>
      <c r="AD833" t="s">
        <v>792</v>
      </c>
      <c r="AE833">
        <v>215.37</v>
      </c>
      <c r="AF833" s="29">
        <f t="shared" si="89"/>
        <v>9.5626494163971731E-3</v>
      </c>
    </row>
    <row r="834" spans="1:32">
      <c r="A834" s="220">
        <v>44540</v>
      </c>
      <c r="B834" s="222">
        <v>46.72</v>
      </c>
      <c r="C834" s="227">
        <f t="shared" si="84"/>
        <v>6.6795949148890088E-3</v>
      </c>
      <c r="D834" s="5">
        <f>C834-C1275</f>
        <v>6.6015493453301195E-3</v>
      </c>
      <c r="F834" s="8"/>
      <c r="H834" t="s">
        <v>795</v>
      </c>
      <c r="I834">
        <v>53.24</v>
      </c>
      <c r="J834" s="227">
        <f t="shared" si="85"/>
        <v>5.4048703227083772E-2</v>
      </c>
      <c r="K834" s="5">
        <f>J834-J1276</f>
        <v>5.1912747311473814E-2</v>
      </c>
      <c r="M834" s="240" t="s">
        <v>793</v>
      </c>
      <c r="N834">
        <v>4471.37</v>
      </c>
      <c r="O834" s="227">
        <f t="shared" si="86"/>
        <v>-3.3634535914730535E-3</v>
      </c>
      <c r="P834" s="5">
        <f>O834-O1278</f>
        <v>-2.997696390559882E-3</v>
      </c>
      <c r="Q834" s="8">
        <f t="shared" si="90"/>
        <v>8.9861836499757438E-6</v>
      </c>
      <c r="X834" t="s">
        <v>783</v>
      </c>
      <c r="Y834">
        <v>8.07</v>
      </c>
      <c r="Z834" s="48">
        <f t="shared" si="88"/>
        <v>-4.6099290780141855E-2</v>
      </c>
      <c r="AA834" s="5">
        <f>Z834-Y1274</f>
        <v>-5.0316610249415986E-2</v>
      </c>
      <c r="AD834" t="s">
        <v>793</v>
      </c>
      <c r="AE834">
        <v>214.07</v>
      </c>
      <c r="AF834" s="29">
        <f t="shared" si="89"/>
        <v>-6.0361238798347649E-3</v>
      </c>
    </row>
    <row r="835" spans="1:32">
      <c r="A835" s="220">
        <v>44510</v>
      </c>
      <c r="B835" s="222">
        <v>46.29</v>
      </c>
      <c r="C835" s="227">
        <f t="shared" si="84"/>
        <v>-9.2037671232876317E-3</v>
      </c>
      <c r="D835" s="5">
        <f>C835-C1275</f>
        <v>-9.2818126928465201E-3</v>
      </c>
      <c r="F835" s="8"/>
      <c r="H835" s="1">
        <v>44540</v>
      </c>
      <c r="I835">
        <v>52.55</v>
      </c>
      <c r="J835" s="227">
        <f t="shared" si="85"/>
        <v>-1.296018031555235E-2</v>
      </c>
      <c r="K835" s="5">
        <f>J835-J1276</f>
        <v>-1.5096136231162308E-2</v>
      </c>
      <c r="M835" s="240" t="s">
        <v>794</v>
      </c>
      <c r="N835">
        <v>4438.26</v>
      </c>
      <c r="O835" s="227">
        <f t="shared" si="86"/>
        <v>-7.4048893292211204E-3</v>
      </c>
      <c r="P835" s="5">
        <f>O835-O1278</f>
        <v>-7.0391321283079485E-3</v>
      </c>
      <c r="Q835" s="8">
        <f t="shared" si="90"/>
        <v>4.9549381119777186E-5</v>
      </c>
      <c r="X835" t="s">
        <v>784</v>
      </c>
      <c r="Y835">
        <v>8.26</v>
      </c>
      <c r="Z835" s="48">
        <f t="shared" si="88"/>
        <v>2.3543990086740907E-2</v>
      </c>
      <c r="AA835" s="5">
        <f>Z835-Y1274</f>
        <v>1.9326670617466773E-2</v>
      </c>
      <c r="AD835" t="s">
        <v>794</v>
      </c>
      <c r="AE835">
        <v>212.43</v>
      </c>
      <c r="AF835" s="29">
        <f t="shared" si="89"/>
        <v>-7.6610454524220772E-3</v>
      </c>
    </row>
    <row r="836" spans="1:32">
      <c r="A836" s="220">
        <v>44418</v>
      </c>
      <c r="B836" s="222">
        <v>47.77</v>
      </c>
      <c r="C836" s="227">
        <f t="shared" si="84"/>
        <v>3.1972348239360571E-2</v>
      </c>
      <c r="D836" s="5">
        <f>C836-C1275</f>
        <v>3.1894302669801679E-2</v>
      </c>
      <c r="F836" s="8"/>
      <c r="H836" s="1">
        <v>44510</v>
      </c>
      <c r="I836">
        <v>52.8</v>
      </c>
      <c r="J836" s="227">
        <f t="shared" si="85"/>
        <v>4.7573739295909689E-3</v>
      </c>
      <c r="K836" s="5">
        <f>J836-J1276</f>
        <v>2.6214180139810112E-3</v>
      </c>
      <c r="M836" s="240" t="s">
        <v>795</v>
      </c>
      <c r="N836">
        <v>4363.8</v>
      </c>
      <c r="O836" s="227">
        <f t="shared" si="86"/>
        <v>-1.6776844979789374E-2</v>
      </c>
      <c r="P836" s="5">
        <f>O836-O1278</f>
        <v>-1.6411087778876201E-2</v>
      </c>
      <c r="Q836" s="8">
        <f t="shared" si="90"/>
        <v>2.693238020859798E-4</v>
      </c>
      <c r="X836" t="s">
        <v>785</v>
      </c>
      <c r="Y836">
        <v>8.2100000000000009</v>
      </c>
      <c r="Z836" s="48">
        <f t="shared" si="88"/>
        <v>-6.053268765133013E-3</v>
      </c>
      <c r="AA836" s="5">
        <f>Z836-Y1274</f>
        <v>-1.0270588234407147E-2</v>
      </c>
      <c r="AD836" t="s">
        <v>795</v>
      </c>
      <c r="AE836">
        <v>205.42</v>
      </c>
      <c r="AF836" s="29">
        <f t="shared" si="89"/>
        <v>-3.2999105587723121E-2</v>
      </c>
    </row>
    <row r="837" spans="1:32">
      <c r="A837" s="220">
        <v>44387</v>
      </c>
      <c r="B837" s="222">
        <v>47.91</v>
      </c>
      <c r="C837" s="227">
        <f t="shared" si="84"/>
        <v>2.9307096504080921E-3</v>
      </c>
      <c r="D837" s="5">
        <f>C837-C1275</f>
        <v>2.8526640808492027E-3</v>
      </c>
      <c r="F837" s="8"/>
      <c r="H837" s="1">
        <v>44418</v>
      </c>
      <c r="I837">
        <v>54.89</v>
      </c>
      <c r="J837" s="227">
        <f t="shared" si="85"/>
        <v>3.9583333333333304E-2</v>
      </c>
      <c r="K837" s="5">
        <f>J837-J1276</f>
        <v>3.7447377417723346E-2</v>
      </c>
      <c r="M837" s="241">
        <v>44540</v>
      </c>
      <c r="N837">
        <v>4350.6499999999996</v>
      </c>
      <c r="O837" s="227">
        <f t="shared" si="86"/>
        <v>-3.0134286630919549E-3</v>
      </c>
      <c r="P837" s="5">
        <f>O837-O1278</f>
        <v>-2.6476714621787834E-3</v>
      </c>
      <c r="Q837" s="8">
        <f t="shared" si="90"/>
        <v>7.0101641716359371E-6</v>
      </c>
      <c r="X837" t="s">
        <v>786</v>
      </c>
      <c r="Y837">
        <v>8.41</v>
      </c>
      <c r="Z837" s="48">
        <f t="shared" si="88"/>
        <v>2.4360535931790439E-2</v>
      </c>
      <c r="AA837" s="5">
        <f>Z837-Y1274</f>
        <v>2.0143216462516305E-2</v>
      </c>
      <c r="AD837" s="1">
        <v>44540</v>
      </c>
      <c r="AE837">
        <v>199</v>
      </c>
      <c r="AF837" s="29">
        <f t="shared" si="89"/>
        <v>-3.1253042546976917E-2</v>
      </c>
    </row>
    <row r="838" spans="1:32">
      <c r="A838" s="220">
        <v>44357</v>
      </c>
      <c r="B838" s="222">
        <v>47.01</v>
      </c>
      <c r="C838" s="227">
        <f t="shared" si="84"/>
        <v>-1.8785222291797132E-2</v>
      </c>
      <c r="D838" s="5">
        <f>C838-C1275</f>
        <v>-1.8863267861356021E-2</v>
      </c>
      <c r="F838" s="8"/>
      <c r="H838" s="1">
        <v>44387</v>
      </c>
      <c r="I838">
        <v>54.7</v>
      </c>
      <c r="J838" s="227">
        <f t="shared" si="85"/>
        <v>-3.4614683913281041E-3</v>
      </c>
      <c r="K838" s="5">
        <f>J838-J1276</f>
        <v>-5.5974243069380619E-3</v>
      </c>
      <c r="M838" s="241">
        <v>44510</v>
      </c>
      <c r="N838">
        <v>4361.1899999999996</v>
      </c>
      <c r="O838" s="227">
        <f t="shared" si="86"/>
        <v>2.4226265040856454E-3</v>
      </c>
      <c r="P838" s="5">
        <f>O838-O1278</f>
        <v>2.7883837049988169E-3</v>
      </c>
      <c r="Q838" s="8">
        <f t="shared" si="90"/>
        <v>7.7750836863029293E-6</v>
      </c>
      <c r="X838" t="s">
        <v>787</v>
      </c>
      <c r="Y838">
        <v>8.83</v>
      </c>
      <c r="Z838" s="48">
        <f t="shared" si="88"/>
        <v>4.9940546967895294E-2</v>
      </c>
      <c r="AA838" s="5">
        <f>Z838-Y1274</f>
        <v>4.5723227498621163E-2</v>
      </c>
      <c r="AD838" s="1">
        <v>44510</v>
      </c>
      <c r="AE838">
        <v>195.3</v>
      </c>
      <c r="AF838" s="29">
        <f t="shared" si="89"/>
        <v>-1.8592964824120539E-2</v>
      </c>
    </row>
    <row r="839" spans="1:32">
      <c r="A839" s="220">
        <v>44326</v>
      </c>
      <c r="B839" s="222">
        <v>45.61</v>
      </c>
      <c r="C839" s="227">
        <f t="shared" si="84"/>
        <v>-2.9780897681344398E-2</v>
      </c>
      <c r="D839" s="5">
        <f>C839-C1275</f>
        <v>-2.9858943250903287E-2</v>
      </c>
      <c r="F839" s="8"/>
      <c r="H839" s="1">
        <v>44357</v>
      </c>
      <c r="I839">
        <v>54.16</v>
      </c>
      <c r="J839" s="227">
        <f t="shared" si="85"/>
        <v>-9.8720292504571594E-3</v>
      </c>
      <c r="K839" s="5">
        <f>J839-J1276</f>
        <v>-1.2007985166067117E-2</v>
      </c>
      <c r="M839" s="241">
        <v>44418</v>
      </c>
      <c r="N839">
        <v>4391.34</v>
      </c>
      <c r="O839" s="227">
        <f t="shared" si="86"/>
        <v>6.9132507411968636E-3</v>
      </c>
      <c r="P839" s="5">
        <f>O839-O1278</f>
        <v>7.2790079421100355E-3</v>
      </c>
      <c r="Q839" s="8">
        <f t="shared" si="90"/>
        <v>5.2983956621300977E-5</v>
      </c>
      <c r="X839" t="s">
        <v>788</v>
      </c>
      <c r="Y839">
        <v>9.19</v>
      </c>
      <c r="Z839" s="48">
        <f t="shared" si="88"/>
        <v>4.0770101925254654E-2</v>
      </c>
      <c r="AA839" s="5">
        <f>Z839-Y1274</f>
        <v>3.6552782455980523E-2</v>
      </c>
      <c r="AD839" s="1">
        <v>44418</v>
      </c>
      <c r="AE839">
        <v>204.42</v>
      </c>
      <c r="AF839" s="29">
        <f t="shared" si="89"/>
        <v>4.6697388632872316E-2</v>
      </c>
    </row>
    <row r="840" spans="1:32">
      <c r="A840" s="220">
        <v>44296</v>
      </c>
      <c r="B840" s="222">
        <v>45.72</v>
      </c>
      <c r="C840" s="227">
        <f t="shared" si="84"/>
        <v>2.4117518088138112E-3</v>
      </c>
      <c r="D840" s="5">
        <f>C840-C1275</f>
        <v>2.3337062392549219E-3</v>
      </c>
      <c r="F840" s="8"/>
      <c r="H840" s="1">
        <v>44326</v>
      </c>
      <c r="I840">
        <v>52.92</v>
      </c>
      <c r="J840" s="227">
        <f t="shared" si="85"/>
        <v>-2.2895125553914264E-2</v>
      </c>
      <c r="K840" s="5">
        <f>J840-J1276</f>
        <v>-2.5031081469524222E-2</v>
      </c>
      <c r="M840" s="241">
        <v>44387</v>
      </c>
      <c r="N840">
        <v>4399.76</v>
      </c>
      <c r="O840" s="227">
        <f t="shared" si="86"/>
        <v>1.9174101754817485E-3</v>
      </c>
      <c r="P840" s="5">
        <f>O840-O1278</f>
        <v>2.28316737639492E-3</v>
      </c>
      <c r="Q840" s="8">
        <f t="shared" si="90"/>
        <v>5.2128532686340626E-6</v>
      </c>
      <c r="X840" t="s">
        <v>789</v>
      </c>
      <c r="Y840">
        <v>9.81</v>
      </c>
      <c r="Z840" s="48">
        <f t="shared" si="88"/>
        <v>6.7464635473340806E-2</v>
      </c>
      <c r="AA840" s="5">
        <f>Z840-Y1274</f>
        <v>6.3247316004066675E-2</v>
      </c>
      <c r="AD840" s="1">
        <v>44387</v>
      </c>
      <c r="AE840">
        <v>204.92</v>
      </c>
      <c r="AF840" s="29">
        <f t="shared" si="89"/>
        <v>2.4459446238136451E-3</v>
      </c>
    </row>
    <row r="841" spans="1:32">
      <c r="A841" s="220">
        <v>44206</v>
      </c>
      <c r="B841" s="222">
        <v>47.05</v>
      </c>
      <c r="C841" s="227">
        <f t="shared" si="84"/>
        <v>2.9090113735783074E-2</v>
      </c>
      <c r="D841" s="5">
        <f>C841-C1275</f>
        <v>2.9012068166224186E-2</v>
      </c>
      <c r="F841" s="8"/>
      <c r="H841" s="1">
        <v>44296</v>
      </c>
      <c r="I841">
        <v>53.68</v>
      </c>
      <c r="J841" s="227">
        <f t="shared" si="85"/>
        <v>1.4361300075585781E-2</v>
      </c>
      <c r="K841" s="5">
        <f>J841-J1276</f>
        <v>1.2225344159975823E-2</v>
      </c>
      <c r="M841" s="241">
        <v>44357</v>
      </c>
      <c r="N841">
        <v>4363.55</v>
      </c>
      <c r="O841" s="227">
        <f t="shared" si="86"/>
        <v>-8.2299943633289407E-3</v>
      </c>
      <c r="P841" s="5">
        <f>O841-O1278</f>
        <v>-7.8642371624157697E-3</v>
      </c>
      <c r="Q841" s="8">
        <f t="shared" si="90"/>
        <v>6.184622614672124E-5</v>
      </c>
      <c r="X841" t="s">
        <v>790</v>
      </c>
      <c r="Y841">
        <v>8.6199999999999992</v>
      </c>
      <c r="Z841" s="48">
        <f t="shared" si="88"/>
        <v>-0.12130479102956182</v>
      </c>
      <c r="AA841" s="5">
        <f>Z841-Y1274</f>
        <v>-0.12552211049883596</v>
      </c>
      <c r="AD841" s="1">
        <v>44357</v>
      </c>
      <c r="AE841">
        <v>205.26</v>
      </c>
      <c r="AF841" s="29">
        <f t="shared" si="89"/>
        <v>1.6591840718329642E-3</v>
      </c>
    </row>
    <row r="842" spans="1:32">
      <c r="A842" s="3" t="s">
        <v>796</v>
      </c>
      <c r="B842" s="222">
        <v>44.8</v>
      </c>
      <c r="C842" s="227">
        <f t="shared" si="84"/>
        <v>-4.7821466524973433E-2</v>
      </c>
      <c r="D842" s="5">
        <f>C842-C1275</f>
        <v>-4.7899512094532325E-2</v>
      </c>
      <c r="F842" s="8"/>
      <c r="H842" s="1">
        <v>44206</v>
      </c>
      <c r="I842">
        <v>55.48</v>
      </c>
      <c r="J842" s="227">
        <f t="shared" si="85"/>
        <v>3.3532041728763007E-2</v>
      </c>
      <c r="K842" s="5">
        <f>J842-J1276</f>
        <v>3.1396085813153049E-2</v>
      </c>
      <c r="M842" s="241">
        <v>44326</v>
      </c>
      <c r="N842">
        <v>4345.72</v>
      </c>
      <c r="O842" s="227">
        <f t="shared" si="86"/>
        <v>-4.0861225378419075E-3</v>
      </c>
      <c r="P842" s="5">
        <f>O842-O1278</f>
        <v>-3.720365336928736E-3</v>
      </c>
      <c r="Q842" s="8">
        <f t="shared" si="90"/>
        <v>1.3841118240220868E-5</v>
      </c>
      <c r="X842" t="s">
        <v>791</v>
      </c>
      <c r="Y842">
        <v>8.56</v>
      </c>
      <c r="Z842" s="48">
        <f t="shared" si="88"/>
        <v>-6.9605568445474386E-3</v>
      </c>
      <c r="AA842" s="5">
        <f>Z842-Y1274</f>
        <v>-1.1177876313821573E-2</v>
      </c>
      <c r="AD842" s="1">
        <v>44326</v>
      </c>
      <c r="AE842">
        <v>199.5</v>
      </c>
      <c r="AF842" s="29">
        <f t="shared" si="89"/>
        <v>-2.8061970184156682E-2</v>
      </c>
    </row>
    <row r="843" spans="1:32">
      <c r="A843" s="3" t="s">
        <v>797</v>
      </c>
      <c r="B843" s="222">
        <v>44.52</v>
      </c>
      <c r="C843" s="227">
        <f t="shared" si="84"/>
        <v>-6.2499999999998668E-3</v>
      </c>
      <c r="D843" s="5">
        <f>C843-C1275</f>
        <v>-6.3280455695587561E-3</v>
      </c>
      <c r="F843" s="8"/>
      <c r="H843" t="s">
        <v>796</v>
      </c>
      <c r="I843">
        <v>53.59</v>
      </c>
      <c r="J843" s="227">
        <f t="shared" si="85"/>
        <v>-3.4066330209084228E-2</v>
      </c>
      <c r="K843" s="5">
        <f>J843-J1276</f>
        <v>-3.6202286124694186E-2</v>
      </c>
      <c r="M843" s="241">
        <v>44296</v>
      </c>
      <c r="N843">
        <v>4300.46</v>
      </c>
      <c r="O843" s="227">
        <f t="shared" si="86"/>
        <v>-1.0414844950894286E-2</v>
      </c>
      <c r="P843" s="5">
        <f>O843-O1278</f>
        <v>-1.0049087749981115E-2</v>
      </c>
      <c r="Q843" s="8">
        <f t="shared" si="90"/>
        <v>1.0098416460682052E-4</v>
      </c>
      <c r="X843" t="s">
        <v>792</v>
      </c>
      <c r="Y843">
        <v>8.24</v>
      </c>
      <c r="Z843" s="48">
        <f t="shared" si="88"/>
        <v>-3.7383177570093462E-2</v>
      </c>
      <c r="AA843" s="5">
        <f>Z843-Y1274</f>
        <v>-4.1600497039367593E-2</v>
      </c>
      <c r="AD843" s="1">
        <v>44296</v>
      </c>
      <c r="AE843">
        <v>197.68</v>
      </c>
      <c r="AF843" s="29">
        <f t="shared" si="89"/>
        <v>-9.1228070175438658E-3</v>
      </c>
    </row>
    <row r="844" spans="1:32">
      <c r="A844" s="3" t="s">
        <v>798</v>
      </c>
      <c r="B844" s="222">
        <v>45.98</v>
      </c>
      <c r="C844" s="227">
        <f t="shared" si="84"/>
        <v>3.2794249775381701E-2</v>
      </c>
      <c r="D844" s="5">
        <f>C844-C1275</f>
        <v>3.2716204205822809E-2</v>
      </c>
      <c r="F844" s="8"/>
      <c r="H844" t="s">
        <v>797</v>
      </c>
      <c r="I844">
        <v>53.32</v>
      </c>
      <c r="J844" s="227">
        <f t="shared" si="85"/>
        <v>-5.0382534054861372E-3</v>
      </c>
      <c r="K844" s="5">
        <f>J844-J1276</f>
        <v>-7.174209321096095E-3</v>
      </c>
      <c r="M844" s="241">
        <v>44206</v>
      </c>
      <c r="N844">
        <v>4357.04</v>
      </c>
      <c r="O844" s="227">
        <f t="shared" si="86"/>
        <v>1.3156732070522592E-2</v>
      </c>
      <c r="P844" s="5">
        <f>O844-O1278</f>
        <v>1.3522489271435763E-2</v>
      </c>
      <c r="Q844" s="8">
        <f t="shared" si="90"/>
        <v>1.8285771609609532E-4</v>
      </c>
      <c r="X844" t="s">
        <v>793</v>
      </c>
      <c r="Y844">
        <v>8.26</v>
      </c>
      <c r="Z844" s="48">
        <f t="shared" si="88"/>
        <v>2.4271844660193054E-3</v>
      </c>
      <c r="AA844" s="5">
        <f>Z844-Y1274</f>
        <v>-1.7901350032548287E-3</v>
      </c>
      <c r="AD844" s="1">
        <v>44206</v>
      </c>
      <c r="AE844">
        <v>203.99</v>
      </c>
      <c r="AF844" s="29">
        <f t="shared" si="89"/>
        <v>3.1920275192229841E-2</v>
      </c>
    </row>
    <row r="845" spans="1:32">
      <c r="A845" s="3" t="s">
        <v>799</v>
      </c>
      <c r="B845" s="222">
        <v>47.25</v>
      </c>
      <c r="C845" s="227">
        <f t="shared" si="84"/>
        <v>2.7620704654197636E-2</v>
      </c>
      <c r="D845" s="5">
        <f>C845-C1275</f>
        <v>2.7542659084638748E-2</v>
      </c>
      <c r="E845" s="1"/>
      <c r="F845" s="8"/>
      <c r="H845" t="s">
        <v>798</v>
      </c>
      <c r="I845">
        <v>54.18</v>
      </c>
      <c r="J845" s="227">
        <f t="shared" si="85"/>
        <v>1.6129032258064502E-2</v>
      </c>
      <c r="K845" s="5">
        <f>J845-J1276</f>
        <v>1.3993076342454544E-2</v>
      </c>
      <c r="M845" s="240" t="s">
        <v>796</v>
      </c>
      <c r="N845">
        <v>4307.54</v>
      </c>
      <c r="O845" s="227">
        <f t="shared" si="86"/>
        <v>-1.1360923930007538E-2</v>
      </c>
      <c r="P845" s="5">
        <f>O845-O1278</f>
        <v>-1.0995166729094367E-2</v>
      </c>
      <c r="Q845" s="8">
        <f t="shared" si="90"/>
        <v>1.2089369140058373E-4</v>
      </c>
      <c r="X845" t="s">
        <v>794</v>
      </c>
      <c r="Y845">
        <v>8.27</v>
      </c>
      <c r="Z845" s="48">
        <f t="shared" si="88"/>
        <v>1.210653753026536E-3</v>
      </c>
      <c r="AA845" s="5">
        <f>Z845-Y1274</f>
        <v>-3.0066657162475981E-3</v>
      </c>
      <c r="AD845" t="s">
        <v>796</v>
      </c>
      <c r="AE845">
        <v>205.98</v>
      </c>
      <c r="AF845" s="29">
        <f t="shared" si="89"/>
        <v>9.7553801656942163E-3</v>
      </c>
    </row>
    <row r="846" spans="1:32">
      <c r="A846" s="3" t="s">
        <v>800</v>
      </c>
      <c r="B846" s="222">
        <v>46.63</v>
      </c>
      <c r="C846" s="227">
        <f t="shared" si="84"/>
        <v>-1.312169312169309E-2</v>
      </c>
      <c r="D846" s="5">
        <f>C846-C1275</f>
        <v>-1.3199738691251978E-2</v>
      </c>
      <c r="E846" s="1"/>
      <c r="F846" s="8"/>
      <c r="H846" t="s">
        <v>799</v>
      </c>
      <c r="I846">
        <v>55.98</v>
      </c>
      <c r="J846" s="227">
        <f t="shared" si="85"/>
        <v>3.3222591362126241E-2</v>
      </c>
      <c r="K846" s="5">
        <f>J846-J1276</f>
        <v>3.1086635446516284E-2</v>
      </c>
      <c r="M846" s="240" t="s">
        <v>797</v>
      </c>
      <c r="N846">
        <v>4359.46</v>
      </c>
      <c r="O846" s="227">
        <f t="shared" si="86"/>
        <v>1.2053283312517094E-2</v>
      </c>
      <c r="P846" s="5">
        <f>O846-O1278</f>
        <v>1.2419040513430265E-2</v>
      </c>
      <c r="Q846" s="8">
        <f t="shared" si="90"/>
        <v>1.5423256727422225E-4</v>
      </c>
      <c r="X846" t="s">
        <v>795</v>
      </c>
      <c r="Y846">
        <v>8.3000000000000007</v>
      </c>
      <c r="Z846" s="48">
        <f t="shared" si="88"/>
        <v>3.6275695284160303E-3</v>
      </c>
      <c r="AA846" s="5">
        <f>Z846-Y1274</f>
        <v>-5.8974994085810375E-4</v>
      </c>
      <c r="AD846" t="s">
        <v>797</v>
      </c>
      <c r="AE846">
        <v>205.83</v>
      </c>
      <c r="AF846" s="29">
        <f t="shared" si="89"/>
        <v>-7.2822604136313362E-4</v>
      </c>
    </row>
    <row r="847" spans="1:32">
      <c r="A847" s="3" t="s">
        <v>801</v>
      </c>
      <c r="B847" s="222">
        <v>45.48</v>
      </c>
      <c r="C847" s="227">
        <f t="shared" si="84"/>
        <v>-2.4662234612910283E-2</v>
      </c>
      <c r="D847" s="5">
        <f>C847-C1275</f>
        <v>-2.4740280182469172E-2</v>
      </c>
      <c r="E847" s="1"/>
      <c r="F847" s="8"/>
      <c r="H847" t="s">
        <v>800</v>
      </c>
      <c r="I847">
        <v>55.86</v>
      </c>
      <c r="J847" s="227">
        <f t="shared" si="85"/>
        <v>-2.143622722400762E-3</v>
      </c>
      <c r="K847" s="5">
        <f>J847-J1276</f>
        <v>-4.2795786380107198E-3</v>
      </c>
      <c r="M847" s="240" t="s">
        <v>798</v>
      </c>
      <c r="N847">
        <v>4352.63</v>
      </c>
      <c r="O847" s="227">
        <f t="shared" si="86"/>
        <v>-1.5667078032600701E-3</v>
      </c>
      <c r="P847" s="5">
        <f>O847-O1278</f>
        <v>-1.2009506023468986E-3</v>
      </c>
      <c r="Q847" s="8">
        <f t="shared" si="90"/>
        <v>1.4422823492773785E-6</v>
      </c>
      <c r="X847" s="1">
        <v>44540</v>
      </c>
      <c r="Y847">
        <v>8.4499999999999993</v>
      </c>
      <c r="Z847" s="48">
        <f t="shared" si="88"/>
        <v>1.8072289156626287E-2</v>
      </c>
      <c r="AA847" s="5">
        <f>Z847-Y1274</f>
        <v>1.3854969687352153E-2</v>
      </c>
      <c r="AD847" t="s">
        <v>798</v>
      </c>
      <c r="AE847">
        <v>206.32</v>
      </c>
      <c r="AF847" s="29">
        <f t="shared" si="89"/>
        <v>2.3806053539328076E-3</v>
      </c>
    </row>
    <row r="848" spans="1:32">
      <c r="A848" s="3" t="s">
        <v>802</v>
      </c>
      <c r="B848" s="222">
        <v>44.87</v>
      </c>
      <c r="C848" s="227">
        <f t="shared" si="84"/>
        <v>-1.3412489006156547E-2</v>
      </c>
      <c r="D848" s="5">
        <f>C848-C1275</f>
        <v>-1.3490534575715436E-2</v>
      </c>
      <c r="E848" s="1"/>
      <c r="F848" s="8"/>
      <c r="H848" t="s">
        <v>801</v>
      </c>
      <c r="I848">
        <v>55.64</v>
      </c>
      <c r="J848" s="227">
        <f t="shared" si="85"/>
        <v>-3.9384174722519871E-3</v>
      </c>
      <c r="K848" s="5">
        <f>J848-J1276</f>
        <v>-6.0743733878619449E-3</v>
      </c>
      <c r="M848" s="240" t="s">
        <v>799</v>
      </c>
      <c r="N848">
        <v>4443.1099999999997</v>
      </c>
      <c r="O848" s="227">
        <f t="shared" si="86"/>
        <v>2.07874319664203E-2</v>
      </c>
      <c r="P848" s="5">
        <f>O848-O1278</f>
        <v>2.1153189167333473E-2</v>
      </c>
      <c r="Q848" s="8">
        <f t="shared" si="90"/>
        <v>4.4745741194899419E-4</v>
      </c>
      <c r="X848" s="1">
        <v>44510</v>
      </c>
      <c r="Y848">
        <v>8.3800000000000008</v>
      </c>
      <c r="Z848" s="48">
        <f t="shared" si="88"/>
        <v>-8.2840236686388957E-3</v>
      </c>
      <c r="AA848" s="5">
        <f>Z848-Y1274</f>
        <v>-1.250134313791303E-2</v>
      </c>
      <c r="AD848" t="s">
        <v>799</v>
      </c>
      <c r="AE848">
        <v>216.73</v>
      </c>
      <c r="AF848" s="29">
        <f t="shared" si="89"/>
        <v>5.0455602946878564E-2</v>
      </c>
    </row>
    <row r="849" spans="1:32">
      <c r="A849" s="3" t="s">
        <v>803</v>
      </c>
      <c r="B849" s="222">
        <v>44.36</v>
      </c>
      <c r="C849" s="227">
        <f t="shared" si="84"/>
        <v>-1.1366168932471554E-2</v>
      </c>
      <c r="D849" s="5">
        <f>C849-C1275</f>
        <v>-1.1444214502030443E-2</v>
      </c>
      <c r="E849" s="1"/>
      <c r="F849" s="8"/>
      <c r="H849" t="s">
        <v>802</v>
      </c>
      <c r="I849">
        <v>54.69</v>
      </c>
      <c r="J849" s="227">
        <f t="shared" si="85"/>
        <v>-1.7074047447879326E-2</v>
      </c>
      <c r="K849" s="5">
        <f>J849-J1276</f>
        <v>-1.9210003363489284E-2</v>
      </c>
      <c r="M849" s="240" t="s">
        <v>800</v>
      </c>
      <c r="N849">
        <v>4455.4799999999996</v>
      </c>
      <c r="O849" s="227">
        <f t="shared" si="86"/>
        <v>2.7840859217980185E-3</v>
      </c>
      <c r="P849" s="5">
        <f>O849-O1278</f>
        <v>3.14984312271119E-3</v>
      </c>
      <c r="Q849" s="8">
        <f t="shared" si="90"/>
        <v>9.9215116976909809E-6</v>
      </c>
      <c r="X849" s="1">
        <v>44418</v>
      </c>
      <c r="Y849">
        <v>8.17</v>
      </c>
      <c r="Z849" s="48">
        <f t="shared" si="88"/>
        <v>-2.505966587112185E-2</v>
      </c>
      <c r="AA849" s="5">
        <f>Z849-Y1274</f>
        <v>-2.9276985340395984E-2</v>
      </c>
      <c r="AD849" t="s">
        <v>800</v>
      </c>
      <c r="AE849">
        <v>220.52</v>
      </c>
      <c r="AF849" s="29">
        <f t="shared" si="89"/>
        <v>1.748719605038529E-2</v>
      </c>
    </row>
    <row r="850" spans="1:32">
      <c r="A850" s="3" t="s">
        <v>804</v>
      </c>
      <c r="B850" s="222">
        <v>39.79</v>
      </c>
      <c r="C850" s="227">
        <f t="shared" ref="C850:C913" si="91">B850/B849-1</f>
        <v>-0.10302073940486922</v>
      </c>
      <c r="D850" s="5">
        <f>C850-C1275</f>
        <v>-0.10309878497442811</v>
      </c>
      <c r="E850" s="1"/>
      <c r="F850" s="8"/>
      <c r="H850" t="s">
        <v>803</v>
      </c>
      <c r="I850">
        <v>54.45</v>
      </c>
      <c r="J850" s="227">
        <f t="shared" si="85"/>
        <v>-4.3883708173340086E-3</v>
      </c>
      <c r="K850" s="5">
        <f>J850-J1276</f>
        <v>-6.5243267329439664E-3</v>
      </c>
      <c r="M850" s="240" t="s">
        <v>801</v>
      </c>
      <c r="N850">
        <v>4448.9799999999996</v>
      </c>
      <c r="O850" s="227">
        <f t="shared" si="86"/>
        <v>-1.4588776069021092E-3</v>
      </c>
      <c r="P850" s="5">
        <f>O850-O1278</f>
        <v>-1.0931204059889377E-3</v>
      </c>
      <c r="Q850" s="8">
        <f t="shared" si="90"/>
        <v>1.19491222198942E-6</v>
      </c>
      <c r="X850" s="1">
        <v>44387</v>
      </c>
      <c r="Y850">
        <v>7.83</v>
      </c>
      <c r="Z850" s="48">
        <f t="shared" si="88"/>
        <v>-4.1615667074663354E-2</v>
      </c>
      <c r="AA850" s="5">
        <f>Z850-Y1274</f>
        <v>-4.5832986543937485E-2</v>
      </c>
      <c r="AD850" t="s">
        <v>801</v>
      </c>
      <c r="AE850">
        <v>217</v>
      </c>
      <c r="AF850" s="29">
        <f t="shared" si="89"/>
        <v>-1.5962270995828143E-2</v>
      </c>
    </row>
    <row r="851" spans="1:32">
      <c r="A851" s="3" t="s">
        <v>805</v>
      </c>
      <c r="B851" s="222">
        <v>39.75</v>
      </c>
      <c r="C851" s="227">
        <f t="shared" si="91"/>
        <v>-1.0052777079667674E-3</v>
      </c>
      <c r="D851" s="5">
        <f>C851-C1275</f>
        <v>-1.0833232775256567E-3</v>
      </c>
      <c r="E851" s="1"/>
      <c r="F851" s="8"/>
      <c r="H851" t="s">
        <v>804</v>
      </c>
      <c r="I851">
        <v>51.12</v>
      </c>
      <c r="J851" s="227">
        <f t="shared" si="85"/>
        <v>-6.115702479338847E-2</v>
      </c>
      <c r="K851" s="5">
        <f>J851-J1276</f>
        <v>-6.3292980708998428E-2</v>
      </c>
      <c r="M851" s="240" t="s">
        <v>802</v>
      </c>
      <c r="N851">
        <v>4395.6400000000003</v>
      </c>
      <c r="O851" s="227">
        <f t="shared" si="86"/>
        <v>-1.1989264955113099E-2</v>
      </c>
      <c r="P851" s="5">
        <f>O851-O1278</f>
        <v>-1.1623507754199928E-2</v>
      </c>
      <c r="Q851" s="8">
        <f t="shared" si="90"/>
        <v>1.3510593251194586E-4</v>
      </c>
      <c r="X851" s="1">
        <v>44357</v>
      </c>
      <c r="Y851">
        <v>7.58</v>
      </c>
      <c r="Z851" s="48">
        <f t="shared" si="88"/>
        <v>-3.1928480204342247E-2</v>
      </c>
      <c r="AA851" s="5">
        <f>Z851-Y1274</f>
        <v>-3.6145799673616377E-2</v>
      </c>
      <c r="AD851" t="s">
        <v>802</v>
      </c>
      <c r="AE851">
        <v>217.66</v>
      </c>
      <c r="AF851" s="29">
        <f t="shared" si="89"/>
        <v>3.0414746543778737E-3</v>
      </c>
    </row>
    <row r="852" spans="1:32">
      <c r="A852" s="3" t="s">
        <v>806</v>
      </c>
      <c r="B852" s="222">
        <v>39.520000000000003</v>
      </c>
      <c r="C852" s="227">
        <f t="shared" si="91"/>
        <v>-5.7861635220125551E-3</v>
      </c>
      <c r="D852" s="5">
        <f>C852-C1275</f>
        <v>-5.8642090915714444E-3</v>
      </c>
      <c r="F852" s="8"/>
      <c r="H852" t="s">
        <v>805</v>
      </c>
      <c r="I852">
        <v>52.18</v>
      </c>
      <c r="J852" s="227">
        <f t="shared" ref="J852:J915" si="92">I852/I851-1</f>
        <v>2.073552425665115E-2</v>
      </c>
      <c r="K852" s="5">
        <f>J852-J1276</f>
        <v>1.8599568341041192E-2</v>
      </c>
      <c r="M852" s="240" t="s">
        <v>803</v>
      </c>
      <c r="N852">
        <v>4354.1899999999996</v>
      </c>
      <c r="O852" s="227">
        <f t="shared" si="86"/>
        <v>-9.4297986186313576E-3</v>
      </c>
      <c r="P852" s="5">
        <f>O852-O1278</f>
        <v>-9.0640414177181865E-3</v>
      </c>
      <c r="Q852" s="8">
        <f t="shared" si="90"/>
        <v>8.2156846822110716E-5</v>
      </c>
      <c r="X852" s="1">
        <v>44326</v>
      </c>
      <c r="Y852">
        <v>7.46</v>
      </c>
      <c r="Z852" s="48">
        <f t="shared" si="88"/>
        <v>-1.5831134564643801E-2</v>
      </c>
      <c r="AA852" s="5">
        <f>Z852-Y1274</f>
        <v>-2.0048454033917935E-2</v>
      </c>
      <c r="AD852" t="s">
        <v>803</v>
      </c>
      <c r="AE852">
        <v>221.36</v>
      </c>
      <c r="AF852" s="29">
        <f t="shared" si="89"/>
        <v>1.6998989249287888E-2</v>
      </c>
    </row>
    <row r="853" spans="1:32">
      <c r="A853" s="3" t="s">
        <v>807</v>
      </c>
      <c r="B853" s="222">
        <v>38.479999999999997</v>
      </c>
      <c r="C853" s="227">
        <f t="shared" si="91"/>
        <v>-2.6315789473684403E-2</v>
      </c>
      <c r="D853" s="5">
        <f>C853-C1275</f>
        <v>-2.6393835043243292E-2</v>
      </c>
      <c r="F853" s="8"/>
      <c r="H853" t="s">
        <v>806</v>
      </c>
      <c r="I853">
        <v>52.39</v>
      </c>
      <c r="J853" s="227">
        <f t="shared" si="92"/>
        <v>4.0245304714450203E-3</v>
      </c>
      <c r="K853" s="5">
        <f>J853-J1276</f>
        <v>1.8885745558350625E-3</v>
      </c>
      <c r="M853" s="240" t="s">
        <v>804</v>
      </c>
      <c r="N853">
        <v>4357.7299999999996</v>
      </c>
      <c r="O853" s="227">
        <f t="shared" si="86"/>
        <v>8.1300999726696688E-4</v>
      </c>
      <c r="P853" s="5">
        <f>O853-O1278</f>
        <v>1.1787671981801384E-3</v>
      </c>
      <c r="Q853" s="8">
        <f t="shared" si="90"/>
        <v>1.3894921075054536E-6</v>
      </c>
      <c r="X853" s="1">
        <v>44296</v>
      </c>
      <c r="Y853">
        <v>7.27</v>
      </c>
      <c r="Z853" s="48">
        <f t="shared" si="88"/>
        <v>-2.5469168900804307E-2</v>
      </c>
      <c r="AA853" s="5">
        <f>Z853-Y1274</f>
        <v>-2.9686488370078441E-2</v>
      </c>
      <c r="AD853" t="s">
        <v>804</v>
      </c>
      <c r="AE853">
        <v>220.32</v>
      </c>
      <c r="AF853" s="29">
        <f t="shared" si="89"/>
        <v>-4.6982291290207367E-3</v>
      </c>
    </row>
    <row r="854" spans="1:32">
      <c r="A854" s="3" t="s">
        <v>808</v>
      </c>
      <c r="B854" s="222">
        <v>39.01</v>
      </c>
      <c r="C854" s="227">
        <f t="shared" si="91"/>
        <v>1.377338877338885E-2</v>
      </c>
      <c r="D854" s="5">
        <f>C854-C1275</f>
        <v>1.3695343203829962E-2</v>
      </c>
      <c r="F854" s="8"/>
      <c r="H854" t="s">
        <v>807</v>
      </c>
      <c r="I854">
        <v>51.01</v>
      </c>
      <c r="J854" s="227">
        <f t="shared" si="92"/>
        <v>-2.6340904752815475E-2</v>
      </c>
      <c r="K854" s="5">
        <f>J854-J1276</f>
        <v>-2.8476860668425433E-2</v>
      </c>
      <c r="M854" s="240" t="s">
        <v>805</v>
      </c>
      <c r="N854">
        <v>4432.99</v>
      </c>
      <c r="O854" s="227">
        <f t="shared" ref="O854:O917" si="93">N854/N853-1</f>
        <v>1.7270459620031486E-2</v>
      </c>
      <c r="P854" s="5">
        <f>O854-O1278</f>
        <v>1.7636216820944659E-2</v>
      </c>
      <c r="Q854" s="8">
        <f t="shared" si="90"/>
        <v>3.1103614375537132E-4</v>
      </c>
      <c r="X854" s="1">
        <v>44206</v>
      </c>
      <c r="Y854">
        <v>7.58</v>
      </c>
      <c r="Z854" s="48">
        <f t="shared" ref="Z854:Z917" si="94">Y854/Y853-1</f>
        <v>4.2640990371389353E-2</v>
      </c>
      <c r="AA854" s="5">
        <f>Z854-Y1274</f>
        <v>3.8423670902115223E-2</v>
      </c>
      <c r="AD854" t="s">
        <v>805</v>
      </c>
      <c r="AE854">
        <v>222.91</v>
      </c>
      <c r="AF854" s="29">
        <f t="shared" ref="AF854:AF917" si="95">AE854/AE853-1</f>
        <v>1.1755628177196886E-2</v>
      </c>
    </row>
    <row r="855" spans="1:32">
      <c r="A855" s="3" t="s">
        <v>809</v>
      </c>
      <c r="B855" s="222">
        <v>40.07</v>
      </c>
      <c r="C855" s="227">
        <f t="shared" si="91"/>
        <v>2.7172519866700995E-2</v>
      </c>
      <c r="D855" s="5">
        <f>C855-C1275</f>
        <v>2.7094474297142106E-2</v>
      </c>
      <c r="F855" s="8"/>
      <c r="H855" t="s">
        <v>808</v>
      </c>
      <c r="I855">
        <v>50.53</v>
      </c>
      <c r="J855" s="227">
        <f t="shared" si="92"/>
        <v>-9.4099196236031579E-3</v>
      </c>
      <c r="K855" s="5">
        <f>J855-J1276</f>
        <v>-1.1545875539213116E-2</v>
      </c>
      <c r="M855" s="240" t="s">
        <v>806</v>
      </c>
      <c r="N855">
        <v>4473.75</v>
      </c>
      <c r="O855" s="227">
        <f t="shared" si="93"/>
        <v>9.1946970329281896E-3</v>
      </c>
      <c r="P855" s="5">
        <f>O855-O1278</f>
        <v>9.5604542338413607E-3</v>
      </c>
      <c r="Q855" s="8">
        <f t="shared" ref="Q855:Q918" si="96">P855*P855</f>
        <v>9.1402285157375201E-5</v>
      </c>
      <c r="X855" t="s">
        <v>796</v>
      </c>
      <c r="Y855">
        <v>7.79</v>
      </c>
      <c r="Z855" s="48">
        <f t="shared" si="94"/>
        <v>2.770448548812654E-2</v>
      </c>
      <c r="AA855" s="5">
        <f>Z855-Y1274</f>
        <v>2.3487166018852406E-2</v>
      </c>
      <c r="AD855" t="s">
        <v>806</v>
      </c>
      <c r="AE855">
        <v>221.5</v>
      </c>
      <c r="AF855" s="29">
        <f t="shared" si="95"/>
        <v>-6.3254228163832638E-3</v>
      </c>
    </row>
    <row r="856" spans="1:32">
      <c r="A856" s="220">
        <v>44478</v>
      </c>
      <c r="B856" s="222">
        <v>39.89</v>
      </c>
      <c r="C856" s="227">
        <f t="shared" si="91"/>
        <v>-4.4921387571749127E-3</v>
      </c>
      <c r="D856" s="5">
        <f>C856-C1275</f>
        <v>-4.570184326733802E-3</v>
      </c>
      <c r="F856" s="8"/>
      <c r="H856" t="s">
        <v>809</v>
      </c>
      <c r="I856">
        <v>51.84</v>
      </c>
      <c r="J856" s="227">
        <f t="shared" si="92"/>
        <v>2.5925192954680432E-2</v>
      </c>
      <c r="K856" s="5">
        <f>J856-J1276</f>
        <v>2.3789237039070474E-2</v>
      </c>
      <c r="M856" s="240" t="s">
        <v>807</v>
      </c>
      <c r="N856">
        <v>4480.7</v>
      </c>
      <c r="O856" s="227">
        <f t="shared" si="93"/>
        <v>1.5535065660798875E-3</v>
      </c>
      <c r="P856" s="5">
        <f>O856-O1278</f>
        <v>1.919263766993059E-3</v>
      </c>
      <c r="Q856" s="8">
        <f t="shared" si="96"/>
        <v>3.6835734072923868E-6</v>
      </c>
      <c r="X856" t="s">
        <v>797</v>
      </c>
      <c r="Y856">
        <v>7.78</v>
      </c>
      <c r="Z856" s="48">
        <f t="shared" si="94"/>
        <v>-1.2836970474967568E-3</v>
      </c>
      <c r="AA856" s="5">
        <f>Z856-Y1274</f>
        <v>-5.5010165167708909E-3</v>
      </c>
      <c r="AD856" t="s">
        <v>807</v>
      </c>
      <c r="AE856">
        <v>209.85</v>
      </c>
      <c r="AF856" s="29">
        <f t="shared" si="95"/>
        <v>-5.259593679458241E-2</v>
      </c>
    </row>
    <row r="857" spans="1:32">
      <c r="A857" s="220">
        <v>44448</v>
      </c>
      <c r="B857" s="222">
        <v>40.35</v>
      </c>
      <c r="C857" s="227">
        <f t="shared" si="91"/>
        <v>1.153171220857363E-2</v>
      </c>
      <c r="D857" s="5">
        <f>C857-C1275</f>
        <v>1.1453666639014742E-2</v>
      </c>
      <c r="F857" s="8"/>
      <c r="H857" s="1">
        <v>44478</v>
      </c>
      <c r="I857">
        <v>50.01</v>
      </c>
      <c r="J857" s="227">
        <f t="shared" si="92"/>
        <v>-3.5300925925926041E-2</v>
      </c>
      <c r="K857" s="5">
        <f>J857-J1276</f>
        <v>-3.7436881841535999E-2</v>
      </c>
      <c r="M857" s="240" t="s">
        <v>808</v>
      </c>
      <c r="N857">
        <v>4443.05</v>
      </c>
      <c r="O857" s="227">
        <f t="shared" si="93"/>
        <v>-8.4027049344967963E-3</v>
      </c>
      <c r="P857" s="5">
        <f>O857-O1278</f>
        <v>-8.0369477335836253E-3</v>
      </c>
      <c r="Q857" s="8">
        <f t="shared" si="96"/>
        <v>6.4592528872354975E-5</v>
      </c>
      <c r="X857" t="s">
        <v>798</v>
      </c>
      <c r="Y857">
        <v>7.98</v>
      </c>
      <c r="Z857" s="48">
        <f t="shared" si="94"/>
        <v>2.5706940874036022E-2</v>
      </c>
      <c r="AA857" s="5">
        <f>Z857-Y1274</f>
        <v>2.1489621404761888E-2</v>
      </c>
      <c r="AD857" t="s">
        <v>808</v>
      </c>
      <c r="AE857">
        <v>203.33</v>
      </c>
      <c r="AF857" s="29">
        <f t="shared" si="95"/>
        <v>-3.1069811770312095E-2</v>
      </c>
    </row>
    <row r="858" spans="1:32">
      <c r="A858" s="220">
        <v>44417</v>
      </c>
      <c r="B858" s="222">
        <v>40.07</v>
      </c>
      <c r="C858" s="227">
        <f t="shared" si="91"/>
        <v>-6.9392812887236754E-3</v>
      </c>
      <c r="D858" s="5">
        <f>C858-C1275</f>
        <v>-7.0173268582825648E-3</v>
      </c>
      <c r="F858" s="8"/>
      <c r="H858" s="1">
        <v>44448</v>
      </c>
      <c r="I858">
        <v>50.51</v>
      </c>
      <c r="J858" s="227">
        <f t="shared" si="92"/>
        <v>9.9980003999200484E-3</v>
      </c>
      <c r="K858" s="5">
        <f>J858-J1276</f>
        <v>7.8620444843100906E-3</v>
      </c>
      <c r="M858" s="240" t="s">
        <v>809</v>
      </c>
      <c r="N858">
        <v>4468.7299999999996</v>
      </c>
      <c r="O858" s="227">
        <f t="shared" si="93"/>
        <v>5.7798134164592785E-3</v>
      </c>
      <c r="P858" s="5">
        <f>O858-O1278</f>
        <v>6.1455706173724504E-3</v>
      </c>
      <c r="Q858" s="8">
        <f t="shared" si="96"/>
        <v>3.7768038213111605E-5</v>
      </c>
      <c r="X858" t="s">
        <v>799</v>
      </c>
      <c r="Y858">
        <v>8.24</v>
      </c>
      <c r="Z858" s="48">
        <f t="shared" si="94"/>
        <v>3.2581453634085156E-2</v>
      </c>
      <c r="AA858" s="5">
        <f>Z858-Y1274</f>
        <v>2.8364134164811022E-2</v>
      </c>
      <c r="AD858" t="s">
        <v>809</v>
      </c>
      <c r="AE858">
        <v>208.64</v>
      </c>
      <c r="AF858" s="29">
        <f t="shared" si="95"/>
        <v>2.6115182216101873E-2</v>
      </c>
    </row>
    <row r="859" spans="1:32">
      <c r="A859" s="220">
        <v>44386</v>
      </c>
      <c r="B859" s="222">
        <v>40.950000000000003</v>
      </c>
      <c r="C859" s="227">
        <f t="shared" si="91"/>
        <v>2.1961567257299697E-2</v>
      </c>
      <c r="D859" s="5">
        <f>C859-C1275</f>
        <v>2.1883521687740808E-2</v>
      </c>
      <c r="F859" s="8"/>
      <c r="H859" s="1">
        <v>44417</v>
      </c>
      <c r="I859">
        <v>49.81</v>
      </c>
      <c r="J859" s="227">
        <f t="shared" si="92"/>
        <v>-1.3858641853098264E-2</v>
      </c>
      <c r="K859" s="5">
        <f>J859-J1276</f>
        <v>-1.5994597768708221E-2</v>
      </c>
      <c r="M859" s="241">
        <v>44478</v>
      </c>
      <c r="N859">
        <v>4458.58</v>
      </c>
      <c r="O859" s="227">
        <f t="shared" si="93"/>
        <v>-2.2713388367611165E-3</v>
      </c>
      <c r="P859" s="5">
        <f>O859-O1278</f>
        <v>-1.905581635847945E-3</v>
      </c>
      <c r="Q859" s="8">
        <f t="shared" si="96"/>
        <v>3.6312413708809299E-6</v>
      </c>
      <c r="X859" t="s">
        <v>800</v>
      </c>
      <c r="Y859">
        <v>7.96</v>
      </c>
      <c r="Z859" s="48">
        <f t="shared" si="94"/>
        <v>-3.398058252427183E-2</v>
      </c>
      <c r="AA859" s="5">
        <f>Z859-Y1274</f>
        <v>-3.819790199354596E-2</v>
      </c>
      <c r="AD859" s="1">
        <v>44478</v>
      </c>
      <c r="AE859">
        <v>210.37</v>
      </c>
      <c r="AF859" s="29">
        <f t="shared" si="95"/>
        <v>8.2917944785276809E-3</v>
      </c>
    </row>
    <row r="860" spans="1:32">
      <c r="A860" s="220">
        <v>44264</v>
      </c>
      <c r="B860" s="222">
        <v>40.32</v>
      </c>
      <c r="C860" s="227">
        <f t="shared" si="91"/>
        <v>-1.5384615384615441E-2</v>
      </c>
      <c r="D860" s="5">
        <f>C860-C1275</f>
        <v>-1.5462660954174329E-2</v>
      </c>
      <c r="F860" s="8"/>
      <c r="H860" s="1">
        <v>44386</v>
      </c>
      <c r="I860">
        <v>50.59</v>
      </c>
      <c r="J860" s="227">
        <f t="shared" si="92"/>
        <v>1.5659506123268496E-2</v>
      </c>
      <c r="K860" s="5">
        <f>J860-J1276</f>
        <v>1.3523550207658538E-2</v>
      </c>
      <c r="M860" s="241">
        <v>44448</v>
      </c>
      <c r="N860">
        <v>4493.28</v>
      </c>
      <c r="O860" s="227">
        <f t="shared" si="93"/>
        <v>7.7827469732514309E-3</v>
      </c>
      <c r="P860" s="5">
        <f>O860-O1278</f>
        <v>8.148504174164602E-3</v>
      </c>
      <c r="Q860" s="8">
        <f t="shared" si="96"/>
        <v>6.6398120276377938E-5</v>
      </c>
      <c r="X860" t="s">
        <v>801</v>
      </c>
      <c r="Y860">
        <v>8.18</v>
      </c>
      <c r="Z860" s="48">
        <f t="shared" si="94"/>
        <v>2.7638190954773822E-2</v>
      </c>
      <c r="AA860" s="5">
        <f>Z860-Y1274</f>
        <v>2.3420871485499688E-2</v>
      </c>
      <c r="AD860" s="1">
        <v>44448</v>
      </c>
      <c r="AE860">
        <v>207.74</v>
      </c>
      <c r="AF860" s="29">
        <f t="shared" si="95"/>
        <v>-1.2501782573560827E-2</v>
      </c>
    </row>
    <row r="861" spans="1:32">
      <c r="A861" s="220">
        <v>44236</v>
      </c>
      <c r="B861" s="222">
        <v>41.4</v>
      </c>
      <c r="C861" s="227">
        <f t="shared" si="91"/>
        <v>2.6785714285714191E-2</v>
      </c>
      <c r="D861" s="5">
        <f>C861-C1275</f>
        <v>2.6707668716155302E-2</v>
      </c>
      <c r="F861" s="8"/>
      <c r="H861" s="1">
        <v>44264</v>
      </c>
      <c r="I861">
        <v>48.21</v>
      </c>
      <c r="J861" s="227">
        <f t="shared" si="92"/>
        <v>-4.7044870527772287E-2</v>
      </c>
      <c r="K861" s="5">
        <f>J861-J1276</f>
        <v>-4.9180826443382245E-2</v>
      </c>
      <c r="M861" s="241">
        <v>44417</v>
      </c>
      <c r="N861">
        <v>4514.07</v>
      </c>
      <c r="O861" s="227">
        <f t="shared" si="93"/>
        <v>4.6269095182138731E-3</v>
      </c>
      <c r="P861" s="5">
        <f>O861-O1278</f>
        <v>4.992666719127045E-3</v>
      </c>
      <c r="Q861" s="8">
        <f t="shared" si="96"/>
        <v>2.4926720968278813E-5</v>
      </c>
      <c r="X861" t="s">
        <v>802</v>
      </c>
      <c r="Y861">
        <v>7.96</v>
      </c>
      <c r="Z861" s="48">
        <f t="shared" si="94"/>
        <v>-2.6894865525672329E-2</v>
      </c>
      <c r="AA861" s="5">
        <f>Z861-Y1274</f>
        <v>-3.1112184994946463E-2</v>
      </c>
      <c r="AD861" s="1">
        <v>44417</v>
      </c>
      <c r="AE861">
        <v>200.92</v>
      </c>
      <c r="AF861" s="29">
        <f t="shared" si="95"/>
        <v>-3.2829498411475977E-2</v>
      </c>
    </row>
    <row r="862" spans="1:32">
      <c r="A862" s="220">
        <v>44205</v>
      </c>
      <c r="B862" s="222">
        <v>40.619999999999997</v>
      </c>
      <c r="C862" s="227">
        <f t="shared" si="91"/>
        <v>-1.8840579710144967E-2</v>
      </c>
      <c r="D862" s="5">
        <f>C862-C1275</f>
        <v>-1.8918625279703855E-2</v>
      </c>
      <c r="F862" s="8"/>
      <c r="H862" s="1">
        <v>44236</v>
      </c>
      <c r="I862">
        <v>49.3</v>
      </c>
      <c r="J862" s="227">
        <f t="shared" si="92"/>
        <v>2.2609417133374832E-2</v>
      </c>
      <c r="K862" s="5">
        <f>J862-J1276</f>
        <v>2.0473461217764874E-2</v>
      </c>
      <c r="M862" s="241">
        <v>44386</v>
      </c>
      <c r="N862">
        <v>4520.03</v>
      </c>
      <c r="O862" s="227">
        <f t="shared" si="93"/>
        <v>1.3203162556185699E-3</v>
      </c>
      <c r="P862" s="5">
        <f>O862-O1278</f>
        <v>1.6860734565317414E-3</v>
      </c>
      <c r="Q862" s="8">
        <f t="shared" si="96"/>
        <v>2.8428437008208942E-6</v>
      </c>
      <c r="X862" t="s">
        <v>803</v>
      </c>
      <c r="Y862">
        <v>7.61</v>
      </c>
      <c r="Z862" s="48">
        <f t="shared" si="94"/>
        <v>-4.3969849246231152E-2</v>
      </c>
      <c r="AA862" s="5">
        <f>Z862-Y1274</f>
        <v>-4.8187168715505282E-2</v>
      </c>
      <c r="AD862" s="1">
        <v>44386</v>
      </c>
      <c r="AE862">
        <v>197.12</v>
      </c>
      <c r="AF862" s="29">
        <f t="shared" si="95"/>
        <v>-1.8913000199084151E-2</v>
      </c>
    </row>
    <row r="863" spans="1:32">
      <c r="A863" s="3" t="s">
        <v>810</v>
      </c>
      <c r="B863" s="222">
        <v>39.14</v>
      </c>
      <c r="C863" s="227">
        <f t="shared" si="91"/>
        <v>-3.6435253569670034E-2</v>
      </c>
      <c r="D863" s="5">
        <f>C863-C1275</f>
        <v>-3.6513299139228926E-2</v>
      </c>
      <c r="F863" s="8"/>
      <c r="H863" s="1">
        <v>44205</v>
      </c>
      <c r="I863">
        <v>48.37</v>
      </c>
      <c r="J863" s="227">
        <f t="shared" si="92"/>
        <v>-1.8864097363083143E-2</v>
      </c>
      <c r="K863" s="5">
        <f>J863-J1276</f>
        <v>-2.1000053278693101E-2</v>
      </c>
      <c r="M863" s="241">
        <v>44264</v>
      </c>
      <c r="N863">
        <v>4535.43</v>
      </c>
      <c r="O863" s="227">
        <f t="shared" si="93"/>
        <v>3.4070570328075256E-3</v>
      </c>
      <c r="P863" s="5">
        <f>O863-O1278</f>
        <v>3.7728142337206971E-3</v>
      </c>
      <c r="Q863" s="8">
        <f t="shared" si="96"/>
        <v>1.423412724216549E-5</v>
      </c>
      <c r="X863" t="s">
        <v>804</v>
      </c>
      <c r="Y863">
        <v>7.75</v>
      </c>
      <c r="Z863" s="48">
        <f t="shared" si="94"/>
        <v>1.8396846254927768E-2</v>
      </c>
      <c r="AA863" s="5">
        <f>Z863-Y1274</f>
        <v>1.4179526785653634E-2</v>
      </c>
      <c r="AD863" s="1">
        <v>44264</v>
      </c>
      <c r="AE863">
        <v>193.46</v>
      </c>
      <c r="AF863" s="29">
        <f t="shared" si="95"/>
        <v>-1.8567370129870087E-2</v>
      </c>
    </row>
    <row r="864" spans="1:32">
      <c r="A864" s="3" t="s">
        <v>811</v>
      </c>
      <c r="B864" s="222">
        <v>39.590000000000003</v>
      </c>
      <c r="C864" s="227">
        <f t="shared" si="91"/>
        <v>1.1497189575881528E-2</v>
      </c>
      <c r="D864" s="5">
        <f>C864-C1275</f>
        <v>1.1419144006322639E-2</v>
      </c>
      <c r="F864" s="8"/>
      <c r="H864" t="s">
        <v>810</v>
      </c>
      <c r="I864">
        <v>47.61</v>
      </c>
      <c r="J864" s="227">
        <f t="shared" si="92"/>
        <v>-1.5712218317138649E-2</v>
      </c>
      <c r="K864" s="5">
        <f>J864-J1276</f>
        <v>-1.7848174232748606E-2</v>
      </c>
      <c r="M864" s="241">
        <v>44236</v>
      </c>
      <c r="N864">
        <v>4536.95</v>
      </c>
      <c r="O864" s="227">
        <f t="shared" si="93"/>
        <v>3.3513911580596023E-4</v>
      </c>
      <c r="P864" s="5">
        <f>O864-O1278</f>
        <v>7.0089631671913172E-4</v>
      </c>
      <c r="Q864" s="8">
        <f t="shared" si="96"/>
        <v>4.9125564679044543E-7</v>
      </c>
      <c r="X864" t="s">
        <v>805</v>
      </c>
      <c r="Y864">
        <v>8.3000000000000007</v>
      </c>
      <c r="Z864" s="48">
        <f t="shared" si="94"/>
        <v>7.0967741935483941E-2</v>
      </c>
      <c r="AA864" s="5">
        <f>Z864-Y1274</f>
        <v>6.6750422466209811E-2</v>
      </c>
      <c r="AD864" s="1">
        <v>44236</v>
      </c>
      <c r="AE864">
        <v>191.72</v>
      </c>
      <c r="AF864" s="29">
        <f t="shared" si="95"/>
        <v>-8.9941073090045176E-3</v>
      </c>
    </row>
    <row r="865" spans="1:32">
      <c r="A865" s="3" t="s">
        <v>812</v>
      </c>
      <c r="B865" s="222">
        <v>40.69</v>
      </c>
      <c r="C865" s="227">
        <f t="shared" si="91"/>
        <v>2.7784794139934288E-2</v>
      </c>
      <c r="D865" s="5">
        <f>C865-C1275</f>
        <v>2.7706748570375399E-2</v>
      </c>
      <c r="E865" s="1"/>
      <c r="F865" s="8"/>
      <c r="H865" t="s">
        <v>811</v>
      </c>
      <c r="I865">
        <v>47.13</v>
      </c>
      <c r="J865" s="227">
        <f t="shared" si="92"/>
        <v>-1.00819155639571E-2</v>
      </c>
      <c r="K865" s="5">
        <f>J865-J1276</f>
        <v>-1.2217871479567058E-2</v>
      </c>
      <c r="M865" s="241">
        <v>44205</v>
      </c>
      <c r="N865">
        <v>4524.09</v>
      </c>
      <c r="O865" s="227">
        <f t="shared" si="93"/>
        <v>-2.834503355778617E-3</v>
      </c>
      <c r="P865" s="5">
        <f>O865-O1278</f>
        <v>-2.4687461548654455E-3</v>
      </c>
      <c r="Q865" s="8">
        <f t="shared" si="96"/>
        <v>6.0947075771629227E-6</v>
      </c>
      <c r="X865" t="s">
        <v>806</v>
      </c>
      <c r="Y865">
        <v>8.17</v>
      </c>
      <c r="Z865" s="48">
        <f t="shared" si="94"/>
        <v>-1.5662650602409678E-2</v>
      </c>
      <c r="AA865" s="5">
        <f>Z865-Y1274</f>
        <v>-1.9879970071683812E-2</v>
      </c>
      <c r="AD865" s="1">
        <v>44205</v>
      </c>
      <c r="AE865">
        <v>191.8</v>
      </c>
      <c r="AF865" s="29">
        <f t="shared" si="95"/>
        <v>4.1727519298984106E-4</v>
      </c>
    </row>
    <row r="866" spans="1:32">
      <c r="A866" s="3" t="s">
        <v>813</v>
      </c>
      <c r="B866" s="222">
        <v>40.619999999999997</v>
      </c>
      <c r="C866" s="227">
        <f t="shared" si="91"/>
        <v>-1.720324404030471E-3</v>
      </c>
      <c r="D866" s="5">
        <f>C866-C1275</f>
        <v>-1.7983699735893604E-3</v>
      </c>
      <c r="E866" s="1"/>
      <c r="F866" s="8"/>
      <c r="H866" t="s">
        <v>812</v>
      </c>
      <c r="I866">
        <v>48.39</v>
      </c>
      <c r="J866" s="227">
        <f t="shared" si="92"/>
        <v>2.6734563971992253E-2</v>
      </c>
      <c r="K866" s="5">
        <f>J866-J1276</f>
        <v>2.4598608056382296E-2</v>
      </c>
      <c r="M866" s="240" t="s">
        <v>810</v>
      </c>
      <c r="N866">
        <v>4522.68</v>
      </c>
      <c r="O866" s="227">
        <f t="shared" si="93"/>
        <v>-3.1166488730327568E-4</v>
      </c>
      <c r="P866" s="5">
        <f>O866-O1278</f>
        <v>5.4092313609895861E-5</v>
      </c>
      <c r="Q866" s="8">
        <f t="shared" si="96"/>
        <v>2.925978391671325E-9</v>
      </c>
      <c r="X866" t="s">
        <v>807</v>
      </c>
      <c r="Y866">
        <v>8.2799999999999994</v>
      </c>
      <c r="Z866" s="48">
        <f t="shared" si="94"/>
        <v>1.346389228886169E-2</v>
      </c>
      <c r="AA866" s="5">
        <f>Z866-Y1274</f>
        <v>9.2465728195875556E-3</v>
      </c>
      <c r="AD866" t="s">
        <v>810</v>
      </c>
      <c r="AE866">
        <v>191.4</v>
      </c>
      <c r="AF866" s="29">
        <f t="shared" si="95"/>
        <v>-2.0855057351407691E-3</v>
      </c>
    </row>
    <row r="867" spans="1:32">
      <c r="A867" s="3" t="s">
        <v>814</v>
      </c>
      <c r="B867" s="222">
        <v>41.55</v>
      </c>
      <c r="C867" s="227">
        <f t="shared" si="91"/>
        <v>2.2895125553914264E-2</v>
      </c>
      <c r="D867" s="5">
        <f>C867-C1275</f>
        <v>2.2817079984355376E-2</v>
      </c>
      <c r="E867" s="1"/>
      <c r="F867" s="8"/>
      <c r="H867" t="s">
        <v>813</v>
      </c>
      <c r="I867">
        <v>48.6</v>
      </c>
      <c r="J867" s="227">
        <f t="shared" si="92"/>
        <v>4.3397396156230617E-3</v>
      </c>
      <c r="K867" s="5">
        <f>J867-J1276</f>
        <v>2.2037837000131039E-3</v>
      </c>
      <c r="M867" s="240" t="s">
        <v>811</v>
      </c>
      <c r="N867">
        <v>4528.79</v>
      </c>
      <c r="O867" s="227">
        <f t="shared" si="93"/>
        <v>1.3509688945492204E-3</v>
      </c>
      <c r="P867" s="5">
        <f>O867-O1278</f>
        <v>1.7167260954623919E-3</v>
      </c>
      <c r="Q867" s="8">
        <f t="shared" si="96"/>
        <v>2.9471484868415497E-6</v>
      </c>
      <c r="X867" t="s">
        <v>808</v>
      </c>
      <c r="Y867">
        <v>8.4499999999999993</v>
      </c>
      <c r="Z867" s="48">
        <f t="shared" si="94"/>
        <v>2.0531400966183666E-2</v>
      </c>
      <c r="AA867" s="5">
        <f>Z867-Y1274</f>
        <v>1.6314081496909532E-2</v>
      </c>
      <c r="AD867" t="s">
        <v>811</v>
      </c>
      <c r="AE867">
        <v>192.7</v>
      </c>
      <c r="AF867" s="29">
        <f t="shared" si="95"/>
        <v>6.7920585161964642E-3</v>
      </c>
    </row>
    <row r="868" spans="1:32">
      <c r="A868" s="3" t="s">
        <v>815</v>
      </c>
      <c r="B868" s="222">
        <v>40.17</v>
      </c>
      <c r="C868" s="227">
        <f t="shared" si="91"/>
        <v>-3.3212996389891614E-2</v>
      </c>
      <c r="D868" s="5">
        <f>C868-C1275</f>
        <v>-3.3291041959450506E-2</v>
      </c>
      <c r="E868" s="1"/>
      <c r="F868" s="8"/>
      <c r="H868" t="s">
        <v>814</v>
      </c>
      <c r="I868">
        <v>49.43</v>
      </c>
      <c r="J868" s="227">
        <f t="shared" si="92"/>
        <v>1.7078189300411495E-2</v>
      </c>
      <c r="K868" s="5">
        <f>J868-J1276</f>
        <v>1.4942233384801537E-2</v>
      </c>
      <c r="M868" s="240" t="s">
        <v>812</v>
      </c>
      <c r="N868">
        <v>4509.37</v>
      </c>
      <c r="O868" s="227">
        <f t="shared" si="93"/>
        <v>-4.2881211096120753E-3</v>
      </c>
      <c r="P868" s="5">
        <f>O868-O1278</f>
        <v>-3.9223639086989033E-3</v>
      </c>
      <c r="Q868" s="8">
        <f t="shared" si="96"/>
        <v>1.5384938632263738E-5</v>
      </c>
      <c r="X868" t="s">
        <v>809</v>
      </c>
      <c r="Y868">
        <v>8.67</v>
      </c>
      <c r="Z868" s="48">
        <f t="shared" si="94"/>
        <v>2.6035502958579926E-2</v>
      </c>
      <c r="AA868" s="5">
        <f>Z868-Y1274</f>
        <v>2.1818183489305792E-2</v>
      </c>
      <c r="AD868" t="s">
        <v>812</v>
      </c>
      <c r="AE868">
        <v>187.94</v>
      </c>
      <c r="AF868" s="29">
        <f t="shared" si="95"/>
        <v>-2.4701608718214807E-2</v>
      </c>
    </row>
    <row r="869" spans="1:32">
      <c r="A869" s="3" t="s">
        <v>816</v>
      </c>
      <c r="B869" s="222">
        <v>41</v>
      </c>
      <c r="C869" s="227">
        <f t="shared" si="91"/>
        <v>2.0662185710729419E-2</v>
      </c>
      <c r="D869" s="5">
        <f>C869-C1275</f>
        <v>2.0584140141170531E-2</v>
      </c>
      <c r="E869" s="1"/>
      <c r="F869" s="8"/>
      <c r="H869" t="s">
        <v>815</v>
      </c>
      <c r="I869">
        <v>47.67</v>
      </c>
      <c r="J869" s="227">
        <f t="shared" si="92"/>
        <v>-3.5605907343718379E-2</v>
      </c>
      <c r="K869" s="5">
        <f>J869-J1276</f>
        <v>-3.7741863259328337E-2</v>
      </c>
      <c r="M869" s="240" t="s">
        <v>813</v>
      </c>
      <c r="N869">
        <v>4470</v>
      </c>
      <c r="O869" s="227">
        <f t="shared" si="93"/>
        <v>-8.7307096113203864E-3</v>
      </c>
      <c r="P869" s="5">
        <f>O869-O1278</f>
        <v>-8.3649524104072153E-3</v>
      </c>
      <c r="Q869" s="8">
        <f t="shared" si="96"/>
        <v>6.9972428828377485E-5</v>
      </c>
      <c r="X869" s="1">
        <v>44478</v>
      </c>
      <c r="Y869">
        <v>8.5500000000000007</v>
      </c>
      <c r="Z869" s="48">
        <f t="shared" si="94"/>
        <v>-1.3840830449826869E-2</v>
      </c>
      <c r="AA869" s="5">
        <f>Z869-Y1274</f>
        <v>-1.8058149919101003E-2</v>
      </c>
      <c r="AD869" t="s">
        <v>813</v>
      </c>
      <c r="AE869">
        <v>191</v>
      </c>
      <c r="AF869" s="29">
        <f t="shared" si="95"/>
        <v>1.6281792061296096E-2</v>
      </c>
    </row>
    <row r="870" spans="1:32">
      <c r="A870" s="3" t="s">
        <v>817</v>
      </c>
      <c r="B870" s="222">
        <v>39.950000000000003</v>
      </c>
      <c r="C870" s="227">
        <f t="shared" si="91"/>
        <v>-2.5609756097560887E-2</v>
      </c>
      <c r="D870" s="5">
        <f>C870-C1275</f>
        <v>-2.5687801667119776E-2</v>
      </c>
      <c r="E870" s="1"/>
      <c r="F870" s="8"/>
      <c r="H870" t="s">
        <v>816</v>
      </c>
      <c r="I870">
        <v>47.24</v>
      </c>
      <c r="J870" s="227">
        <f t="shared" si="92"/>
        <v>-9.0203482273967239E-3</v>
      </c>
      <c r="K870" s="5">
        <f>J870-J1276</f>
        <v>-1.1156304143006682E-2</v>
      </c>
      <c r="M870" s="240" t="s">
        <v>814</v>
      </c>
      <c r="N870">
        <v>4496.1899999999996</v>
      </c>
      <c r="O870" s="227">
        <f t="shared" si="93"/>
        <v>5.8590604026844684E-3</v>
      </c>
      <c r="P870" s="5">
        <f>O870-O1278</f>
        <v>6.2248176035976403E-3</v>
      </c>
      <c r="Q870" s="8">
        <f t="shared" si="96"/>
        <v>3.8748354198059069E-5</v>
      </c>
      <c r="X870" s="1">
        <v>44448</v>
      </c>
      <c r="Y870">
        <v>9</v>
      </c>
      <c r="Z870" s="48">
        <f t="shared" si="94"/>
        <v>5.2631578947368363E-2</v>
      </c>
      <c r="AA870" s="5">
        <f>Z870-Y1274</f>
        <v>4.8414259478094232E-2</v>
      </c>
      <c r="AD870" t="s">
        <v>814</v>
      </c>
      <c r="AE870">
        <v>188.25</v>
      </c>
      <c r="AF870" s="29">
        <f t="shared" si="95"/>
        <v>-1.4397905759162333E-2</v>
      </c>
    </row>
    <row r="871" spans="1:32">
      <c r="A871" s="3" t="s">
        <v>818</v>
      </c>
      <c r="B871" s="222">
        <v>39.86</v>
      </c>
      <c r="C871" s="227">
        <f t="shared" si="91"/>
        <v>-2.252816020025139E-3</v>
      </c>
      <c r="D871" s="5">
        <f>C871-C1275</f>
        <v>-2.3308615895840283E-3</v>
      </c>
      <c r="E871" s="1"/>
      <c r="F871" s="8"/>
      <c r="H871" t="s">
        <v>817</v>
      </c>
      <c r="I871">
        <v>45.89</v>
      </c>
      <c r="J871" s="227">
        <f t="shared" si="92"/>
        <v>-2.8577476714648609E-2</v>
      </c>
      <c r="K871" s="5">
        <f>J871-J1276</f>
        <v>-3.0713432630258566E-2</v>
      </c>
      <c r="M871" s="240" t="s">
        <v>815</v>
      </c>
      <c r="N871">
        <v>4486.2299999999996</v>
      </c>
      <c r="O871" s="227">
        <f t="shared" si="93"/>
        <v>-2.2152088768491174E-3</v>
      </c>
      <c r="P871" s="5">
        <f>O871-O1278</f>
        <v>-1.8494516759359459E-3</v>
      </c>
      <c r="Q871" s="8">
        <f t="shared" si="96"/>
        <v>3.4204715016222791E-6</v>
      </c>
      <c r="X871" s="1">
        <v>44417</v>
      </c>
      <c r="Y871">
        <v>8.98</v>
      </c>
      <c r="Z871" s="48">
        <f t="shared" si="94"/>
        <v>-2.2222222222221255E-3</v>
      </c>
      <c r="AA871" s="5">
        <f>Z871-Y1274</f>
        <v>-6.4395416914962596E-3</v>
      </c>
      <c r="AD871" t="s">
        <v>815</v>
      </c>
      <c r="AE871">
        <v>187.45</v>
      </c>
      <c r="AF871" s="29">
        <f t="shared" si="95"/>
        <v>-4.2496679946879556E-3</v>
      </c>
    </row>
    <row r="872" spans="1:32">
      <c r="A872" s="3" t="s">
        <v>819</v>
      </c>
      <c r="B872" s="222">
        <v>40.880000000000003</v>
      </c>
      <c r="C872" s="227">
        <f t="shared" si="91"/>
        <v>2.5589563472152577E-2</v>
      </c>
      <c r="D872" s="5">
        <f>C872-C1275</f>
        <v>2.5511517902593688E-2</v>
      </c>
      <c r="E872" s="1"/>
      <c r="F872" s="8"/>
      <c r="H872" t="s">
        <v>818</v>
      </c>
      <c r="I872">
        <v>46.79</v>
      </c>
      <c r="J872" s="227">
        <f t="shared" si="92"/>
        <v>1.9612115929396268E-2</v>
      </c>
      <c r="K872" s="5">
        <f>J872-J1276</f>
        <v>1.747616001378631E-2</v>
      </c>
      <c r="M872" s="240" t="s">
        <v>816</v>
      </c>
      <c r="N872">
        <v>4479.53</v>
      </c>
      <c r="O872" s="227">
        <f t="shared" si="93"/>
        <v>-1.4934588730403098E-3</v>
      </c>
      <c r="P872" s="5">
        <f>O872-O1278</f>
        <v>-1.1277016721271383E-3</v>
      </c>
      <c r="Q872" s="8">
        <f t="shared" si="96"/>
        <v>1.2717110613183436E-6</v>
      </c>
      <c r="X872" s="1">
        <v>44386</v>
      </c>
      <c r="Y872">
        <v>9.69</v>
      </c>
      <c r="Z872" s="48">
        <f t="shared" si="94"/>
        <v>7.906458797327387E-2</v>
      </c>
      <c r="AA872" s="5">
        <f>Z872-Y1274</f>
        <v>7.4847268503999739E-2</v>
      </c>
      <c r="AD872" t="s">
        <v>816</v>
      </c>
      <c r="AE872">
        <v>183.08</v>
      </c>
      <c r="AF872" s="29">
        <f t="shared" si="95"/>
        <v>-2.3312883435582687E-2</v>
      </c>
    </row>
    <row r="873" spans="1:32">
      <c r="A873" s="3" t="s">
        <v>820</v>
      </c>
      <c r="B873" s="222">
        <v>41</v>
      </c>
      <c r="C873" s="227">
        <f t="shared" si="91"/>
        <v>2.9354207436398383E-3</v>
      </c>
      <c r="D873" s="5">
        <f>C873-C1275</f>
        <v>2.857375174080949E-3</v>
      </c>
      <c r="E873" s="1"/>
      <c r="F873" s="8"/>
      <c r="H873" t="s">
        <v>819</v>
      </c>
      <c r="I873">
        <v>49.58</v>
      </c>
      <c r="J873" s="227">
        <f t="shared" si="92"/>
        <v>5.9628125667877674E-2</v>
      </c>
      <c r="K873" s="5">
        <f>J873-J1276</f>
        <v>5.7492169752267716E-2</v>
      </c>
      <c r="M873" s="240" t="s">
        <v>817</v>
      </c>
      <c r="N873">
        <v>4441.67</v>
      </c>
      <c r="O873" s="227">
        <f t="shared" si="93"/>
        <v>-8.4517795393712625E-3</v>
      </c>
      <c r="P873" s="5">
        <f>O873-O1278</f>
        <v>-8.0860223384580914E-3</v>
      </c>
      <c r="Q873" s="8">
        <f t="shared" si="96"/>
        <v>6.5383757258043266E-5</v>
      </c>
      <c r="X873" s="1">
        <v>44264</v>
      </c>
      <c r="Y873">
        <v>9.02</v>
      </c>
      <c r="Z873" s="48">
        <f t="shared" si="94"/>
        <v>-6.9143446852425128E-2</v>
      </c>
      <c r="AA873" s="5">
        <f>Z873-Y1274</f>
        <v>-7.3360766321699258E-2</v>
      </c>
      <c r="AD873" t="s">
        <v>817</v>
      </c>
      <c r="AE873">
        <v>184.08</v>
      </c>
      <c r="AF873" s="29">
        <f t="shared" si="95"/>
        <v>5.4620930740660878E-3</v>
      </c>
    </row>
    <row r="874" spans="1:32">
      <c r="A874" s="3" t="s">
        <v>821</v>
      </c>
      <c r="B874" s="222">
        <v>41.5</v>
      </c>
      <c r="C874" s="227">
        <f t="shared" si="91"/>
        <v>1.2195121951219523E-2</v>
      </c>
      <c r="D874" s="5">
        <f>C874-C1275</f>
        <v>1.2117076381660635E-2</v>
      </c>
      <c r="F874" s="8"/>
      <c r="H874" t="s">
        <v>820</v>
      </c>
      <c r="I874">
        <v>49.11</v>
      </c>
      <c r="J874" s="227">
        <f t="shared" si="92"/>
        <v>-9.4796288826138886E-3</v>
      </c>
      <c r="K874" s="5">
        <f>J874-J1276</f>
        <v>-1.1615584798223846E-2</v>
      </c>
      <c r="M874" s="240" t="s">
        <v>818</v>
      </c>
      <c r="N874">
        <v>4405.8</v>
      </c>
      <c r="O874" s="227">
        <f t="shared" si="93"/>
        <v>-8.0757913127269543E-3</v>
      </c>
      <c r="P874" s="5">
        <f>O874-O1278</f>
        <v>-7.7100341118137823E-3</v>
      </c>
      <c r="Q874" s="8">
        <f t="shared" si="96"/>
        <v>5.9444626005332141E-5</v>
      </c>
      <c r="X874" s="1">
        <v>44236</v>
      </c>
      <c r="Y874">
        <v>8.81</v>
      </c>
      <c r="Z874" s="48">
        <f t="shared" si="94"/>
        <v>-2.3281596452328079E-2</v>
      </c>
      <c r="AA874" s="5">
        <f>Z874-Y1274</f>
        <v>-2.7498915921602213E-2</v>
      </c>
      <c r="AD874" t="s">
        <v>818</v>
      </c>
      <c r="AE874">
        <v>182.06</v>
      </c>
      <c r="AF874" s="29">
        <f t="shared" si="95"/>
        <v>-1.0973489787049151E-2</v>
      </c>
    </row>
    <row r="875" spans="1:32">
      <c r="A875" s="3" t="s">
        <v>822</v>
      </c>
      <c r="B875" s="222">
        <v>42.22</v>
      </c>
      <c r="C875" s="227">
        <f t="shared" si="91"/>
        <v>1.734939759036136E-2</v>
      </c>
      <c r="D875" s="5">
        <f>C875-C1275</f>
        <v>1.7271352020802471E-2</v>
      </c>
      <c r="F875" s="8"/>
      <c r="H875" t="s">
        <v>821</v>
      </c>
      <c r="I875">
        <v>50.83</v>
      </c>
      <c r="J875" s="227">
        <f t="shared" si="92"/>
        <v>3.5023416819385034E-2</v>
      </c>
      <c r="K875" s="5">
        <f>J875-J1276</f>
        <v>3.2887460903775076E-2</v>
      </c>
      <c r="M875" s="240" t="s">
        <v>819</v>
      </c>
      <c r="N875">
        <v>4400.2700000000004</v>
      </c>
      <c r="O875" s="227">
        <f t="shared" si="93"/>
        <v>-1.2551636479185557E-3</v>
      </c>
      <c r="P875" s="5">
        <f>O875-O1278</f>
        <v>-8.8940644700538423E-4</v>
      </c>
      <c r="Q875" s="8">
        <f t="shared" si="96"/>
        <v>7.9104382797474136E-7</v>
      </c>
      <c r="X875" s="1">
        <v>44205</v>
      </c>
      <c r="Y875">
        <v>9.1999999999999993</v>
      </c>
      <c r="Z875" s="48">
        <f t="shared" si="94"/>
        <v>4.4267877412031753E-2</v>
      </c>
      <c r="AA875" s="5">
        <f>Z875-Y1274</f>
        <v>4.0050557942757622E-2</v>
      </c>
      <c r="AD875" t="s">
        <v>819</v>
      </c>
      <c r="AE875">
        <v>191.63</v>
      </c>
      <c r="AF875" s="29">
        <f t="shared" si="95"/>
        <v>5.2565088432384943E-2</v>
      </c>
    </row>
    <row r="876" spans="1:32">
      <c r="A876" s="220">
        <v>44538</v>
      </c>
      <c r="B876" s="222">
        <v>42.73</v>
      </c>
      <c r="C876" s="227">
        <f t="shared" si="91"/>
        <v>1.2079583135954586E-2</v>
      </c>
      <c r="D876" s="5">
        <f>C876-C1275</f>
        <v>1.2001537566395697E-2</v>
      </c>
      <c r="F876" s="8"/>
      <c r="H876" t="s">
        <v>822</v>
      </c>
      <c r="I876">
        <v>53.39</v>
      </c>
      <c r="J876" s="227">
        <f t="shared" si="92"/>
        <v>5.0363958292347188E-2</v>
      </c>
      <c r="K876" s="5">
        <f>J876-J1276</f>
        <v>4.8228002376737231E-2</v>
      </c>
      <c r="M876" s="240" t="s">
        <v>820</v>
      </c>
      <c r="N876">
        <v>4448.08</v>
      </c>
      <c r="O876" s="227">
        <f t="shared" si="93"/>
        <v>1.0865242360127869E-2</v>
      </c>
      <c r="P876" s="5">
        <f>O876-O1278</f>
        <v>1.123099956104104E-2</v>
      </c>
      <c r="Q876" s="8">
        <f t="shared" si="96"/>
        <v>1.2613535114010404E-4</v>
      </c>
      <c r="X876" t="s">
        <v>810</v>
      </c>
      <c r="Y876">
        <v>8.2200000000000006</v>
      </c>
      <c r="Z876" s="48">
        <f t="shared" si="94"/>
        <v>-0.10652173913043461</v>
      </c>
      <c r="AA876" s="5">
        <f>Z876-Y1274</f>
        <v>-0.11073905859970874</v>
      </c>
      <c r="AD876" t="s">
        <v>820</v>
      </c>
      <c r="AE876">
        <v>185.88</v>
      </c>
      <c r="AF876" s="29">
        <f t="shared" si="95"/>
        <v>-3.0005740228565503E-2</v>
      </c>
    </row>
    <row r="877" spans="1:32">
      <c r="A877" s="220">
        <v>44508</v>
      </c>
      <c r="B877" s="222">
        <v>43.08</v>
      </c>
      <c r="C877" s="227">
        <f t="shared" si="91"/>
        <v>8.1909665340511584E-3</v>
      </c>
      <c r="D877" s="5">
        <f>C877-C1275</f>
        <v>8.1129209644922699E-3</v>
      </c>
      <c r="F877" s="8"/>
      <c r="H877" s="1">
        <v>44538</v>
      </c>
      <c r="I877">
        <v>53.82</v>
      </c>
      <c r="J877" s="227">
        <f t="shared" si="92"/>
        <v>8.0539426858963203E-3</v>
      </c>
      <c r="K877" s="5">
        <f>J877-J1276</f>
        <v>5.9179867702863626E-3</v>
      </c>
      <c r="M877" s="240" t="s">
        <v>821</v>
      </c>
      <c r="N877">
        <v>4479.71</v>
      </c>
      <c r="O877" s="227">
        <f t="shared" si="93"/>
        <v>7.1109332565961747E-3</v>
      </c>
      <c r="P877" s="5">
        <f>O877-O1278</f>
        <v>7.4766904575093466E-3</v>
      </c>
      <c r="Q877" s="8">
        <f t="shared" si="96"/>
        <v>5.590090019741132E-5</v>
      </c>
      <c r="X877" t="s">
        <v>811</v>
      </c>
      <c r="Y877">
        <v>8.18</v>
      </c>
      <c r="Z877" s="48">
        <f t="shared" si="94"/>
        <v>-4.8661800486619056E-3</v>
      </c>
      <c r="AA877" s="5">
        <f>Z877-Y1274</f>
        <v>-9.0834995179360396E-3</v>
      </c>
      <c r="AD877" t="s">
        <v>821</v>
      </c>
      <c r="AE877">
        <v>187.67</v>
      </c>
      <c r="AF877" s="29">
        <f t="shared" si="95"/>
        <v>9.6298687325155896E-3</v>
      </c>
    </row>
    <row r="878" spans="1:32">
      <c r="A878" s="220">
        <v>44477</v>
      </c>
      <c r="B878" s="222">
        <v>43.5</v>
      </c>
      <c r="C878" s="227">
        <f t="shared" si="91"/>
        <v>9.7493036211699913E-3</v>
      </c>
      <c r="D878" s="5">
        <f>C878-C1275</f>
        <v>9.6712580516111028E-3</v>
      </c>
      <c r="F878" s="8"/>
      <c r="H878" s="1">
        <v>44508</v>
      </c>
      <c r="I878">
        <v>53.91</v>
      </c>
      <c r="J878" s="227">
        <f t="shared" si="92"/>
        <v>1.6722408026754731E-3</v>
      </c>
      <c r="K878" s="5">
        <f>J878-J1276</f>
        <v>-4.6371511293448464E-4</v>
      </c>
      <c r="M878" s="240" t="s">
        <v>822</v>
      </c>
      <c r="N878">
        <v>4468</v>
      </c>
      <c r="O878" s="227">
        <f t="shared" si="93"/>
        <v>-2.614008496085729E-3</v>
      </c>
      <c r="P878" s="5">
        <f>O878-O1278</f>
        <v>-2.2482512951725576E-3</v>
      </c>
      <c r="Q878" s="8">
        <f t="shared" si="96"/>
        <v>5.0546338862450824E-6</v>
      </c>
      <c r="X878" t="s">
        <v>812</v>
      </c>
      <c r="Y878">
        <v>8.2200000000000006</v>
      </c>
      <c r="Z878" s="48">
        <f t="shared" si="94"/>
        <v>4.8899755501223829E-3</v>
      </c>
      <c r="AA878" s="5">
        <f>Z878-Y1274</f>
        <v>6.7265608084824888E-4</v>
      </c>
      <c r="AD878" t="s">
        <v>822</v>
      </c>
      <c r="AE878">
        <v>194.79</v>
      </c>
      <c r="AF878" s="29">
        <f t="shared" si="95"/>
        <v>3.7938935365268822E-2</v>
      </c>
    </row>
    <row r="879" spans="1:32">
      <c r="A879" s="220">
        <v>44447</v>
      </c>
      <c r="B879" s="222">
        <v>43.25</v>
      </c>
      <c r="C879" s="227">
        <f t="shared" si="91"/>
        <v>-5.7471264367816577E-3</v>
      </c>
      <c r="D879" s="5">
        <f>C879-C1275</f>
        <v>-5.825172006340547E-3</v>
      </c>
      <c r="F879" s="8"/>
      <c r="H879" s="1">
        <v>44477</v>
      </c>
      <c r="I879">
        <v>53.85</v>
      </c>
      <c r="J879" s="227">
        <f t="shared" si="92"/>
        <v>-1.1129660545352582E-3</v>
      </c>
      <c r="K879" s="5">
        <f>J879-J1276</f>
        <v>-3.248921970145216E-3</v>
      </c>
      <c r="M879" s="241">
        <v>44538</v>
      </c>
      <c r="N879">
        <v>4460.83</v>
      </c>
      <c r="O879" s="227">
        <f t="shared" si="93"/>
        <v>-1.6047448522829022E-3</v>
      </c>
      <c r="P879" s="5">
        <f>O879-O1278</f>
        <v>-1.2389876513697307E-3</v>
      </c>
      <c r="Q879" s="8">
        <f t="shared" si="96"/>
        <v>1.5350904002466814E-6</v>
      </c>
      <c r="X879" t="s">
        <v>813</v>
      </c>
      <c r="Y879">
        <v>8.42</v>
      </c>
      <c r="Z879" s="48">
        <f t="shared" si="94"/>
        <v>2.4330900243308973E-2</v>
      </c>
      <c r="AA879" s="5">
        <f>Z879-Y1274</f>
        <v>2.0113580774034839E-2</v>
      </c>
      <c r="AD879" s="1">
        <v>44538</v>
      </c>
      <c r="AE879">
        <v>188.21</v>
      </c>
      <c r="AF879" s="29">
        <f t="shared" si="95"/>
        <v>-3.3779968170850605E-2</v>
      </c>
    </row>
    <row r="880" spans="1:32">
      <c r="A880" s="220">
        <v>44355</v>
      </c>
      <c r="B880" s="222">
        <v>44.28</v>
      </c>
      <c r="C880" s="227">
        <f t="shared" si="91"/>
        <v>2.3815028901734037E-2</v>
      </c>
      <c r="D880" s="5">
        <f>C880-C1275</f>
        <v>2.3736983332175148E-2</v>
      </c>
      <c r="F880" s="8"/>
      <c r="H880" s="1">
        <v>44447</v>
      </c>
      <c r="I880">
        <v>52.13</v>
      </c>
      <c r="J880" s="227">
        <f t="shared" si="92"/>
        <v>-3.1940575673166216E-2</v>
      </c>
      <c r="K880" s="5">
        <f>J880-J1276</f>
        <v>-3.4076531588776174E-2</v>
      </c>
      <c r="M880" s="241">
        <v>44508</v>
      </c>
      <c r="N880">
        <v>4447.7</v>
      </c>
      <c r="O880" s="227">
        <f t="shared" si="93"/>
        <v>-2.9433984258535606E-3</v>
      </c>
      <c r="P880" s="5">
        <f>O880-O1278</f>
        <v>-2.5776412249403891E-3</v>
      </c>
      <c r="Q880" s="8">
        <f t="shared" si="96"/>
        <v>6.6442342845121899E-6</v>
      </c>
      <c r="X880" t="s">
        <v>814</v>
      </c>
      <c r="Y880">
        <v>8.25</v>
      </c>
      <c r="Z880" s="48">
        <f t="shared" si="94"/>
        <v>-2.0190023752969077E-2</v>
      </c>
      <c r="AA880" s="5">
        <f>Z880-Y1274</f>
        <v>-2.4407343222243211E-2</v>
      </c>
      <c r="AD880" s="1">
        <v>44508</v>
      </c>
      <c r="AE880">
        <v>190.56</v>
      </c>
      <c r="AF880" s="29">
        <f t="shared" si="95"/>
        <v>1.2486052813346804E-2</v>
      </c>
    </row>
    <row r="881" spans="1:32">
      <c r="A881" s="220">
        <v>44324</v>
      </c>
      <c r="B881" s="222">
        <v>43.07</v>
      </c>
      <c r="C881" s="227">
        <f t="shared" si="91"/>
        <v>-2.7326106594399269E-2</v>
      </c>
      <c r="D881" s="5">
        <f>C881-C1275</f>
        <v>-2.7404152163958157E-2</v>
      </c>
      <c r="F881" s="8"/>
      <c r="H881" s="1">
        <v>44355</v>
      </c>
      <c r="I881">
        <v>52.44</v>
      </c>
      <c r="J881" s="227">
        <f t="shared" si="92"/>
        <v>5.9466717820830794E-3</v>
      </c>
      <c r="K881" s="5">
        <f>J881-J1276</f>
        <v>3.8107158664731217E-3</v>
      </c>
      <c r="M881" s="241">
        <v>44477</v>
      </c>
      <c r="N881">
        <v>4436.75</v>
      </c>
      <c r="O881" s="227">
        <f t="shared" si="93"/>
        <v>-2.4619466240978216E-3</v>
      </c>
      <c r="P881" s="5">
        <f>O881-O1278</f>
        <v>-2.0961894231846501E-3</v>
      </c>
      <c r="Q881" s="8">
        <f t="shared" si="96"/>
        <v>4.3940100978711966E-6</v>
      </c>
      <c r="X881" t="s">
        <v>815</v>
      </c>
      <c r="Y881">
        <v>8.6999999999999993</v>
      </c>
      <c r="Z881" s="48">
        <f t="shared" si="94"/>
        <v>5.4545454545454453E-2</v>
      </c>
      <c r="AA881" s="5">
        <f>Z881-Y1274</f>
        <v>5.0328135076180322E-2</v>
      </c>
      <c r="AD881" s="1">
        <v>44477</v>
      </c>
      <c r="AE881">
        <v>190.16</v>
      </c>
      <c r="AF881" s="29">
        <f t="shared" si="95"/>
        <v>-2.099076406381184E-3</v>
      </c>
    </row>
    <row r="882" spans="1:32">
      <c r="A882" s="220">
        <v>44294</v>
      </c>
      <c r="B882" s="222">
        <v>41.81</v>
      </c>
      <c r="C882" s="227">
        <f t="shared" si="91"/>
        <v>-2.9254701648479209E-2</v>
      </c>
      <c r="D882" s="5">
        <f>C882-C1275</f>
        <v>-2.9332747218038097E-2</v>
      </c>
      <c r="F882" s="8"/>
      <c r="H882" s="1">
        <v>44324</v>
      </c>
      <c r="I882">
        <v>52.42</v>
      </c>
      <c r="J882" s="227">
        <f t="shared" si="92"/>
        <v>-3.8138825324174341E-4</v>
      </c>
      <c r="K882" s="5">
        <f>J882-J1276</f>
        <v>-2.5173441688517012E-3</v>
      </c>
      <c r="M882" s="241">
        <v>44447</v>
      </c>
      <c r="N882">
        <v>4432.3500000000004</v>
      </c>
      <c r="O882" s="227">
        <f t="shared" si="93"/>
        <v>-9.9171690990018657E-4</v>
      </c>
      <c r="P882" s="5">
        <f>O882-O1278</f>
        <v>-6.2595970898701508E-4</v>
      </c>
      <c r="Q882" s="8">
        <f t="shared" si="96"/>
        <v>3.9182555727510858E-7</v>
      </c>
      <c r="X882" t="s">
        <v>816</v>
      </c>
      <c r="Y882">
        <v>7.72</v>
      </c>
      <c r="Z882" s="48">
        <f t="shared" si="94"/>
        <v>-0.11264367816091947</v>
      </c>
      <c r="AA882" s="5">
        <f>Z882-Y1274</f>
        <v>-0.1168609976301936</v>
      </c>
      <c r="AD882" s="1">
        <v>44447</v>
      </c>
      <c r="AE882">
        <v>183.15</v>
      </c>
      <c r="AF882" s="29">
        <f t="shared" si="95"/>
        <v>-3.6863693731594371E-2</v>
      </c>
    </row>
    <row r="883" spans="1:32">
      <c r="A883" s="220">
        <v>44263</v>
      </c>
      <c r="B883" s="222">
        <v>42.79</v>
      </c>
      <c r="C883" s="227">
        <f t="shared" si="91"/>
        <v>2.3439368572111929E-2</v>
      </c>
      <c r="D883" s="5">
        <f>C883-C1275</f>
        <v>2.3361323002553041E-2</v>
      </c>
      <c r="F883" s="8"/>
      <c r="H883" s="1">
        <v>44294</v>
      </c>
      <c r="I883">
        <v>49.53</v>
      </c>
      <c r="J883" s="227">
        <f t="shared" si="92"/>
        <v>-5.5131629149179684E-2</v>
      </c>
      <c r="K883" s="5">
        <f>J883-J1276</f>
        <v>-5.7267585064789642E-2</v>
      </c>
      <c r="M883" s="241">
        <v>44355</v>
      </c>
      <c r="N883">
        <v>4436.5200000000004</v>
      </c>
      <c r="O883" s="227">
        <f t="shared" si="93"/>
        <v>9.4081017970149006E-4</v>
      </c>
      <c r="P883" s="5">
        <f>O883-O1278</f>
        <v>1.3065673806146615E-3</v>
      </c>
      <c r="Q883" s="8">
        <f t="shared" si="96"/>
        <v>1.7071183200862579E-6</v>
      </c>
      <c r="X883" t="s">
        <v>817</v>
      </c>
      <c r="Y883">
        <v>7.47</v>
      </c>
      <c r="Z883" s="48">
        <f t="shared" si="94"/>
        <v>-3.2383419689119175E-2</v>
      </c>
      <c r="AA883" s="5">
        <f>Z883-Y1274</f>
        <v>-3.6600739158393306E-2</v>
      </c>
      <c r="AD883" s="1">
        <v>44355</v>
      </c>
      <c r="AE883">
        <v>181.56</v>
      </c>
      <c r="AF883" s="29">
        <f t="shared" si="95"/>
        <v>-8.6814086814086533E-3</v>
      </c>
    </row>
    <row r="884" spans="1:32">
      <c r="A884" s="220">
        <v>44235</v>
      </c>
      <c r="B884" s="222">
        <v>43.49</v>
      </c>
      <c r="C884" s="227">
        <f t="shared" si="91"/>
        <v>1.6358962374386499E-2</v>
      </c>
      <c r="D884" s="5">
        <f>C884-C1275</f>
        <v>1.628091680482761E-2</v>
      </c>
      <c r="F884" s="8"/>
      <c r="H884" s="1">
        <v>44263</v>
      </c>
      <c r="I884">
        <v>55.38</v>
      </c>
      <c r="J884" s="227">
        <f t="shared" si="92"/>
        <v>0.11811023622047245</v>
      </c>
      <c r="K884" s="5">
        <f>J884-J1276</f>
        <v>0.1159742803048625</v>
      </c>
      <c r="M884" s="241">
        <v>44324</v>
      </c>
      <c r="N884">
        <v>4429.1000000000004</v>
      </c>
      <c r="O884" s="227">
        <f t="shared" si="93"/>
        <v>-1.6724820354692138E-3</v>
      </c>
      <c r="P884" s="5">
        <f>O884-O1278</f>
        <v>-1.3067248345560423E-3</v>
      </c>
      <c r="Q884" s="8">
        <f t="shared" si="96"/>
        <v>1.7075297932455162E-6</v>
      </c>
      <c r="X884" t="s">
        <v>818</v>
      </c>
      <c r="Y884">
        <v>7.2</v>
      </c>
      <c r="Z884" s="48">
        <f t="shared" si="94"/>
        <v>-3.6144578313252906E-2</v>
      </c>
      <c r="AA884" s="5">
        <f>Z884-Y1274</f>
        <v>-4.0361897782527037E-2</v>
      </c>
      <c r="AD884" s="1">
        <v>44324</v>
      </c>
      <c r="AE884">
        <v>181.33</v>
      </c>
      <c r="AF884" s="29">
        <f t="shared" si="95"/>
        <v>-1.2667988543731967E-3</v>
      </c>
    </row>
    <row r="885" spans="1:32">
      <c r="A885" s="3" t="s">
        <v>823</v>
      </c>
      <c r="B885" s="222">
        <v>43.46</v>
      </c>
      <c r="C885" s="227">
        <f t="shared" si="91"/>
        <v>-6.8981375028742686E-4</v>
      </c>
      <c r="D885" s="5">
        <f>C885-C1275</f>
        <v>-7.6785931984631607E-4</v>
      </c>
      <c r="F885" s="8"/>
      <c r="H885" s="1">
        <v>44235</v>
      </c>
      <c r="I885">
        <v>56</v>
      </c>
      <c r="J885" s="227">
        <f t="shared" si="92"/>
        <v>1.1195377392560379E-2</v>
      </c>
      <c r="K885" s="5">
        <f>J885-J1276</f>
        <v>9.0594214769504217E-3</v>
      </c>
      <c r="M885" s="241">
        <v>44294</v>
      </c>
      <c r="N885">
        <v>4402.66</v>
      </c>
      <c r="O885" s="227">
        <f t="shared" si="93"/>
        <v>-5.9696100787971496E-3</v>
      </c>
      <c r="P885" s="5">
        <f>O885-O1278</f>
        <v>-5.6038528778839776E-3</v>
      </c>
      <c r="Q885" s="8">
        <f t="shared" si="96"/>
        <v>3.1403167076968536E-5</v>
      </c>
      <c r="X885" t="s">
        <v>819</v>
      </c>
      <c r="Y885">
        <v>7.92</v>
      </c>
      <c r="Z885" s="48">
        <f t="shared" si="94"/>
        <v>9.9999999999999867E-2</v>
      </c>
      <c r="AA885" s="5">
        <f>Z885-Y1274</f>
        <v>9.5782680530725736E-2</v>
      </c>
      <c r="AD885" s="1">
        <v>44294</v>
      </c>
      <c r="AE885">
        <v>178.52</v>
      </c>
      <c r="AF885" s="29">
        <f t="shared" si="95"/>
        <v>-1.5496608393536615E-2</v>
      </c>
    </row>
    <row r="886" spans="1:32">
      <c r="A886" s="3" t="s">
        <v>824</v>
      </c>
      <c r="B886" s="222">
        <v>44.69</v>
      </c>
      <c r="C886" s="227">
        <f t="shared" si="91"/>
        <v>2.8301886792452713E-2</v>
      </c>
      <c r="D886" s="5">
        <f>C886-C1275</f>
        <v>2.8223841222893824E-2</v>
      </c>
      <c r="F886" s="8"/>
      <c r="H886" t="s">
        <v>823</v>
      </c>
      <c r="I886">
        <v>55.32</v>
      </c>
      <c r="J886" s="227">
        <f t="shared" si="92"/>
        <v>-1.2142857142857122E-2</v>
      </c>
      <c r="K886" s="5">
        <f>J886-J1276</f>
        <v>-1.427881305846708E-2</v>
      </c>
      <c r="M886" s="241">
        <v>44263</v>
      </c>
      <c r="N886">
        <v>4423.1499999999996</v>
      </c>
      <c r="O886" s="227">
        <f t="shared" si="93"/>
        <v>4.6540046244769595E-3</v>
      </c>
      <c r="P886" s="5">
        <f>O886-O1278</f>
        <v>5.0197618253901314E-3</v>
      </c>
      <c r="Q886" s="8">
        <f t="shared" si="96"/>
        <v>2.5198008783644065E-5</v>
      </c>
      <c r="X886" t="s">
        <v>820</v>
      </c>
      <c r="Y886">
        <v>8.4700000000000006</v>
      </c>
      <c r="Z886" s="48">
        <f t="shared" si="94"/>
        <v>6.9444444444444642E-2</v>
      </c>
      <c r="AA886" s="5">
        <f>Z886-Y1274</f>
        <v>6.5227124975170511E-2</v>
      </c>
      <c r="AD886" s="1">
        <v>44263</v>
      </c>
      <c r="AE886">
        <v>177.13</v>
      </c>
      <c r="AF886" s="29">
        <f t="shared" si="95"/>
        <v>-7.7862424378222217E-3</v>
      </c>
    </row>
    <row r="887" spans="1:32">
      <c r="A887" s="3" t="s">
        <v>825</v>
      </c>
      <c r="B887" s="222">
        <v>46.14</v>
      </c>
      <c r="C887" s="227">
        <f t="shared" si="91"/>
        <v>3.2445737301409761E-2</v>
      </c>
      <c r="D887" s="5">
        <f>C887-C1275</f>
        <v>3.2367691731850869E-2</v>
      </c>
      <c r="F887" s="8"/>
      <c r="H887" t="s">
        <v>824</v>
      </c>
      <c r="I887">
        <v>56.74</v>
      </c>
      <c r="J887" s="227">
        <f t="shared" si="92"/>
        <v>2.5668835864063766E-2</v>
      </c>
      <c r="K887" s="5">
        <f>J887-J1276</f>
        <v>2.3532879948453808E-2</v>
      </c>
      <c r="M887" s="241">
        <v>44235</v>
      </c>
      <c r="N887">
        <v>4387.16</v>
      </c>
      <c r="O887" s="227">
        <f t="shared" si="93"/>
        <v>-8.1367351322021442E-3</v>
      </c>
      <c r="P887" s="5">
        <f>O887-O1278</f>
        <v>-7.7709779312889722E-3</v>
      </c>
      <c r="Q887" s="8">
        <f t="shared" si="96"/>
        <v>6.0388098008580234E-5</v>
      </c>
      <c r="X887" t="s">
        <v>821</v>
      </c>
      <c r="Y887">
        <v>8.11</v>
      </c>
      <c r="Z887" s="48">
        <f t="shared" si="94"/>
        <v>-4.250295159386086E-2</v>
      </c>
      <c r="AA887" s="5">
        <f>Z887-Y1274</f>
        <v>-4.6720271063134991E-2</v>
      </c>
      <c r="AD887" s="1">
        <v>44235</v>
      </c>
      <c r="AE887">
        <v>177.63</v>
      </c>
      <c r="AF887" s="29">
        <f t="shared" si="95"/>
        <v>2.8227855247557887E-3</v>
      </c>
    </row>
    <row r="888" spans="1:32">
      <c r="A888" s="3" t="s">
        <v>826</v>
      </c>
      <c r="B888" s="222">
        <v>45.82</v>
      </c>
      <c r="C888" s="227">
        <f t="shared" si="91"/>
        <v>-6.9354139575206197E-3</v>
      </c>
      <c r="D888" s="5">
        <f>C888-C1275</f>
        <v>-7.013459527079509E-3</v>
      </c>
      <c r="E888" s="1"/>
      <c r="F888" s="8"/>
      <c r="H888" t="s">
        <v>825</v>
      </c>
      <c r="I888">
        <v>55.77</v>
      </c>
      <c r="J888" s="227">
        <f t="shared" si="92"/>
        <v>-1.7095523440253779E-2</v>
      </c>
      <c r="K888" s="5">
        <f>J888-J1276</f>
        <v>-1.9231479355863737E-2</v>
      </c>
      <c r="M888" s="240" t="s">
        <v>823</v>
      </c>
      <c r="N888">
        <v>4395.26</v>
      </c>
      <c r="O888" s="227">
        <f t="shared" si="93"/>
        <v>1.8462969210151225E-3</v>
      </c>
      <c r="P888" s="5">
        <f>O888-O1278</f>
        <v>2.212054121928294E-3</v>
      </c>
      <c r="Q888" s="8">
        <f t="shared" si="96"/>
        <v>4.8931834383399561E-6</v>
      </c>
      <c r="X888" t="s">
        <v>822</v>
      </c>
      <c r="Y888">
        <v>8.32</v>
      </c>
      <c r="Z888" s="48">
        <f t="shared" si="94"/>
        <v>2.5893958076449008E-2</v>
      </c>
      <c r="AA888" s="5">
        <f>Z888-Y1274</f>
        <v>2.1676638607174874E-2</v>
      </c>
      <c r="AD888" t="s">
        <v>823</v>
      </c>
      <c r="AE888">
        <v>174.29</v>
      </c>
      <c r="AF888" s="29">
        <f t="shared" si="95"/>
        <v>-1.880313010189727E-2</v>
      </c>
    </row>
    <row r="889" spans="1:32">
      <c r="A889" s="3" t="s">
        <v>827</v>
      </c>
      <c r="B889" s="222">
        <v>46.81</v>
      </c>
      <c r="C889" s="227">
        <f t="shared" si="91"/>
        <v>2.1606285464862651E-2</v>
      </c>
      <c r="D889" s="5">
        <f>C889-C1275</f>
        <v>2.1528239895303763E-2</v>
      </c>
      <c r="E889" s="1"/>
      <c r="F889" s="8"/>
      <c r="H889" t="s">
        <v>826</v>
      </c>
      <c r="I889">
        <v>53.32</v>
      </c>
      <c r="J889" s="227">
        <f t="shared" si="92"/>
        <v>-4.3930428545813194E-2</v>
      </c>
      <c r="K889" s="5">
        <f>J889-J1276</f>
        <v>-4.6066384461423152E-2</v>
      </c>
      <c r="M889" s="240" t="s">
        <v>824</v>
      </c>
      <c r="N889">
        <v>4419.1499999999996</v>
      </c>
      <c r="O889" s="227">
        <f t="shared" si="93"/>
        <v>5.435400863657458E-3</v>
      </c>
      <c r="P889" s="5">
        <f>O889-O1278</f>
        <v>5.8011580645706299E-3</v>
      </c>
      <c r="Q889" s="8">
        <f t="shared" si="96"/>
        <v>3.3653434890132855E-5</v>
      </c>
      <c r="X889" s="1">
        <v>44538</v>
      </c>
      <c r="Y889">
        <v>8.81</v>
      </c>
      <c r="Z889" s="48">
        <f t="shared" si="94"/>
        <v>5.8894230769230838E-2</v>
      </c>
      <c r="AA889" s="5">
        <f>Z889-Y1274</f>
        <v>5.4676911299956707E-2</v>
      </c>
      <c r="AD889" t="s">
        <v>824</v>
      </c>
      <c r="AE889">
        <v>178.06</v>
      </c>
      <c r="AF889" s="29">
        <f t="shared" si="95"/>
        <v>2.1630615640598982E-2</v>
      </c>
    </row>
    <row r="890" spans="1:32">
      <c r="A890" s="3" t="s">
        <v>828</v>
      </c>
      <c r="B890" s="222">
        <v>47.46</v>
      </c>
      <c r="C890" s="227">
        <f t="shared" si="91"/>
        <v>1.3885921811578772E-2</v>
      </c>
      <c r="D890" s="5">
        <f>C890-C1275</f>
        <v>1.3807876242019883E-2</v>
      </c>
      <c r="E890" s="1"/>
      <c r="F890" s="8"/>
      <c r="H890" t="s">
        <v>827</v>
      </c>
      <c r="I890">
        <v>54.39</v>
      </c>
      <c r="J890" s="227">
        <f t="shared" si="92"/>
        <v>2.0067516879219705E-2</v>
      </c>
      <c r="K890" s="5">
        <f>J890-J1276</f>
        <v>1.7931560963609747E-2</v>
      </c>
      <c r="M890" s="240" t="s">
        <v>825</v>
      </c>
      <c r="N890">
        <v>4400.6400000000003</v>
      </c>
      <c r="O890" s="227">
        <f t="shared" si="93"/>
        <v>-4.1885883031803628E-3</v>
      </c>
      <c r="P890" s="5">
        <f>O890-O1278</f>
        <v>-3.8228311022671913E-3</v>
      </c>
      <c r="Q890" s="8">
        <f t="shared" si="96"/>
        <v>1.4614037636461389E-5</v>
      </c>
      <c r="X890" s="1">
        <v>44508</v>
      </c>
      <c r="Y890">
        <v>8.83</v>
      </c>
      <c r="Z890" s="48">
        <f t="shared" si="94"/>
        <v>2.2701475595914289E-3</v>
      </c>
      <c r="AA890" s="5">
        <f>Z890-Y1274</f>
        <v>-1.9471719096827052E-3</v>
      </c>
      <c r="AD890" t="s">
        <v>825</v>
      </c>
      <c r="AE890">
        <v>186.85</v>
      </c>
      <c r="AF890" s="29">
        <f t="shared" si="95"/>
        <v>4.9365382455352158E-2</v>
      </c>
    </row>
    <row r="891" spans="1:32">
      <c r="A891" s="3" t="s">
        <v>829</v>
      </c>
      <c r="B891" s="222">
        <v>47.57</v>
      </c>
      <c r="C891" s="227">
        <f t="shared" si="91"/>
        <v>2.3177412557944255E-3</v>
      </c>
      <c r="D891" s="5">
        <f>C891-C1275</f>
        <v>2.2396956862355362E-3</v>
      </c>
      <c r="E891" s="1"/>
      <c r="F891" s="8"/>
      <c r="H891" t="s">
        <v>828</v>
      </c>
      <c r="I891">
        <v>54.9</v>
      </c>
      <c r="J891" s="227">
        <f t="shared" si="92"/>
        <v>9.3767236624378025E-3</v>
      </c>
      <c r="K891" s="5">
        <f>J891-J1276</f>
        <v>7.2407677468278447E-3</v>
      </c>
      <c r="M891" s="240" t="s">
        <v>826</v>
      </c>
      <c r="N891">
        <v>4401.46</v>
      </c>
      <c r="O891" s="227">
        <f t="shared" si="93"/>
        <v>1.863365328678146E-4</v>
      </c>
      <c r="P891" s="5">
        <f>O891-O1278</f>
        <v>5.5209373378098609E-4</v>
      </c>
      <c r="Q891" s="8">
        <f t="shared" si="96"/>
        <v>3.0480749088023033E-7</v>
      </c>
      <c r="X891" s="1">
        <v>44477</v>
      </c>
      <c r="Y891">
        <v>9.17</v>
      </c>
      <c r="Z891" s="48">
        <f t="shared" si="94"/>
        <v>3.8505096262740679E-2</v>
      </c>
      <c r="AA891" s="5">
        <f>Z891-Y1274</f>
        <v>3.4287776793466548E-2</v>
      </c>
      <c r="AD891" t="s">
        <v>826</v>
      </c>
      <c r="AE891">
        <v>179.99</v>
      </c>
      <c r="AF891" s="29">
        <f t="shared" si="95"/>
        <v>-3.6713941664436645E-2</v>
      </c>
    </row>
    <row r="892" spans="1:32">
      <c r="A892" s="3" t="s">
        <v>830</v>
      </c>
      <c r="B892" s="222">
        <v>47.52</v>
      </c>
      <c r="C892" s="227">
        <f t="shared" si="91"/>
        <v>-1.0510826150934571E-3</v>
      </c>
      <c r="D892" s="5">
        <f>C892-C1275</f>
        <v>-1.1291281846523464E-3</v>
      </c>
      <c r="E892" s="1"/>
      <c r="F892" s="8"/>
      <c r="H892" t="s">
        <v>829</v>
      </c>
      <c r="I892">
        <v>55.14</v>
      </c>
      <c r="J892" s="227">
        <f t="shared" si="92"/>
        <v>4.3715846994536456E-3</v>
      </c>
      <c r="K892" s="5">
        <f>J892-J1276</f>
        <v>2.2356287838436878E-3</v>
      </c>
      <c r="M892" s="240" t="s">
        <v>827</v>
      </c>
      <c r="N892">
        <v>4422.3</v>
      </c>
      <c r="O892" s="227">
        <f t="shared" si="93"/>
        <v>4.7347925461096452E-3</v>
      </c>
      <c r="P892" s="5">
        <f>O892-O1278</f>
        <v>5.1005497470228171E-3</v>
      </c>
      <c r="Q892" s="8">
        <f t="shared" si="96"/>
        <v>2.6015607721854523E-5</v>
      </c>
      <c r="X892" s="1">
        <v>44447</v>
      </c>
      <c r="Y892">
        <v>9.5399999999999991</v>
      </c>
      <c r="Z892" s="48">
        <f t="shared" si="94"/>
        <v>4.0348964013086075E-2</v>
      </c>
      <c r="AA892" s="5">
        <f>Z892-Y1274</f>
        <v>3.6131644543811944E-2</v>
      </c>
      <c r="AD892" t="s">
        <v>827</v>
      </c>
      <c r="AE892">
        <v>184.09</v>
      </c>
      <c r="AF892" s="29">
        <f t="shared" si="95"/>
        <v>2.277904328018221E-2</v>
      </c>
    </row>
    <row r="893" spans="1:32">
      <c r="A893" s="3" t="s">
        <v>831</v>
      </c>
      <c r="B893" s="222">
        <v>46.32</v>
      </c>
      <c r="C893" s="227">
        <f t="shared" si="91"/>
        <v>-2.5252525252525304E-2</v>
      </c>
      <c r="D893" s="5">
        <f>C893-C1275</f>
        <v>-2.5330570822084193E-2</v>
      </c>
      <c r="E893" s="1"/>
      <c r="F893" s="8"/>
      <c r="H893" t="s">
        <v>830</v>
      </c>
      <c r="I893">
        <v>55.77</v>
      </c>
      <c r="J893" s="227">
        <f t="shared" si="92"/>
        <v>1.1425462459194735E-2</v>
      </c>
      <c r="K893" s="5">
        <f>J893-J1276</f>
        <v>9.2895065435847773E-3</v>
      </c>
      <c r="M893" s="240" t="s">
        <v>828</v>
      </c>
      <c r="N893">
        <v>4411.79</v>
      </c>
      <c r="O893" s="227">
        <f t="shared" si="93"/>
        <v>-2.3765913664836047E-3</v>
      </c>
      <c r="P893" s="5">
        <f>O893-O1278</f>
        <v>-2.0108341655704332E-3</v>
      </c>
      <c r="Q893" s="8">
        <f t="shared" si="96"/>
        <v>4.0434540414253401E-6</v>
      </c>
      <c r="X893" s="1">
        <v>44355</v>
      </c>
      <c r="Y893">
        <v>9.31</v>
      </c>
      <c r="Z893" s="48">
        <f t="shared" si="94"/>
        <v>-2.4109014675052221E-2</v>
      </c>
      <c r="AA893" s="5">
        <f>Z893-Y1274</f>
        <v>-2.8326334144326355E-2</v>
      </c>
      <c r="AD893" t="s">
        <v>828</v>
      </c>
      <c r="AE893">
        <v>188.6</v>
      </c>
      <c r="AF893" s="29">
        <f t="shared" si="95"/>
        <v>2.4498886414253906E-2</v>
      </c>
    </row>
    <row r="894" spans="1:32">
      <c r="A894" s="3" t="s">
        <v>832</v>
      </c>
      <c r="B894" s="222">
        <v>45.56</v>
      </c>
      <c r="C894" s="227">
        <f t="shared" si="91"/>
        <v>-1.6407599309153698E-2</v>
      </c>
      <c r="D894" s="5">
        <f>C894-C1275</f>
        <v>-1.6485644878712586E-2</v>
      </c>
      <c r="E894" s="1"/>
      <c r="F894" s="8"/>
      <c r="H894" t="s">
        <v>831</v>
      </c>
      <c r="I894">
        <v>52.95</v>
      </c>
      <c r="J894" s="227">
        <f t="shared" si="92"/>
        <v>-5.0564819795589022E-2</v>
      </c>
      <c r="K894" s="5">
        <f>J894-J1276</f>
        <v>-5.270077571119898E-2</v>
      </c>
      <c r="M894" s="240" t="s">
        <v>829</v>
      </c>
      <c r="N894">
        <v>4367.4799999999996</v>
      </c>
      <c r="O894" s="227">
        <f t="shared" si="93"/>
        <v>-1.0043542417023543E-2</v>
      </c>
      <c r="P894" s="5">
        <f>O894-O1278</f>
        <v>-9.6777852161103722E-3</v>
      </c>
      <c r="Q894" s="8">
        <f t="shared" si="96"/>
        <v>9.3659526689164483E-5</v>
      </c>
      <c r="X894" s="1">
        <v>44324</v>
      </c>
      <c r="Y894">
        <v>9.33</v>
      </c>
      <c r="Z894" s="48">
        <f t="shared" si="94"/>
        <v>2.1482277121374072E-3</v>
      </c>
      <c r="AA894" s="5">
        <f>Z894-Y1274</f>
        <v>-2.0690917571367269E-3</v>
      </c>
      <c r="AD894" t="s">
        <v>829</v>
      </c>
      <c r="AE894">
        <v>182.78</v>
      </c>
      <c r="AF894" s="29">
        <f t="shared" si="95"/>
        <v>-3.0858960763520682E-2</v>
      </c>
    </row>
    <row r="895" spans="1:32">
      <c r="A895" s="3" t="s">
        <v>833</v>
      </c>
      <c r="B895" s="222">
        <v>46.19</v>
      </c>
      <c r="C895" s="227">
        <f t="shared" si="91"/>
        <v>1.382791922739246E-2</v>
      </c>
      <c r="D895" s="5">
        <f>C895-C1275</f>
        <v>1.3749873657833572E-2</v>
      </c>
      <c r="F895" s="8"/>
      <c r="H895" t="s">
        <v>832</v>
      </c>
      <c r="I895">
        <v>51.72</v>
      </c>
      <c r="J895" s="227">
        <f t="shared" si="92"/>
        <v>-2.322946175637397E-2</v>
      </c>
      <c r="K895" s="5">
        <f>J895-J1276</f>
        <v>-2.5365417671983928E-2</v>
      </c>
      <c r="M895" s="240" t="s">
        <v>830</v>
      </c>
      <c r="N895">
        <v>4358.6899999999996</v>
      </c>
      <c r="O895" s="227">
        <f t="shared" si="93"/>
        <v>-2.0126022328665893E-3</v>
      </c>
      <c r="P895" s="5">
        <f>O895-O1278</f>
        <v>-1.6468450319534179E-3</v>
      </c>
      <c r="Q895" s="8">
        <f t="shared" si="96"/>
        <v>2.712098559269654E-6</v>
      </c>
      <c r="X895" s="1">
        <v>44294</v>
      </c>
      <c r="Y895">
        <v>9.7200000000000006</v>
      </c>
      <c r="Z895" s="48">
        <f t="shared" si="94"/>
        <v>4.1800643086816747E-2</v>
      </c>
      <c r="AA895" s="5">
        <f>Z895-Y1274</f>
        <v>3.7583323617542616E-2</v>
      </c>
      <c r="AD895" t="s">
        <v>830</v>
      </c>
      <c r="AE895">
        <v>179.02</v>
      </c>
      <c r="AF895" s="29">
        <f t="shared" si="95"/>
        <v>-2.0571178465915274E-2</v>
      </c>
    </row>
    <row r="896" spans="1:32">
      <c r="A896" s="3" t="s">
        <v>834</v>
      </c>
      <c r="B896" s="222">
        <v>46.42</v>
      </c>
      <c r="C896" s="227">
        <f t="shared" si="91"/>
        <v>4.9794327776575553E-3</v>
      </c>
      <c r="D896" s="5">
        <f>C896-C1275</f>
        <v>4.901387208098666E-3</v>
      </c>
      <c r="F896" s="8"/>
      <c r="H896" t="s">
        <v>833</v>
      </c>
      <c r="I896">
        <v>53.4</v>
      </c>
      <c r="J896" s="227">
        <f t="shared" si="92"/>
        <v>3.2482598607888713E-2</v>
      </c>
      <c r="K896" s="5">
        <f>J896-J1276</f>
        <v>3.0346642692278755E-2</v>
      </c>
      <c r="M896" s="240" t="s">
        <v>831</v>
      </c>
      <c r="N896">
        <v>4323.0600000000004</v>
      </c>
      <c r="O896" s="227">
        <f t="shared" si="93"/>
        <v>-8.1744744407148406E-3</v>
      </c>
      <c r="P896" s="5">
        <f>O896-O1278</f>
        <v>-7.8087172398016687E-3</v>
      </c>
      <c r="Q896" s="8">
        <f t="shared" si="96"/>
        <v>6.0976064931175793E-5</v>
      </c>
      <c r="X896" s="1">
        <v>44263</v>
      </c>
      <c r="Y896">
        <v>10.08</v>
      </c>
      <c r="Z896" s="48">
        <f t="shared" si="94"/>
        <v>3.7037037037036979E-2</v>
      </c>
      <c r="AA896" s="5">
        <f>Z896-Y1274</f>
        <v>3.2819717567762849E-2</v>
      </c>
      <c r="AD896" t="s">
        <v>831</v>
      </c>
      <c r="AE896">
        <v>177.56</v>
      </c>
      <c r="AF896" s="29">
        <f t="shared" si="95"/>
        <v>-8.1555133504637167E-3</v>
      </c>
    </row>
    <row r="897" spans="1:32">
      <c r="A897" s="3" t="s">
        <v>835</v>
      </c>
      <c r="B897" s="222">
        <v>47.15</v>
      </c>
      <c r="C897" s="227">
        <f t="shared" si="91"/>
        <v>1.5725980180956389E-2</v>
      </c>
      <c r="D897" s="5">
        <f>C897-C1275</f>
        <v>1.5647934611397501E-2</v>
      </c>
      <c r="F897" s="8"/>
      <c r="H897" t="s">
        <v>834</v>
      </c>
      <c r="I897">
        <v>54.73</v>
      </c>
      <c r="J897" s="227">
        <f t="shared" si="92"/>
        <v>2.4906367041198418E-2</v>
      </c>
      <c r="K897" s="5">
        <f>J897-J1276</f>
        <v>2.2770411125588461E-2</v>
      </c>
      <c r="M897" s="240" t="s">
        <v>832</v>
      </c>
      <c r="N897">
        <v>4258.49</v>
      </c>
      <c r="O897" s="227">
        <f t="shared" si="93"/>
        <v>-1.4936179465471322E-2</v>
      </c>
      <c r="P897" s="5">
        <f>O897-O1278</f>
        <v>-1.4570422264558151E-2</v>
      </c>
      <c r="Q897" s="8">
        <f t="shared" si="96"/>
        <v>2.1229720496753187E-4</v>
      </c>
      <c r="X897" s="1">
        <v>44235</v>
      </c>
      <c r="Y897">
        <v>10.38</v>
      </c>
      <c r="Z897" s="48">
        <f t="shared" si="94"/>
        <v>2.9761904761904878E-2</v>
      </c>
      <c r="AA897" s="5">
        <f>Z897-Y1274</f>
        <v>2.5544585292630744E-2</v>
      </c>
      <c r="AD897" t="s">
        <v>832</v>
      </c>
      <c r="AE897">
        <v>175.5</v>
      </c>
      <c r="AF897" s="29">
        <f t="shared" si="95"/>
        <v>-1.1601712097319195E-2</v>
      </c>
    </row>
    <row r="898" spans="1:32">
      <c r="A898" s="3" t="s">
        <v>836</v>
      </c>
      <c r="B898" s="222">
        <v>48.08</v>
      </c>
      <c r="C898" s="227">
        <f t="shared" si="91"/>
        <v>1.9724284199363673E-2</v>
      </c>
      <c r="D898" s="5">
        <f>C898-C1275</f>
        <v>1.9646238629804785E-2</v>
      </c>
      <c r="F898" s="8"/>
      <c r="H898" t="s">
        <v>835</v>
      </c>
      <c r="I898">
        <v>55.83</v>
      </c>
      <c r="J898" s="227">
        <f t="shared" si="92"/>
        <v>2.0098666179426239E-2</v>
      </c>
      <c r="K898" s="5">
        <f>J898-J1276</f>
        <v>1.7962710263816281E-2</v>
      </c>
      <c r="M898" s="240" t="s">
        <v>833</v>
      </c>
      <c r="N898">
        <v>4327.16</v>
      </c>
      <c r="O898" s="227">
        <f t="shared" si="93"/>
        <v>1.6125434132755911E-2</v>
      </c>
      <c r="P898" s="5">
        <f>O898-O1278</f>
        <v>1.6491191333669084E-2</v>
      </c>
      <c r="Q898" s="8">
        <f t="shared" si="96"/>
        <v>2.7195939160368232E-4</v>
      </c>
      <c r="X898" t="s">
        <v>823</v>
      </c>
      <c r="Y898">
        <v>10.31</v>
      </c>
      <c r="Z898" s="48">
        <f t="shared" si="94"/>
        <v>-6.7437379576108514E-3</v>
      </c>
      <c r="AA898" s="5">
        <f>Z898-Y1274</f>
        <v>-1.0961057426884985E-2</v>
      </c>
      <c r="AD898" t="s">
        <v>833</v>
      </c>
      <c r="AE898">
        <v>167.36</v>
      </c>
      <c r="AF898" s="29">
        <f t="shared" si="95"/>
        <v>-4.6381766381766276E-2</v>
      </c>
    </row>
    <row r="899" spans="1:32">
      <c r="A899" s="220">
        <v>44537</v>
      </c>
      <c r="B899" s="222">
        <v>48.41</v>
      </c>
      <c r="C899" s="227">
        <f t="shared" si="91"/>
        <v>6.8635607321130276E-3</v>
      </c>
      <c r="D899" s="5">
        <f>C899-C1275</f>
        <v>6.7855151625541383E-3</v>
      </c>
      <c r="F899" s="8"/>
      <c r="H899" t="s">
        <v>836</v>
      </c>
      <c r="I899">
        <v>57.07</v>
      </c>
      <c r="J899" s="227">
        <f t="shared" si="92"/>
        <v>2.2210281210818694E-2</v>
      </c>
      <c r="K899" s="5">
        <f>J899-J1276</f>
        <v>2.0074325295208736E-2</v>
      </c>
      <c r="M899" s="240" t="s">
        <v>834</v>
      </c>
      <c r="N899">
        <v>4360.03</v>
      </c>
      <c r="O899" s="227">
        <f t="shared" si="93"/>
        <v>7.5962062877268366E-3</v>
      </c>
      <c r="P899" s="5">
        <f>O899-O1278</f>
        <v>7.9619634886400076E-3</v>
      </c>
      <c r="Q899" s="8">
        <f t="shared" si="96"/>
        <v>6.3392862594436559E-5</v>
      </c>
      <c r="X899" t="s">
        <v>824</v>
      </c>
      <c r="Y899">
        <v>9.86</v>
      </c>
      <c r="Z899" s="48">
        <f t="shared" si="94"/>
        <v>-4.3646944713870095E-2</v>
      </c>
      <c r="AA899" s="5">
        <f>Z899-Y1274</f>
        <v>-4.7864264183144226E-2</v>
      </c>
      <c r="AD899" t="s">
        <v>834</v>
      </c>
      <c r="AE899">
        <v>167.33</v>
      </c>
      <c r="AF899" s="29">
        <f t="shared" si="95"/>
        <v>-1.792543021033044E-4</v>
      </c>
    </row>
    <row r="900" spans="1:32">
      <c r="A900" s="220">
        <v>44446</v>
      </c>
      <c r="B900" s="222">
        <v>49.07</v>
      </c>
      <c r="C900" s="227">
        <f t="shared" si="91"/>
        <v>1.363354678785389E-2</v>
      </c>
      <c r="D900" s="5">
        <f>C900-C1275</f>
        <v>1.3555501218295001E-2</v>
      </c>
      <c r="F900" s="8"/>
      <c r="H900" s="1">
        <v>44537</v>
      </c>
      <c r="I900">
        <v>58.07</v>
      </c>
      <c r="J900" s="227">
        <f t="shared" si="92"/>
        <v>1.752234098475558E-2</v>
      </c>
      <c r="K900" s="5">
        <f>J900-J1276</f>
        <v>1.5386385069145622E-2</v>
      </c>
      <c r="M900" s="240" t="s">
        <v>835</v>
      </c>
      <c r="N900">
        <v>4374.3</v>
      </c>
      <c r="O900" s="227">
        <f t="shared" si="93"/>
        <v>3.272913259771304E-3</v>
      </c>
      <c r="P900" s="5">
        <f>O900-O1278</f>
        <v>3.6386704606844755E-3</v>
      </c>
      <c r="Q900" s="8">
        <f t="shared" si="96"/>
        <v>1.3239922721457774E-5</v>
      </c>
      <c r="X900" t="s">
        <v>825</v>
      </c>
      <c r="Y900">
        <v>8.8699999999999992</v>
      </c>
      <c r="Z900" s="48">
        <f t="shared" si="94"/>
        <v>-0.10040567951318458</v>
      </c>
      <c r="AA900" s="5">
        <f>Z900-Y1274</f>
        <v>-0.10462299898245871</v>
      </c>
      <c r="AD900" t="s">
        <v>835</v>
      </c>
      <c r="AE900">
        <v>169.33</v>
      </c>
      <c r="AF900" s="29">
        <f t="shared" si="95"/>
        <v>1.1952429331261616E-2</v>
      </c>
    </row>
    <row r="901" spans="1:32">
      <c r="A901" s="220">
        <v>44415</v>
      </c>
      <c r="B901" s="222">
        <v>47.55</v>
      </c>
      <c r="C901" s="227">
        <f t="shared" si="91"/>
        <v>-3.0976156511106634E-2</v>
      </c>
      <c r="D901" s="5">
        <f>C901-C1275</f>
        <v>-3.1054202080665522E-2</v>
      </c>
      <c r="F901" s="8"/>
      <c r="H901" s="1">
        <v>44446</v>
      </c>
      <c r="I901">
        <v>60.06</v>
      </c>
      <c r="J901" s="227">
        <f t="shared" si="92"/>
        <v>3.4268985706905397E-2</v>
      </c>
      <c r="K901" s="5">
        <f>J901-J1276</f>
        <v>3.2133029791295439E-2</v>
      </c>
      <c r="M901" s="240" t="s">
        <v>836</v>
      </c>
      <c r="N901">
        <v>4369.21</v>
      </c>
      <c r="O901" s="227">
        <f t="shared" si="93"/>
        <v>-1.1636147497885441E-3</v>
      </c>
      <c r="P901" s="5">
        <f>O901-O1278</f>
        <v>-7.9785754887537258E-4</v>
      </c>
      <c r="Q901" s="8">
        <f t="shared" si="96"/>
        <v>6.3657666829741755E-7</v>
      </c>
      <c r="X901" t="s">
        <v>826</v>
      </c>
      <c r="Y901">
        <v>8.0399999999999991</v>
      </c>
      <c r="Z901" s="48">
        <f t="shared" si="94"/>
        <v>-9.3573844419391206E-2</v>
      </c>
      <c r="AA901" s="5">
        <f>Z901-Y1274</f>
        <v>-9.7791163888665336E-2</v>
      </c>
      <c r="AD901" t="s">
        <v>836</v>
      </c>
      <c r="AE901">
        <v>176.49</v>
      </c>
      <c r="AF901" s="29">
        <f t="shared" si="95"/>
        <v>4.2284296934979038E-2</v>
      </c>
    </row>
    <row r="902" spans="1:32">
      <c r="A902" s="220">
        <v>44384</v>
      </c>
      <c r="B902" s="222">
        <v>48.68</v>
      </c>
      <c r="C902" s="227">
        <f t="shared" si="91"/>
        <v>2.3764458464774041E-2</v>
      </c>
      <c r="D902" s="5">
        <f>C902-C1275</f>
        <v>2.3686412895215152E-2</v>
      </c>
      <c r="F902" s="8"/>
      <c r="H902" s="1">
        <v>44415</v>
      </c>
      <c r="I902">
        <v>58.55</v>
      </c>
      <c r="J902" s="227">
        <f t="shared" si="92"/>
        <v>-2.5141525141525234E-2</v>
      </c>
      <c r="K902" s="5">
        <f>J902-J1276</f>
        <v>-2.7277481057135192E-2</v>
      </c>
      <c r="M902" s="241">
        <v>44537</v>
      </c>
      <c r="N902">
        <v>4384.63</v>
      </c>
      <c r="O902" s="227">
        <f t="shared" si="93"/>
        <v>3.5292421284396358E-3</v>
      </c>
      <c r="P902" s="5">
        <f>O902-O1278</f>
        <v>3.8949993293528073E-3</v>
      </c>
      <c r="Q902" s="8">
        <f t="shared" si="96"/>
        <v>1.5171019775658818E-5</v>
      </c>
      <c r="X902" t="s">
        <v>827</v>
      </c>
      <c r="Y902">
        <v>8.0399999999999991</v>
      </c>
      <c r="Z902" s="48">
        <f t="shared" si="94"/>
        <v>0</v>
      </c>
      <c r="AA902" s="5">
        <f>Z902-Y1274</f>
        <v>-4.2173194692741341E-3</v>
      </c>
      <c r="AD902" s="1">
        <v>44537</v>
      </c>
      <c r="AE902">
        <v>177.18</v>
      </c>
      <c r="AF902" s="29">
        <f t="shared" si="95"/>
        <v>3.9095699473057355E-3</v>
      </c>
    </row>
    <row r="903" spans="1:32">
      <c r="A903" s="220">
        <v>44354</v>
      </c>
      <c r="B903" s="222">
        <v>50.8</v>
      </c>
      <c r="C903" s="227">
        <f t="shared" si="91"/>
        <v>4.3549712407559449E-2</v>
      </c>
      <c r="D903" s="5">
        <f>C903-C1275</f>
        <v>4.3471666838000557E-2</v>
      </c>
      <c r="F903" s="8"/>
      <c r="H903" s="1">
        <v>44384</v>
      </c>
      <c r="I903">
        <v>58.75</v>
      </c>
      <c r="J903" s="227">
        <f t="shared" si="92"/>
        <v>3.4158838599487318E-3</v>
      </c>
      <c r="K903" s="5">
        <f>J903-J1276</f>
        <v>1.279927944338774E-3</v>
      </c>
      <c r="M903" s="241">
        <v>44446</v>
      </c>
      <c r="N903">
        <v>4369.55</v>
      </c>
      <c r="O903" s="227">
        <f t="shared" si="93"/>
        <v>-3.4392867813247685E-3</v>
      </c>
      <c r="P903" s="5">
        <f>O903-O1278</f>
        <v>-3.073529580411597E-3</v>
      </c>
      <c r="Q903" s="8">
        <f t="shared" si="96"/>
        <v>9.4465840816650874E-6</v>
      </c>
      <c r="X903" t="s">
        <v>828</v>
      </c>
      <c r="Y903">
        <v>8.06</v>
      </c>
      <c r="Z903" s="48">
        <f t="shared" si="94"/>
        <v>2.4875621890549926E-3</v>
      </c>
      <c r="AA903" s="5">
        <f>Z903-Y1274</f>
        <v>-1.7297572802191415E-3</v>
      </c>
      <c r="AD903" s="1">
        <v>44446</v>
      </c>
      <c r="AE903">
        <v>180.23</v>
      </c>
      <c r="AF903" s="29">
        <f t="shared" si="95"/>
        <v>1.7214132520600334E-2</v>
      </c>
    </row>
    <row r="904" spans="1:32">
      <c r="A904" s="220">
        <v>44234</v>
      </c>
      <c r="B904" s="222">
        <v>51.71</v>
      </c>
      <c r="C904" s="227">
        <f t="shared" si="91"/>
        <v>1.7913385826771711E-2</v>
      </c>
      <c r="D904" s="5">
        <f>C904-C1275</f>
        <v>1.7835340257212822E-2</v>
      </c>
      <c r="F904" s="8"/>
      <c r="H904" s="1">
        <v>44354</v>
      </c>
      <c r="I904">
        <v>61.64</v>
      </c>
      <c r="J904" s="227">
        <f t="shared" si="92"/>
        <v>4.9191489361702034E-2</v>
      </c>
      <c r="K904" s="5">
        <f>J904-J1276</f>
        <v>4.7055533446092077E-2</v>
      </c>
      <c r="M904" s="241">
        <v>44415</v>
      </c>
      <c r="N904">
        <v>4320.82</v>
      </c>
      <c r="O904" s="227">
        <f t="shared" si="93"/>
        <v>-1.1152178141914049E-2</v>
      </c>
      <c r="P904" s="5">
        <f>O904-O1278</f>
        <v>-1.0786420941000878E-2</v>
      </c>
      <c r="Q904" s="8">
        <f t="shared" si="96"/>
        <v>1.1634687671646226E-4</v>
      </c>
      <c r="X904" t="s">
        <v>829</v>
      </c>
      <c r="Y904">
        <v>10.199999999999999</v>
      </c>
      <c r="Z904" s="48">
        <f t="shared" si="94"/>
        <v>0.2655086848635233</v>
      </c>
      <c r="AA904" s="5">
        <f>Z904-Y1274</f>
        <v>0.26129136539424919</v>
      </c>
      <c r="AD904" s="1">
        <v>44415</v>
      </c>
      <c r="AE904">
        <v>178.56</v>
      </c>
      <c r="AF904" s="29">
        <f t="shared" si="95"/>
        <v>-9.2659379681517828E-3</v>
      </c>
    </row>
    <row r="905" spans="1:32">
      <c r="A905" s="220">
        <v>44203</v>
      </c>
      <c r="B905" s="222">
        <v>50.59</v>
      </c>
      <c r="C905" s="227">
        <f t="shared" si="91"/>
        <v>-2.1659253529297984E-2</v>
      </c>
      <c r="D905" s="5">
        <f>C905-C1275</f>
        <v>-2.1737299098856872E-2</v>
      </c>
      <c r="F905" s="8"/>
      <c r="H905" s="1">
        <v>44234</v>
      </c>
      <c r="I905">
        <v>62.79</v>
      </c>
      <c r="J905" s="227">
        <f t="shared" si="92"/>
        <v>1.8656716417910335E-2</v>
      </c>
      <c r="K905" s="5">
        <f>J905-J1276</f>
        <v>1.6520760502300377E-2</v>
      </c>
      <c r="M905" s="241">
        <v>44384</v>
      </c>
      <c r="N905">
        <v>4358.13</v>
      </c>
      <c r="O905" s="227">
        <f t="shared" si="93"/>
        <v>8.6349350354795185E-3</v>
      </c>
      <c r="P905" s="5">
        <f>O905-O1278</f>
        <v>9.0006922363926895E-3</v>
      </c>
      <c r="Q905" s="8">
        <f t="shared" si="96"/>
        <v>8.1012460734259639E-5</v>
      </c>
      <c r="X905" t="s">
        <v>830</v>
      </c>
      <c r="Y905">
        <v>11.5</v>
      </c>
      <c r="Z905" s="48">
        <f t="shared" si="94"/>
        <v>0.12745098039215685</v>
      </c>
      <c r="AA905" s="5">
        <f>Z905-Y1274</f>
        <v>0.12323366092288272</v>
      </c>
      <c r="AD905" s="1">
        <v>44384</v>
      </c>
      <c r="AE905">
        <v>185.15</v>
      </c>
      <c r="AF905" s="29">
        <f t="shared" si="95"/>
        <v>3.6906362007168569E-2</v>
      </c>
    </row>
    <row r="906" spans="1:32">
      <c r="A906" s="3" t="s">
        <v>837</v>
      </c>
      <c r="B906" s="222">
        <v>50.12</v>
      </c>
      <c r="C906" s="227">
        <f t="shared" si="91"/>
        <v>-9.2903735916189945E-3</v>
      </c>
      <c r="D906" s="5">
        <f>C906-C1275</f>
        <v>-9.3684191611778829E-3</v>
      </c>
      <c r="F906" s="8"/>
      <c r="H906" s="1">
        <v>44203</v>
      </c>
      <c r="I906">
        <v>61.87</v>
      </c>
      <c r="J906" s="227">
        <f t="shared" si="92"/>
        <v>-1.4652014652014711E-2</v>
      </c>
      <c r="K906" s="5">
        <f>J906-J1276</f>
        <v>-1.6787970567624669E-2</v>
      </c>
      <c r="M906" s="241">
        <v>44354</v>
      </c>
      <c r="N906">
        <v>4343.54</v>
      </c>
      <c r="O906" s="227">
        <f t="shared" si="93"/>
        <v>-3.3477661290507443E-3</v>
      </c>
      <c r="P906" s="5">
        <f>O906-O1278</f>
        <v>-2.9820089281375728E-3</v>
      </c>
      <c r="Q906" s="8">
        <f t="shared" si="96"/>
        <v>8.8923772474921955E-6</v>
      </c>
      <c r="X906" t="s">
        <v>831</v>
      </c>
      <c r="Y906">
        <v>11.21</v>
      </c>
      <c r="Z906" s="48">
        <f t="shared" si="94"/>
        <v>-2.5217391304347747E-2</v>
      </c>
      <c r="AA906" s="5">
        <f>Z906-Y1274</f>
        <v>-2.9434710773621881E-2</v>
      </c>
      <c r="AD906" s="1">
        <v>44354</v>
      </c>
      <c r="AE906">
        <v>182.77</v>
      </c>
      <c r="AF906" s="29">
        <f t="shared" si="95"/>
        <v>-1.2854442344045314E-2</v>
      </c>
    </row>
    <row r="907" spans="1:32">
      <c r="A907" s="3" t="s">
        <v>838</v>
      </c>
      <c r="B907" s="222">
        <v>50.76</v>
      </c>
      <c r="C907" s="227">
        <f t="shared" si="91"/>
        <v>1.276935355147657E-2</v>
      </c>
      <c r="D907" s="5">
        <f>C907-C1275</f>
        <v>1.2691307981917681E-2</v>
      </c>
      <c r="F907" s="8"/>
      <c r="H907" t="s">
        <v>837</v>
      </c>
      <c r="I907">
        <v>60.48</v>
      </c>
      <c r="J907" s="227">
        <f t="shared" si="92"/>
        <v>-2.2466461936318072E-2</v>
      </c>
      <c r="K907" s="5">
        <f>J907-J1276</f>
        <v>-2.460241785192803E-2</v>
      </c>
      <c r="M907" s="241">
        <v>44234</v>
      </c>
      <c r="N907">
        <v>4352.34</v>
      </c>
      <c r="O907" s="227">
        <f t="shared" si="93"/>
        <v>2.0259972280673999E-3</v>
      </c>
      <c r="P907" s="5">
        <f>O907-O1278</f>
        <v>2.3917544289805714E-3</v>
      </c>
      <c r="Q907" s="8">
        <f t="shared" si="96"/>
        <v>5.720489248548179E-6</v>
      </c>
      <c r="X907" t="s">
        <v>832</v>
      </c>
      <c r="Y907">
        <v>11.06</v>
      </c>
      <c r="Z907" s="48">
        <f t="shared" si="94"/>
        <v>-1.338090990187335E-2</v>
      </c>
      <c r="AA907" s="5">
        <f>Z907-Y1274</f>
        <v>-1.7598229371147484E-2</v>
      </c>
      <c r="AD907" s="1">
        <v>44234</v>
      </c>
      <c r="AE907">
        <v>182.91</v>
      </c>
      <c r="AF907" s="29">
        <f t="shared" si="95"/>
        <v>7.6599004212929422E-4</v>
      </c>
    </row>
    <row r="908" spans="1:32">
      <c r="A908" s="3" t="s">
        <v>839</v>
      </c>
      <c r="B908" s="222">
        <v>51.11</v>
      </c>
      <c r="C908" s="227">
        <f t="shared" si="91"/>
        <v>6.895193065405758E-3</v>
      </c>
      <c r="D908" s="5">
        <f>C908-C1275</f>
        <v>6.8171474958468687E-3</v>
      </c>
      <c r="E908" s="1"/>
      <c r="F908" s="8"/>
      <c r="H908" t="s">
        <v>838</v>
      </c>
      <c r="I908">
        <v>59.99</v>
      </c>
      <c r="J908" s="227">
        <f t="shared" si="92"/>
        <v>-8.1018518518517491E-3</v>
      </c>
      <c r="K908" s="5">
        <f>J908-J1276</f>
        <v>-1.0237807767461707E-2</v>
      </c>
      <c r="M908" s="241">
        <v>44203</v>
      </c>
      <c r="N908">
        <v>4319.9399999999996</v>
      </c>
      <c r="O908" s="227">
        <f t="shared" si="93"/>
        <v>-7.4442713574768282E-3</v>
      </c>
      <c r="P908" s="5">
        <f>O908-O1278</f>
        <v>-7.0785141565636563E-3</v>
      </c>
      <c r="Q908" s="8">
        <f t="shared" si="96"/>
        <v>5.0105362664672093E-5</v>
      </c>
      <c r="X908" t="s">
        <v>833</v>
      </c>
      <c r="Y908">
        <v>11.97</v>
      </c>
      <c r="Z908" s="48">
        <f t="shared" si="94"/>
        <v>8.2278481012658222E-2</v>
      </c>
      <c r="AA908" s="5">
        <f>Z908-Y1274</f>
        <v>7.8061161543384092E-2</v>
      </c>
      <c r="AD908" s="1">
        <v>44203</v>
      </c>
      <c r="AE908">
        <v>180.59</v>
      </c>
      <c r="AF908" s="29">
        <f t="shared" si="95"/>
        <v>-1.2683833579355985E-2</v>
      </c>
    </row>
    <row r="909" spans="1:32">
      <c r="A909" s="3" t="s">
        <v>840</v>
      </c>
      <c r="B909" s="222">
        <v>51.73</v>
      </c>
      <c r="C909" s="227">
        <f t="shared" si="91"/>
        <v>1.2130698493445502E-2</v>
      </c>
      <c r="D909" s="5">
        <f>C909-C1275</f>
        <v>1.2052652923886614E-2</v>
      </c>
      <c r="E909" s="1"/>
      <c r="F909" s="8"/>
      <c r="H909" t="s">
        <v>839</v>
      </c>
      <c r="I909">
        <v>58.73</v>
      </c>
      <c r="J909" s="227">
        <f t="shared" si="92"/>
        <v>-2.1003500583430701E-2</v>
      </c>
      <c r="K909" s="5">
        <f>J909-J1276</f>
        <v>-2.3139456499040659E-2</v>
      </c>
      <c r="M909" s="240" t="s">
        <v>837</v>
      </c>
      <c r="N909">
        <v>4297.5</v>
      </c>
      <c r="O909" s="227">
        <f t="shared" si="93"/>
        <v>-5.1945165905080692E-3</v>
      </c>
      <c r="P909" s="5">
        <f>O909-O1278</f>
        <v>-4.8287593895948973E-3</v>
      </c>
      <c r="Q909" s="8">
        <f t="shared" si="96"/>
        <v>2.3316917242600885E-5</v>
      </c>
      <c r="X909" t="s">
        <v>834</v>
      </c>
      <c r="Y909">
        <v>12.36</v>
      </c>
      <c r="Z909" s="48">
        <f t="shared" si="94"/>
        <v>3.2581453634085156E-2</v>
      </c>
      <c r="AA909" s="5">
        <f>Z909-Y1274</f>
        <v>2.8364134164811022E-2</v>
      </c>
      <c r="AD909" t="s">
        <v>837</v>
      </c>
      <c r="AE909">
        <v>178.33</v>
      </c>
      <c r="AF909" s="29">
        <f t="shared" si="95"/>
        <v>-1.25145356885763E-2</v>
      </c>
    </row>
    <row r="910" spans="1:32">
      <c r="A910" s="3" t="s">
        <v>841</v>
      </c>
      <c r="B910" s="222">
        <v>50.82</v>
      </c>
      <c r="C910" s="227">
        <f t="shared" si="91"/>
        <v>-1.7591339648173165E-2</v>
      </c>
      <c r="D910" s="5">
        <f>C910-C1275</f>
        <v>-1.7669385217732054E-2</v>
      </c>
      <c r="E910" s="1"/>
      <c r="F910" s="8"/>
      <c r="H910" t="s">
        <v>840</v>
      </c>
      <c r="I910">
        <v>61.5</v>
      </c>
      <c r="J910" s="227">
        <f t="shared" si="92"/>
        <v>4.7164992337817235E-2</v>
      </c>
      <c r="K910" s="5">
        <f>J910-J1276</f>
        <v>4.5029036422207278E-2</v>
      </c>
      <c r="M910" s="240" t="s">
        <v>838</v>
      </c>
      <c r="N910">
        <v>4291.8</v>
      </c>
      <c r="O910" s="227">
        <f t="shared" si="93"/>
        <v>-1.3263525305409196E-3</v>
      </c>
      <c r="P910" s="5">
        <f>O910-O1278</f>
        <v>-9.6059532962774813E-4</v>
      </c>
      <c r="Q910" s="8">
        <f t="shared" si="96"/>
        <v>9.2274338730264203E-7</v>
      </c>
      <c r="X910" t="s">
        <v>835</v>
      </c>
      <c r="Y910">
        <v>12.62</v>
      </c>
      <c r="Z910" s="48">
        <f t="shared" si="94"/>
        <v>2.1035598705501535E-2</v>
      </c>
      <c r="AA910" s="5">
        <f>Z910-Y1274</f>
        <v>1.6818279236227401E-2</v>
      </c>
      <c r="AD910" t="s">
        <v>838</v>
      </c>
      <c r="AE910">
        <v>183.91</v>
      </c>
      <c r="AF910" s="29">
        <f t="shared" si="95"/>
        <v>3.1290304491672583E-2</v>
      </c>
    </row>
    <row r="911" spans="1:32">
      <c r="A911" s="3" t="s">
        <v>842</v>
      </c>
      <c r="B911" s="222">
        <v>50.51</v>
      </c>
      <c r="C911" s="227">
        <f t="shared" si="91"/>
        <v>-6.0999606454151811E-3</v>
      </c>
      <c r="D911" s="5">
        <f>C911-C1275</f>
        <v>-6.1780062149740704E-3</v>
      </c>
      <c r="E911" s="1"/>
      <c r="F911" s="8"/>
      <c r="H911" t="s">
        <v>841</v>
      </c>
      <c r="I911">
        <v>61.78</v>
      </c>
      <c r="J911" s="227">
        <f t="shared" si="92"/>
        <v>4.5528455284553626E-3</v>
      </c>
      <c r="K911" s="5">
        <f>J911-J1276</f>
        <v>2.4168896128454048E-3</v>
      </c>
      <c r="M911" s="240" t="s">
        <v>839</v>
      </c>
      <c r="N911">
        <v>4290.6099999999997</v>
      </c>
      <c r="O911" s="227">
        <f t="shared" si="93"/>
        <v>-2.772729390932982E-4</v>
      </c>
      <c r="P911" s="5">
        <f>O911-O1278</f>
        <v>8.8484261819873347E-5</v>
      </c>
      <c r="Q911" s="8">
        <f t="shared" si="96"/>
        <v>7.8294645898078968E-9</v>
      </c>
      <c r="X911" t="s">
        <v>836</v>
      </c>
      <c r="Y911">
        <v>12.42</v>
      </c>
      <c r="Z911" s="48">
        <f t="shared" si="94"/>
        <v>-1.5847860538827252E-2</v>
      </c>
      <c r="AA911" s="5">
        <f>Z911-Y1274</f>
        <v>-2.0065180008101386E-2</v>
      </c>
      <c r="AD911" t="s">
        <v>839</v>
      </c>
      <c r="AE911">
        <v>175.6</v>
      </c>
      <c r="AF911" s="29">
        <f t="shared" si="95"/>
        <v>-4.5185144907835317E-2</v>
      </c>
    </row>
    <row r="912" spans="1:32">
      <c r="A912" s="3" t="s">
        <v>843</v>
      </c>
      <c r="B912" s="222">
        <v>49.05</v>
      </c>
      <c r="C912" s="227">
        <f t="shared" si="91"/>
        <v>-2.8905167293605261E-2</v>
      </c>
      <c r="D912" s="5">
        <f>C912-C1275</f>
        <v>-2.8983212863164149E-2</v>
      </c>
      <c r="E912" s="1"/>
      <c r="F912" s="8"/>
      <c r="H912" t="s">
        <v>842</v>
      </c>
      <c r="I912">
        <v>61.41</v>
      </c>
      <c r="J912" s="227">
        <f t="shared" si="92"/>
        <v>-5.9889932016834457E-3</v>
      </c>
      <c r="K912" s="5">
        <f>J912-J1276</f>
        <v>-8.1249491172934035E-3</v>
      </c>
      <c r="M912" s="240" t="s">
        <v>840</v>
      </c>
      <c r="N912">
        <v>4280.7</v>
      </c>
      <c r="O912" s="227">
        <f t="shared" si="93"/>
        <v>-2.3096948918684967E-3</v>
      </c>
      <c r="P912" s="5">
        <f>O912-O1278</f>
        <v>-1.9439376909553253E-3</v>
      </c>
      <c r="Q912" s="8">
        <f t="shared" si="96"/>
        <v>3.7788937463167216E-6</v>
      </c>
      <c r="X912" s="1">
        <v>44537</v>
      </c>
      <c r="Y912">
        <v>11.16</v>
      </c>
      <c r="Z912" s="48">
        <f t="shared" si="94"/>
        <v>-0.10144927536231885</v>
      </c>
      <c r="AA912" s="5">
        <f>Z912-Y1274</f>
        <v>-0.10566659483159298</v>
      </c>
      <c r="AD912" t="s">
        <v>840</v>
      </c>
      <c r="AE912">
        <v>176.72</v>
      </c>
      <c r="AF912" s="29">
        <f t="shared" si="95"/>
        <v>6.3781321184510631E-3</v>
      </c>
    </row>
    <row r="913" spans="1:32">
      <c r="A913" s="3" t="s">
        <v>844</v>
      </c>
      <c r="B913" s="222">
        <v>48.12</v>
      </c>
      <c r="C913" s="227">
        <f t="shared" si="91"/>
        <v>-1.8960244648318025E-2</v>
      </c>
      <c r="D913" s="5">
        <f>C913-C1275</f>
        <v>-1.9038290217876914E-2</v>
      </c>
      <c r="E913" s="1"/>
      <c r="F913" s="8"/>
      <c r="H913" t="s">
        <v>843</v>
      </c>
      <c r="I913">
        <v>59.06</v>
      </c>
      <c r="J913" s="227">
        <f t="shared" si="92"/>
        <v>-3.8267383162351343E-2</v>
      </c>
      <c r="K913" s="5">
        <f>J913-J1276</f>
        <v>-4.0403339077961301E-2</v>
      </c>
      <c r="M913" s="240" t="s">
        <v>841</v>
      </c>
      <c r="N913">
        <v>4266.49</v>
      </c>
      <c r="O913" s="227">
        <f t="shared" si="93"/>
        <v>-3.3195505407994652E-3</v>
      </c>
      <c r="P913" s="5">
        <f>O913-O1278</f>
        <v>-2.9537933398862937E-3</v>
      </c>
      <c r="Q913" s="8">
        <f t="shared" si="96"/>
        <v>8.7248950947566252E-6</v>
      </c>
      <c r="X913" s="1">
        <v>44446</v>
      </c>
      <c r="Y913">
        <v>12.03</v>
      </c>
      <c r="Z913" s="48">
        <f t="shared" si="94"/>
        <v>7.7956989247311759E-2</v>
      </c>
      <c r="AA913" s="5">
        <f>Z913-Y1274</f>
        <v>7.3739669778037628E-2</v>
      </c>
      <c r="AD913" t="s">
        <v>841</v>
      </c>
      <c r="AE913">
        <v>175.3</v>
      </c>
      <c r="AF913" s="29">
        <f t="shared" si="95"/>
        <v>-8.0353100950655287E-3</v>
      </c>
    </row>
    <row r="914" spans="1:32">
      <c r="A914" s="3" t="s">
        <v>845</v>
      </c>
      <c r="B914" s="222">
        <v>49.7</v>
      </c>
      <c r="C914" s="227">
        <f t="shared" ref="C914:C977" si="97">B914/B913-1</f>
        <v>3.2834580216126508E-2</v>
      </c>
      <c r="D914" s="5">
        <f>C914-C1275</f>
        <v>3.2756534646567616E-2</v>
      </c>
      <c r="E914" s="1"/>
      <c r="F914" s="8"/>
      <c r="H914" t="s">
        <v>844</v>
      </c>
      <c r="I914">
        <v>59.5</v>
      </c>
      <c r="J914" s="227">
        <f t="shared" si="92"/>
        <v>7.4500507958008555E-3</v>
      </c>
      <c r="K914" s="5">
        <f>J914-J1276</f>
        <v>5.3140948801908977E-3</v>
      </c>
      <c r="M914" s="240" t="s">
        <v>842</v>
      </c>
      <c r="N914">
        <v>4241.84</v>
      </c>
      <c r="O914" s="227">
        <f t="shared" si="93"/>
        <v>-5.7775829780450927E-3</v>
      </c>
      <c r="P914" s="5">
        <f>O914-O1278</f>
        <v>-5.4118257771319208E-3</v>
      </c>
      <c r="Q914" s="8">
        <f t="shared" si="96"/>
        <v>2.9287858242029517E-5</v>
      </c>
      <c r="X914" s="1">
        <v>44415</v>
      </c>
      <c r="Y914">
        <v>11.21</v>
      </c>
      <c r="Z914" s="48">
        <f t="shared" si="94"/>
        <v>-6.816292601828744E-2</v>
      </c>
      <c r="AA914" s="5">
        <f>Z914-Y1274</f>
        <v>-7.238024548756157E-2</v>
      </c>
      <c r="AD914" t="s">
        <v>842</v>
      </c>
      <c r="AE914">
        <v>174.03</v>
      </c>
      <c r="AF914" s="29">
        <f t="shared" si="95"/>
        <v>-7.2447233314318904E-3</v>
      </c>
    </row>
    <row r="915" spans="1:32">
      <c r="A915" s="3" t="s">
        <v>846</v>
      </c>
      <c r="B915" s="222">
        <v>49.7</v>
      </c>
      <c r="C915" s="227">
        <f t="shared" si="97"/>
        <v>0</v>
      </c>
      <c r="D915" s="5">
        <f>C915-C1275</f>
        <v>-7.8045569558889217E-5</v>
      </c>
      <c r="E915" s="1"/>
      <c r="F915" s="8"/>
      <c r="H915" t="s">
        <v>845</v>
      </c>
      <c r="I915">
        <v>58.48</v>
      </c>
      <c r="J915" s="227">
        <f t="shared" si="92"/>
        <v>-1.7142857142857237E-2</v>
      </c>
      <c r="K915" s="5">
        <f>J915-J1276</f>
        <v>-1.9278813058467195E-2</v>
      </c>
      <c r="M915" s="240" t="s">
        <v>843</v>
      </c>
      <c r="N915">
        <v>4246.4399999999996</v>
      </c>
      <c r="O915" s="227">
        <f t="shared" si="93"/>
        <v>1.0844350564847005E-3</v>
      </c>
      <c r="P915" s="5">
        <f>O915-O1278</f>
        <v>1.450192257397872E-3</v>
      </c>
      <c r="Q915" s="8">
        <f t="shared" si="96"/>
        <v>2.1030575834167358E-6</v>
      </c>
      <c r="X915" s="1">
        <v>44384</v>
      </c>
      <c r="Y915">
        <v>11.91</v>
      </c>
      <c r="Z915" s="48">
        <f t="shared" si="94"/>
        <v>6.2444246208742227E-2</v>
      </c>
      <c r="AA915" s="5">
        <f>Z915-Y1274</f>
        <v>5.8226926739468096E-2</v>
      </c>
      <c r="AD915" t="s">
        <v>843</v>
      </c>
      <c r="AE915">
        <v>178.98</v>
      </c>
      <c r="AF915" s="29">
        <f t="shared" si="95"/>
        <v>2.844337183244261E-2</v>
      </c>
    </row>
    <row r="916" spans="1:32">
      <c r="A916" s="3" t="s">
        <v>847</v>
      </c>
      <c r="B916" s="222">
        <v>48.89</v>
      </c>
      <c r="C916" s="227">
        <f t="shared" si="97"/>
        <v>-1.6297786720322005E-2</v>
      </c>
      <c r="D916" s="5">
        <f>C916-C1275</f>
        <v>-1.6375832289880893E-2</v>
      </c>
      <c r="E916" s="1"/>
      <c r="F916" s="8"/>
      <c r="H916" t="s">
        <v>846</v>
      </c>
      <c r="I916">
        <v>58.8</v>
      </c>
      <c r="J916" s="227">
        <f t="shared" ref="J916:J979" si="98">I916/I915-1</f>
        <v>5.4719562243501496E-3</v>
      </c>
      <c r="K916" s="5">
        <f>J916-J1276</f>
        <v>3.3360003087401918E-3</v>
      </c>
      <c r="M916" s="240" t="s">
        <v>844</v>
      </c>
      <c r="N916">
        <v>4224.79</v>
      </c>
      <c r="O916" s="227">
        <f t="shared" si="93"/>
        <v>-5.098388297020473E-3</v>
      </c>
      <c r="P916" s="5">
        <f>O916-O1278</f>
        <v>-4.7326310961073011E-3</v>
      </c>
      <c r="Q916" s="8">
        <f t="shared" si="96"/>
        <v>2.2397797091841793E-5</v>
      </c>
      <c r="X916" s="1">
        <v>44354</v>
      </c>
      <c r="Y916">
        <v>12.49</v>
      </c>
      <c r="Z916" s="48">
        <f t="shared" si="94"/>
        <v>4.8698572628043557E-2</v>
      </c>
      <c r="AA916" s="5">
        <f>Z916-Y1274</f>
        <v>4.4481253158769427E-2</v>
      </c>
      <c r="AD916" t="s">
        <v>844</v>
      </c>
      <c r="AE916">
        <v>173.21</v>
      </c>
      <c r="AF916" s="29">
        <f t="shared" si="95"/>
        <v>-3.2238238909375272E-2</v>
      </c>
    </row>
    <row r="917" spans="1:32">
      <c r="A917" s="3" t="s">
        <v>848</v>
      </c>
      <c r="B917" s="222">
        <v>49.3</v>
      </c>
      <c r="C917" s="227">
        <f t="shared" si="97"/>
        <v>8.3861730415217828E-3</v>
      </c>
      <c r="D917" s="5">
        <f>C917-C1275</f>
        <v>8.3081274719628943E-3</v>
      </c>
      <c r="F917" s="8"/>
      <c r="H917" t="s">
        <v>847</v>
      </c>
      <c r="I917">
        <v>56.97</v>
      </c>
      <c r="J917" s="227">
        <f t="shared" si="98"/>
        <v>-3.1122448979591821E-2</v>
      </c>
      <c r="K917" s="5">
        <f>J917-J1276</f>
        <v>-3.3258404895201779E-2</v>
      </c>
      <c r="M917" s="240" t="s">
        <v>845</v>
      </c>
      <c r="N917">
        <v>4166.45</v>
      </c>
      <c r="O917" s="227">
        <f t="shared" si="93"/>
        <v>-1.380897038669382E-2</v>
      </c>
      <c r="P917" s="5">
        <f>O917-O1278</f>
        <v>-1.3443213185780649E-2</v>
      </c>
      <c r="Q917" s="8">
        <f t="shared" si="96"/>
        <v>1.8071998075834669E-4</v>
      </c>
      <c r="X917" s="1">
        <v>44234</v>
      </c>
      <c r="Y917">
        <v>15.53</v>
      </c>
      <c r="Z917" s="48">
        <f t="shared" si="94"/>
        <v>0.24339471577261795</v>
      </c>
      <c r="AA917" s="5">
        <f>Z917-Y1274</f>
        <v>0.23917739630334381</v>
      </c>
      <c r="AD917" t="s">
        <v>845</v>
      </c>
      <c r="AE917">
        <v>167.33</v>
      </c>
      <c r="AF917" s="29">
        <f t="shared" si="95"/>
        <v>-3.3947231684082868E-2</v>
      </c>
    </row>
    <row r="918" spans="1:32">
      <c r="A918" s="3" t="s">
        <v>849</v>
      </c>
      <c r="B918" s="222">
        <v>50.77</v>
      </c>
      <c r="C918" s="227">
        <f t="shared" si="97"/>
        <v>2.9817444219067069E-2</v>
      </c>
      <c r="D918" s="5">
        <f>C918-C1275</f>
        <v>2.973939864950818E-2</v>
      </c>
      <c r="F918" s="8"/>
      <c r="H918" t="s">
        <v>848</v>
      </c>
      <c r="I918">
        <v>57.82</v>
      </c>
      <c r="J918" s="227">
        <f t="shared" si="98"/>
        <v>1.492013340354581E-2</v>
      </c>
      <c r="K918" s="5">
        <f>J918-J1276</f>
        <v>1.2784177487935852E-2</v>
      </c>
      <c r="M918" s="240" t="s">
        <v>846</v>
      </c>
      <c r="N918">
        <v>4221.8599999999997</v>
      </c>
      <c r="O918" s="227">
        <f t="shared" ref="O918:O981" si="99">N918/N917-1</f>
        <v>1.3299091552760656E-2</v>
      </c>
      <c r="P918" s="5">
        <f>O918-O1278</f>
        <v>1.3664848753673827E-2</v>
      </c>
      <c r="Q918" s="8">
        <f t="shared" si="96"/>
        <v>1.8672809146078113E-4</v>
      </c>
      <c r="X918" s="1">
        <v>44203</v>
      </c>
      <c r="Y918">
        <v>16.399999999999999</v>
      </c>
      <c r="Z918" s="48">
        <f t="shared" ref="Z918:Z981" si="100">Y918/Y917-1</f>
        <v>5.6020605280102886E-2</v>
      </c>
      <c r="AA918" s="5">
        <f>Z918-Y1274</f>
        <v>5.1803285810828756E-2</v>
      </c>
      <c r="AD918" t="s">
        <v>846</v>
      </c>
      <c r="AE918">
        <v>164.52</v>
      </c>
      <c r="AF918" s="29">
        <f t="shared" ref="AF918:AF981" si="101">AE918/AE917-1</f>
        <v>-1.6793163210422568E-2</v>
      </c>
    </row>
    <row r="919" spans="1:32">
      <c r="A919" s="220">
        <v>44506</v>
      </c>
      <c r="B919" s="222">
        <v>50.01</v>
      </c>
      <c r="C919" s="227">
        <f t="shared" si="97"/>
        <v>-1.4969470159543086E-2</v>
      </c>
      <c r="D919" s="5">
        <f>C919-C1275</f>
        <v>-1.5047515729101974E-2</v>
      </c>
      <c r="F919" s="8"/>
      <c r="H919" t="s">
        <v>849</v>
      </c>
      <c r="I919">
        <v>58.41</v>
      </c>
      <c r="J919" s="227">
        <f t="shared" si="98"/>
        <v>1.0204081632652962E-2</v>
      </c>
      <c r="K919" s="5">
        <f>J919-J1276</f>
        <v>8.0681257170430037E-3</v>
      </c>
      <c r="M919" s="240" t="s">
        <v>847</v>
      </c>
      <c r="N919">
        <v>4223.7</v>
      </c>
      <c r="O919" s="227">
        <f t="shared" si="99"/>
        <v>4.3582686304133311E-4</v>
      </c>
      <c r="P919" s="5">
        <f>O919-O1278</f>
        <v>8.015840639545046E-4</v>
      </c>
      <c r="Q919" s="8">
        <f t="shared" ref="Q919:Q982" si="102">P919*P919</f>
        <v>6.4253701158581931E-7</v>
      </c>
      <c r="X919" t="s">
        <v>837</v>
      </c>
      <c r="Y919">
        <v>14.14</v>
      </c>
      <c r="Z919" s="48">
        <f t="shared" si="100"/>
        <v>-0.13780487804878039</v>
      </c>
      <c r="AA919" s="5">
        <f>Z919-Y1274</f>
        <v>-0.14202219751805453</v>
      </c>
      <c r="AD919" t="s">
        <v>847</v>
      </c>
      <c r="AE919">
        <v>161.46</v>
      </c>
      <c r="AF919" s="29">
        <f t="shared" si="101"/>
        <v>-1.8599562363238564E-2</v>
      </c>
    </row>
    <row r="920" spans="1:32">
      <c r="A920" s="220">
        <v>44475</v>
      </c>
      <c r="B920" s="222">
        <v>49.55</v>
      </c>
      <c r="C920" s="227">
        <f t="shared" si="97"/>
        <v>-9.1981603679264223E-3</v>
      </c>
      <c r="D920" s="5">
        <f>C920-C1275</f>
        <v>-9.2762059374853108E-3</v>
      </c>
      <c r="F920" s="8"/>
      <c r="H920" s="1">
        <v>44506</v>
      </c>
      <c r="I920">
        <v>56.11</v>
      </c>
      <c r="J920" s="227">
        <f t="shared" si="98"/>
        <v>-3.9376819037835964E-2</v>
      </c>
      <c r="K920" s="5">
        <f>J920-J1276</f>
        <v>-4.1512774953445922E-2</v>
      </c>
      <c r="M920" s="240" t="s">
        <v>848</v>
      </c>
      <c r="N920">
        <v>4246.59</v>
      </c>
      <c r="O920" s="227">
        <f t="shared" si="99"/>
        <v>5.4194189928262748E-3</v>
      </c>
      <c r="P920" s="5">
        <f>O920-O1278</f>
        <v>5.7851761937394467E-3</v>
      </c>
      <c r="Q920" s="8">
        <f t="shared" si="102"/>
        <v>3.3468263592609632E-5</v>
      </c>
      <c r="X920" t="s">
        <v>848</v>
      </c>
      <c r="Y920">
        <v>58.337899999999998</v>
      </c>
      <c r="Z920" s="48">
        <f t="shared" si="100"/>
        <v>3.12573550212164</v>
      </c>
      <c r="AA920" s="5">
        <f>Z920-Y1274</f>
        <v>3.1215181826523657</v>
      </c>
      <c r="AD920" t="s">
        <v>848</v>
      </c>
      <c r="AE920">
        <v>158.65</v>
      </c>
      <c r="AF920" s="29">
        <f t="shared" si="101"/>
        <v>-1.7403691316734804E-2</v>
      </c>
    </row>
    <row r="921" spans="1:32">
      <c r="A921" s="220">
        <v>44445</v>
      </c>
      <c r="B921" s="222">
        <v>49.14</v>
      </c>
      <c r="C921" s="227">
        <f t="shared" si="97"/>
        <v>-8.2744702320887153E-3</v>
      </c>
      <c r="D921" s="5">
        <f>C921-C1275</f>
        <v>-8.3525158016476038E-3</v>
      </c>
      <c r="F921" s="8"/>
      <c r="H921" s="1">
        <v>44475</v>
      </c>
      <c r="I921">
        <v>55.66</v>
      </c>
      <c r="J921" s="227">
        <f t="shared" si="98"/>
        <v>-8.0199607913028492E-3</v>
      </c>
      <c r="K921" s="5">
        <f>J921-J1276</f>
        <v>-1.0155916706912807E-2</v>
      </c>
      <c r="M921" s="240" t="s">
        <v>849</v>
      </c>
      <c r="N921">
        <v>4255.1499999999996</v>
      </c>
      <c r="O921" s="227">
        <f t="shared" si="99"/>
        <v>2.0157349779468259E-3</v>
      </c>
      <c r="P921" s="5">
        <f>O921-O1278</f>
        <v>2.3814921788599974E-3</v>
      </c>
      <c r="Q921" s="8">
        <f t="shared" si="102"/>
        <v>5.6715049979713376E-6</v>
      </c>
      <c r="X921" t="s">
        <v>849</v>
      </c>
      <c r="Y921">
        <v>57.724200000000003</v>
      </c>
      <c r="Z921" s="48">
        <f t="shared" si="100"/>
        <v>-1.0519747882594244E-2</v>
      </c>
      <c r="AA921" s="5">
        <f>Z921-Y1274</f>
        <v>-1.4737067351868378E-2</v>
      </c>
      <c r="AD921" t="s">
        <v>849</v>
      </c>
      <c r="AE921">
        <v>158.83000000000001</v>
      </c>
      <c r="AF921" s="29">
        <f t="shared" si="101"/>
        <v>1.1345729593446041E-3</v>
      </c>
    </row>
    <row r="922" spans="1:32">
      <c r="A922" s="220">
        <v>44414</v>
      </c>
      <c r="B922" s="222">
        <v>49.88</v>
      </c>
      <c r="C922" s="227">
        <f t="shared" si="97"/>
        <v>1.505901505901508E-2</v>
      </c>
      <c r="D922" s="5">
        <f>C922-C1275</f>
        <v>1.4980969489456191E-2</v>
      </c>
      <c r="F922" s="8"/>
      <c r="H922" s="1">
        <v>44445</v>
      </c>
      <c r="I922">
        <v>55.38</v>
      </c>
      <c r="J922" s="227">
        <f t="shared" si="98"/>
        <v>-5.0305425799496151E-3</v>
      </c>
      <c r="K922" s="5">
        <f>J922-J1276</f>
        <v>-7.1664984955595729E-3</v>
      </c>
      <c r="M922" s="241">
        <v>44506</v>
      </c>
      <c r="N922">
        <v>4247.4399999999996</v>
      </c>
      <c r="O922" s="227">
        <f t="shared" si="99"/>
        <v>-1.8119220239004585E-3</v>
      </c>
      <c r="P922" s="5">
        <f>O922-O1278</f>
        <v>-1.446164822987287E-3</v>
      </c>
      <c r="Q922" s="8">
        <f t="shared" si="102"/>
        <v>2.0913926952458512E-6</v>
      </c>
      <c r="X922" s="1">
        <v>44506</v>
      </c>
      <c r="Y922">
        <v>59.188499999999998</v>
      </c>
      <c r="Z922" s="48">
        <f t="shared" si="100"/>
        <v>2.5367177024540721E-2</v>
      </c>
      <c r="AA922" s="5">
        <f>Z922-Y1274</f>
        <v>2.1149857555266587E-2</v>
      </c>
      <c r="AD922" s="1">
        <v>44506</v>
      </c>
      <c r="AE922">
        <v>154.16</v>
      </c>
      <c r="AF922" s="29">
        <f t="shared" si="101"/>
        <v>-2.9402505823836855E-2</v>
      </c>
    </row>
    <row r="923" spans="1:32">
      <c r="A923" s="220">
        <v>44383</v>
      </c>
      <c r="B923" s="222">
        <v>50.76</v>
      </c>
      <c r="C923" s="227">
        <f t="shared" si="97"/>
        <v>1.7642341619887647E-2</v>
      </c>
      <c r="D923" s="5">
        <f>C923-C1275</f>
        <v>1.7564296050328759E-2</v>
      </c>
      <c r="F923" s="8"/>
      <c r="H923" s="1">
        <v>44414</v>
      </c>
      <c r="I923">
        <v>56.74</v>
      </c>
      <c r="J923" s="227">
        <f t="shared" si="98"/>
        <v>2.4557602022390768E-2</v>
      </c>
      <c r="K923" s="5">
        <f>J923-J1276</f>
        <v>2.242164610678081E-2</v>
      </c>
      <c r="M923" s="241">
        <v>44475</v>
      </c>
      <c r="N923">
        <v>4239.18</v>
      </c>
      <c r="O923" s="227">
        <f t="shared" si="99"/>
        <v>-1.9447008080160089E-3</v>
      </c>
      <c r="P923" s="5">
        <f>O923-O1278</f>
        <v>-1.5789436071028374E-3</v>
      </c>
      <c r="Q923" s="8">
        <f t="shared" si="102"/>
        <v>2.4930629144109192E-6</v>
      </c>
      <c r="X923" s="1">
        <v>44475</v>
      </c>
      <c r="Y923">
        <v>58.724299999999999</v>
      </c>
      <c r="Z923" s="48">
        <f t="shared" si="100"/>
        <v>-7.842739721398595E-3</v>
      </c>
      <c r="AA923" s="5">
        <f>Z923-Y1274</f>
        <v>-1.2060059190672729E-2</v>
      </c>
      <c r="AD923" s="1">
        <v>44475</v>
      </c>
      <c r="AE923">
        <v>144.85</v>
      </c>
      <c r="AF923" s="29">
        <f t="shared" si="101"/>
        <v>-6.0391800726517952E-2</v>
      </c>
    </row>
    <row r="924" spans="1:32">
      <c r="A924" s="220">
        <v>44292</v>
      </c>
      <c r="B924" s="222">
        <v>50.18</v>
      </c>
      <c r="C924" s="227">
        <f t="shared" si="97"/>
        <v>-1.1426319936958196E-2</v>
      </c>
      <c r="D924" s="5">
        <f>C924-C1275</f>
        <v>-1.1504365506517084E-2</v>
      </c>
      <c r="F924" s="8"/>
      <c r="H924" s="1">
        <v>44383</v>
      </c>
      <c r="I924">
        <v>58.56</v>
      </c>
      <c r="J924" s="227">
        <f t="shared" si="98"/>
        <v>3.2076136764187524E-2</v>
      </c>
      <c r="K924" s="5">
        <f>J924-J1276</f>
        <v>2.9940180848577566E-2</v>
      </c>
      <c r="M924" s="241">
        <v>44445</v>
      </c>
      <c r="N924">
        <v>4219.55</v>
      </c>
      <c r="O924" s="227">
        <f t="shared" si="99"/>
        <v>-4.6306125241202256E-3</v>
      </c>
      <c r="P924" s="5">
        <f>O924-O1278</f>
        <v>-4.2648553232070537E-3</v>
      </c>
      <c r="Q924" s="8">
        <f t="shared" si="102"/>
        <v>1.8188990927887542E-5</v>
      </c>
      <c r="X924" s="1">
        <v>44445</v>
      </c>
      <c r="Y924">
        <v>59.9495</v>
      </c>
      <c r="Z924" s="48">
        <f t="shared" si="100"/>
        <v>2.0863594798064877E-2</v>
      </c>
      <c r="AA924" s="5">
        <f>Z924-Y1274</f>
        <v>1.6646275328790743E-2</v>
      </c>
      <c r="AD924" s="1">
        <v>44445</v>
      </c>
      <c r="AE924">
        <v>136.97999999999999</v>
      </c>
      <c r="AF924" s="29">
        <f t="shared" si="101"/>
        <v>-5.4332067656196137E-2</v>
      </c>
    </row>
    <row r="925" spans="1:32">
      <c r="A925" s="220">
        <v>44261</v>
      </c>
      <c r="B925" s="222">
        <v>48.7</v>
      </c>
      <c r="C925" s="227">
        <f t="shared" si="97"/>
        <v>-2.9493822239936129E-2</v>
      </c>
      <c r="D925" s="5">
        <f>C925-C1275</f>
        <v>-2.9571867809495018E-2</v>
      </c>
      <c r="F925" s="8"/>
      <c r="H925" s="1">
        <v>44292</v>
      </c>
      <c r="I925">
        <v>57.4</v>
      </c>
      <c r="J925" s="227">
        <f t="shared" si="98"/>
        <v>-1.9808743169398957E-2</v>
      </c>
      <c r="K925" s="5">
        <f>J925-J1276</f>
        <v>-2.1944699085008915E-2</v>
      </c>
      <c r="M925" s="241">
        <v>44414</v>
      </c>
      <c r="N925">
        <v>4227.26</v>
      </c>
      <c r="O925" s="227">
        <f t="shared" si="99"/>
        <v>1.8272090625777171E-3</v>
      </c>
      <c r="P925" s="5">
        <f>O925-O1278</f>
        <v>2.1929662634908886E-3</v>
      </c>
      <c r="Q925" s="8">
        <f t="shared" si="102"/>
        <v>4.809101032809189E-6</v>
      </c>
      <c r="X925" s="1">
        <v>44414</v>
      </c>
      <c r="Y925">
        <v>60.299500000000002</v>
      </c>
      <c r="Z925" s="48">
        <f t="shared" si="100"/>
        <v>5.8382471913860368E-3</v>
      </c>
      <c r="AA925" s="5">
        <f>Z925-Y1274</f>
        <v>1.6209277221119027E-3</v>
      </c>
      <c r="AD925" s="1">
        <v>44414</v>
      </c>
      <c r="AE925">
        <v>136.76</v>
      </c>
      <c r="AF925" s="29">
        <f t="shared" si="101"/>
        <v>-1.6060738793984841E-3</v>
      </c>
    </row>
    <row r="926" spans="1:32">
      <c r="A926" s="220">
        <v>44233</v>
      </c>
      <c r="B926" s="222">
        <v>50.79</v>
      </c>
      <c r="C926" s="227">
        <f t="shared" si="97"/>
        <v>4.2915811088295674E-2</v>
      </c>
      <c r="D926" s="5">
        <f>C926-C1275</f>
        <v>4.2837765518736783E-2</v>
      </c>
      <c r="F926" s="8"/>
      <c r="H926" s="1">
        <v>44261</v>
      </c>
      <c r="I926">
        <v>56.32</v>
      </c>
      <c r="J926" s="227">
        <f t="shared" si="98"/>
        <v>-1.8815331010452963E-2</v>
      </c>
      <c r="K926" s="5">
        <f>J926-J1276</f>
        <v>-2.095128692606292E-2</v>
      </c>
      <c r="M926" s="241">
        <v>44383</v>
      </c>
      <c r="N926">
        <v>4226.5200000000004</v>
      </c>
      <c r="O926" s="227">
        <f t="shared" si="99"/>
        <v>-1.7505429048603194E-4</v>
      </c>
      <c r="P926" s="5">
        <f>O926-O1278</f>
        <v>1.9070291042713961E-4</v>
      </c>
      <c r="Q926" s="8">
        <f t="shared" si="102"/>
        <v>3.6367600045381633E-8</v>
      </c>
      <c r="X926" s="1">
        <v>44383</v>
      </c>
      <c r="Y926">
        <v>60.153300000000002</v>
      </c>
      <c r="Z926" s="48">
        <f t="shared" si="100"/>
        <v>-2.4245640511115774E-3</v>
      </c>
      <c r="AA926" s="5">
        <f>Z926-Y1274</f>
        <v>-6.6418835203857114E-3</v>
      </c>
      <c r="AD926" s="1">
        <v>44383</v>
      </c>
      <c r="AE926">
        <v>142.5</v>
      </c>
      <c r="AF926" s="29">
        <f t="shared" si="101"/>
        <v>4.1971336648142898E-2</v>
      </c>
    </row>
    <row r="927" spans="1:32">
      <c r="A927" s="220">
        <v>44202</v>
      </c>
      <c r="B927" s="222">
        <v>50.98</v>
      </c>
      <c r="C927" s="227">
        <f t="shared" si="97"/>
        <v>3.7408938767473643E-3</v>
      </c>
      <c r="D927" s="5">
        <f>C927-C1275</f>
        <v>3.662848307188475E-3</v>
      </c>
      <c r="F927" s="8"/>
      <c r="H927" s="1">
        <v>44233</v>
      </c>
      <c r="I927">
        <v>58.46</v>
      </c>
      <c r="J927" s="227">
        <f t="shared" si="98"/>
        <v>3.7997159090909172E-2</v>
      </c>
      <c r="K927" s="5">
        <f>J927-J1276</f>
        <v>3.5861203175299214E-2</v>
      </c>
      <c r="M927" s="241">
        <v>44292</v>
      </c>
      <c r="N927">
        <v>4229.8900000000003</v>
      </c>
      <c r="O927" s="227">
        <f t="shared" si="99"/>
        <v>7.9734628015470932E-4</v>
      </c>
      <c r="P927" s="5">
        <f>O927-O1278</f>
        <v>1.1631034810678808E-3</v>
      </c>
      <c r="Q927" s="8">
        <f t="shared" si="102"/>
        <v>1.3528097076722222E-6</v>
      </c>
      <c r="X927" s="1">
        <v>44292</v>
      </c>
      <c r="Y927">
        <v>60.682699999999997</v>
      </c>
      <c r="Z927" s="48">
        <f t="shared" si="100"/>
        <v>8.8008471688170165E-3</v>
      </c>
      <c r="AA927" s="5">
        <f>Z927-Y1274</f>
        <v>4.5835276995428824E-3</v>
      </c>
      <c r="AD927" s="1">
        <v>44292</v>
      </c>
      <c r="AE927">
        <v>143.80000000000001</v>
      </c>
      <c r="AF927" s="29">
        <f t="shared" si="101"/>
        <v>9.1228070175439768E-3</v>
      </c>
    </row>
    <row r="928" spans="1:32">
      <c r="A928" s="3" t="s">
        <v>850</v>
      </c>
      <c r="B928" s="222">
        <v>50.83</v>
      </c>
      <c r="C928" s="227">
        <f t="shared" si="97"/>
        <v>-2.942330325617859E-3</v>
      </c>
      <c r="D928" s="5">
        <f>C928-C1275</f>
        <v>-3.0203758951767483E-3</v>
      </c>
      <c r="F928" s="8"/>
      <c r="H928" s="1">
        <v>44202</v>
      </c>
      <c r="I928">
        <v>58.76</v>
      </c>
      <c r="J928" s="227">
        <f t="shared" si="98"/>
        <v>5.1317139924733635E-3</v>
      </c>
      <c r="K928" s="5">
        <f>J928-J1276</f>
        <v>2.9957580768634057E-3</v>
      </c>
      <c r="M928" s="241">
        <v>44261</v>
      </c>
      <c r="N928">
        <v>4192.8500000000004</v>
      </c>
      <c r="O928" s="227">
        <f t="shared" si="99"/>
        <v>-8.7567288983874114E-3</v>
      </c>
      <c r="P928" s="5">
        <f>O928-O1278</f>
        <v>-8.3909716974742404E-3</v>
      </c>
      <c r="Q928" s="8">
        <f t="shared" si="102"/>
        <v>7.0408406027813741E-5</v>
      </c>
      <c r="X928" s="1">
        <v>44261</v>
      </c>
      <c r="Y928">
        <v>60.769100000000002</v>
      </c>
      <c r="Z928" s="48">
        <f t="shared" si="100"/>
        <v>1.4237995342989418E-3</v>
      </c>
      <c r="AA928" s="5">
        <f>Z928-Y1274</f>
        <v>-2.7935199349751923E-3</v>
      </c>
      <c r="AD928" s="1">
        <v>44261</v>
      </c>
      <c r="AE928">
        <v>139.11000000000001</v>
      </c>
      <c r="AF928" s="29">
        <f t="shared" si="101"/>
        <v>-3.2614742698191868E-2</v>
      </c>
    </row>
    <row r="929" spans="1:32">
      <c r="A929" s="3" t="s">
        <v>851</v>
      </c>
      <c r="B929" s="222">
        <v>50.71</v>
      </c>
      <c r="C929" s="227">
        <f t="shared" si="97"/>
        <v>-2.3608105449537398E-3</v>
      </c>
      <c r="D929" s="5">
        <f>C929-C1275</f>
        <v>-2.4388561145126291E-3</v>
      </c>
      <c r="E929" s="1"/>
      <c r="F929" s="8"/>
      <c r="H929" t="s">
        <v>850</v>
      </c>
      <c r="I929">
        <v>57.09</v>
      </c>
      <c r="J929" s="227">
        <f t="shared" si="98"/>
        <v>-2.8420694349897802E-2</v>
      </c>
      <c r="K929" s="5">
        <f>J929-J1276</f>
        <v>-3.0556650265507759E-2</v>
      </c>
      <c r="M929" s="241">
        <v>44233</v>
      </c>
      <c r="N929">
        <v>4208.12</v>
      </c>
      <c r="O929" s="227">
        <f t="shared" si="99"/>
        <v>3.6419142110972746E-3</v>
      </c>
      <c r="P929" s="5">
        <f>O929-O1278</f>
        <v>4.0076714120104466E-3</v>
      </c>
      <c r="Q929" s="8">
        <f t="shared" si="102"/>
        <v>1.6061430146645805E-5</v>
      </c>
      <c r="X929" s="1">
        <v>44233</v>
      </c>
      <c r="Y929">
        <v>61.007100000000001</v>
      </c>
      <c r="Z929" s="48">
        <f t="shared" si="100"/>
        <v>3.9164641240367892E-3</v>
      </c>
      <c r="AA929" s="5">
        <f>Z929-Y1274</f>
        <v>-3.0085534523734483E-4</v>
      </c>
      <c r="AD929" s="1">
        <v>44233</v>
      </c>
      <c r="AE929">
        <v>149.83000000000001</v>
      </c>
      <c r="AF929" s="29">
        <f t="shared" si="101"/>
        <v>7.7061318381137278E-2</v>
      </c>
    </row>
    <row r="930" spans="1:32">
      <c r="A930" s="3" t="s">
        <v>852</v>
      </c>
      <c r="B930" s="222">
        <v>51.12</v>
      </c>
      <c r="C930" s="227">
        <f t="shared" si="97"/>
        <v>8.0851902977716605E-3</v>
      </c>
      <c r="D930" s="5">
        <f>C930-C1275</f>
        <v>8.0071447282127721E-3</v>
      </c>
      <c r="E930" s="1"/>
      <c r="F930" s="8"/>
      <c r="H930" t="s">
        <v>851</v>
      </c>
      <c r="I930">
        <v>55.49</v>
      </c>
      <c r="J930" s="227">
        <f t="shared" si="98"/>
        <v>-2.8025923979681178E-2</v>
      </c>
      <c r="K930" s="5">
        <f>J930-J1276</f>
        <v>-3.0161879895291135E-2</v>
      </c>
      <c r="M930" s="241">
        <v>44202</v>
      </c>
      <c r="N930">
        <v>4202.04</v>
      </c>
      <c r="O930" s="227">
        <f t="shared" si="99"/>
        <v>-1.4448257178977242E-3</v>
      </c>
      <c r="P930" s="5">
        <f>O930-O1278</f>
        <v>-1.0790685169845527E-3</v>
      </c>
      <c r="Q930" s="8">
        <f t="shared" si="102"/>
        <v>1.1643888643472419E-6</v>
      </c>
      <c r="X930" s="1">
        <v>44202</v>
      </c>
      <c r="Y930">
        <v>61.442500000000003</v>
      </c>
      <c r="Z930" s="48">
        <f t="shared" si="100"/>
        <v>7.1368742326713974E-3</v>
      </c>
      <c r="AA930" s="5">
        <f>Z930-Y1274</f>
        <v>2.9195547633972634E-3</v>
      </c>
      <c r="AD930" s="1">
        <v>44202</v>
      </c>
      <c r="AE930">
        <v>149.27000000000001</v>
      </c>
      <c r="AF930" s="29">
        <f t="shared" si="101"/>
        <v>-3.7375692451444564E-3</v>
      </c>
    </row>
    <row r="931" spans="1:32">
      <c r="A931" s="3" t="s">
        <v>853</v>
      </c>
      <c r="B931" s="222">
        <v>50.46</v>
      </c>
      <c r="C931" s="227">
        <f t="shared" si="97"/>
        <v>-1.2910798122065636E-2</v>
      </c>
      <c r="D931" s="5">
        <f>C931-C1275</f>
        <v>-1.2988843691624525E-2</v>
      </c>
      <c r="E931" s="1"/>
      <c r="F931" s="8"/>
      <c r="H931" t="s">
        <v>852</v>
      </c>
      <c r="I931">
        <v>54.92</v>
      </c>
      <c r="J931" s="227">
        <f t="shared" si="98"/>
        <v>-1.0272121102901433E-2</v>
      </c>
      <c r="K931" s="5">
        <f>J931-J1276</f>
        <v>-1.240807701851139E-2</v>
      </c>
      <c r="M931" s="240" t="s">
        <v>850</v>
      </c>
      <c r="N931">
        <v>4204.1099999999997</v>
      </c>
      <c r="O931" s="227">
        <f t="shared" si="99"/>
        <v>4.9261787131960055E-4</v>
      </c>
      <c r="P931" s="5">
        <f>O931-O1278</f>
        <v>8.5837507223277204E-4</v>
      </c>
      <c r="Q931" s="8">
        <f t="shared" si="102"/>
        <v>7.3680776463061664E-7</v>
      </c>
      <c r="X931" t="s">
        <v>850</v>
      </c>
      <c r="Y931">
        <v>61.371000000000002</v>
      </c>
      <c r="Z931" s="48">
        <f t="shared" si="100"/>
        <v>-1.1636896285144305E-3</v>
      </c>
      <c r="AA931" s="5">
        <f>Z931-Y1274</f>
        <v>-5.3810090977885645E-3</v>
      </c>
      <c r="AD931" t="s">
        <v>850</v>
      </c>
      <c r="AE931">
        <v>150.28</v>
      </c>
      <c r="AF931" s="29">
        <f t="shared" si="101"/>
        <v>6.7662624773898727E-3</v>
      </c>
    </row>
    <row r="932" spans="1:32">
      <c r="A932" s="3" t="s">
        <v>854</v>
      </c>
      <c r="B932" s="222">
        <v>50.03</v>
      </c>
      <c r="C932" s="227">
        <f t="shared" si="97"/>
        <v>-8.5216012683313469E-3</v>
      </c>
      <c r="D932" s="5">
        <f>C932-C1275</f>
        <v>-8.5996468378902353E-3</v>
      </c>
      <c r="E932" s="1"/>
      <c r="F932" s="8"/>
      <c r="H932" t="s">
        <v>853</v>
      </c>
      <c r="I932">
        <v>52.76</v>
      </c>
      <c r="J932" s="227">
        <f t="shared" si="98"/>
        <v>-3.932993445010935E-2</v>
      </c>
      <c r="K932" s="5">
        <f>J932-J1276</f>
        <v>-4.1465890365719307E-2</v>
      </c>
      <c r="M932" s="240" t="s">
        <v>851</v>
      </c>
      <c r="N932">
        <v>4200.88</v>
      </c>
      <c r="O932" s="227">
        <f t="shared" si="99"/>
        <v>-7.6829578674186827E-4</v>
      </c>
      <c r="P932" s="5">
        <f>O932-O1278</f>
        <v>-4.0253858582869672E-4</v>
      </c>
      <c r="Q932" s="8">
        <f t="shared" si="102"/>
        <v>1.6203731308096704E-7</v>
      </c>
      <c r="X932" t="s">
        <v>851</v>
      </c>
      <c r="Y932">
        <v>60.490499999999997</v>
      </c>
      <c r="Z932" s="48">
        <f t="shared" si="100"/>
        <v>-1.4347167228821456E-2</v>
      </c>
      <c r="AA932" s="5">
        <f>Z932-Y1274</f>
        <v>-1.856448669809559E-2</v>
      </c>
      <c r="AD932" t="s">
        <v>851</v>
      </c>
      <c r="AE932">
        <v>152.82</v>
      </c>
      <c r="AF932" s="29">
        <f t="shared" si="101"/>
        <v>1.6901783337769372E-2</v>
      </c>
    </row>
    <row r="933" spans="1:32">
      <c r="A933" s="3" t="s">
        <v>855</v>
      </c>
      <c r="B933" s="222">
        <v>48.82</v>
      </c>
      <c r="C933" s="227">
        <f t="shared" si="97"/>
        <v>-2.4185488706775948E-2</v>
      </c>
      <c r="D933" s="5">
        <f>C933-C1275</f>
        <v>-2.4263534276334837E-2</v>
      </c>
      <c r="E933" s="1"/>
      <c r="F933" s="8"/>
      <c r="H933" t="s">
        <v>854</v>
      </c>
      <c r="I933">
        <v>53.31</v>
      </c>
      <c r="J933" s="227">
        <f t="shared" si="98"/>
        <v>1.0424564063684638E-2</v>
      </c>
      <c r="K933" s="5">
        <f>J933-J1276</f>
        <v>8.2886081480746804E-3</v>
      </c>
      <c r="M933" s="240" t="s">
        <v>852</v>
      </c>
      <c r="N933">
        <v>4195.99</v>
      </c>
      <c r="O933" s="227">
        <f t="shared" si="99"/>
        <v>-1.1640418198092251E-3</v>
      </c>
      <c r="P933" s="5">
        <f>O933-O1278</f>
        <v>-7.9828461889605356E-4</v>
      </c>
      <c r="Q933" s="8">
        <f t="shared" si="102"/>
        <v>6.3725833276601749E-7</v>
      </c>
      <c r="X933" t="s">
        <v>852</v>
      </c>
      <c r="Y933">
        <v>61.3123</v>
      </c>
      <c r="Z933" s="48">
        <f t="shared" si="100"/>
        <v>1.3585604351096459E-2</v>
      </c>
      <c r="AA933" s="5">
        <f>Z933-Y1274</f>
        <v>9.3682848818223245E-3</v>
      </c>
      <c r="AD933" t="s">
        <v>852</v>
      </c>
      <c r="AE933">
        <v>141.86000000000001</v>
      </c>
      <c r="AF933" s="29">
        <f t="shared" si="101"/>
        <v>-7.1718361471011516E-2</v>
      </c>
    </row>
    <row r="934" spans="1:32">
      <c r="A934" s="3" t="s">
        <v>856</v>
      </c>
      <c r="B934" s="222">
        <v>49.33</v>
      </c>
      <c r="C934" s="227">
        <f t="shared" si="97"/>
        <v>1.0446538303973796E-2</v>
      </c>
      <c r="D934" s="5">
        <f>C934-C1275</f>
        <v>1.0368492734414907E-2</v>
      </c>
      <c r="E934" s="1"/>
      <c r="F934" s="8"/>
      <c r="H934" t="s">
        <v>855</v>
      </c>
      <c r="I934">
        <v>52.32</v>
      </c>
      <c r="J934" s="227">
        <f t="shared" si="98"/>
        <v>-1.8570624648283629E-2</v>
      </c>
      <c r="K934" s="5">
        <f>J934-J1276</f>
        <v>-2.0706580563893587E-2</v>
      </c>
      <c r="M934" s="240" t="s">
        <v>853</v>
      </c>
      <c r="N934">
        <v>4188.13</v>
      </c>
      <c r="O934" s="227">
        <f t="shared" si="99"/>
        <v>-1.8732170477050447E-3</v>
      </c>
      <c r="P934" s="5">
        <f>O934-O1278</f>
        <v>-1.5074598467918732E-3</v>
      </c>
      <c r="Q934" s="8">
        <f t="shared" si="102"/>
        <v>2.272435189689778E-6</v>
      </c>
      <c r="X934" t="s">
        <v>853</v>
      </c>
      <c r="Y934">
        <v>60.893999999999998</v>
      </c>
      <c r="Z934" s="48">
        <f t="shared" si="100"/>
        <v>-6.8224483504941702E-3</v>
      </c>
      <c r="AA934" s="5">
        <f>Z934-Y1274</f>
        <v>-1.1039767819768304E-2</v>
      </c>
      <c r="AD934" t="s">
        <v>853</v>
      </c>
      <c r="AE934">
        <v>136.27000000000001</v>
      </c>
      <c r="AF934" s="29">
        <f t="shared" si="101"/>
        <v>-3.9405047229663093E-2</v>
      </c>
    </row>
    <row r="935" spans="1:32">
      <c r="A935" s="3" t="s">
        <v>857</v>
      </c>
      <c r="B935" s="222">
        <v>49.47</v>
      </c>
      <c r="C935" s="227">
        <f t="shared" si="97"/>
        <v>2.8380295965944047E-3</v>
      </c>
      <c r="D935" s="5">
        <f>C935-C1275</f>
        <v>2.7599840270355154E-3</v>
      </c>
      <c r="E935" s="1"/>
      <c r="F935" s="8"/>
      <c r="H935" t="s">
        <v>856</v>
      </c>
      <c r="I935">
        <v>51.96</v>
      </c>
      <c r="J935" s="227">
        <f t="shared" si="98"/>
        <v>-6.8807339449541427E-3</v>
      </c>
      <c r="K935" s="5">
        <f>J935-J1276</f>
        <v>-9.0166898605641005E-3</v>
      </c>
      <c r="M935" s="240" t="s">
        <v>854</v>
      </c>
      <c r="N935">
        <v>4197.05</v>
      </c>
      <c r="O935" s="227">
        <f t="shared" si="99"/>
        <v>2.1298288257527442E-3</v>
      </c>
      <c r="P935" s="5">
        <f>O935-O1278</f>
        <v>2.4955860266659157E-3</v>
      </c>
      <c r="Q935" s="8">
        <f t="shared" si="102"/>
        <v>6.2279496164901726E-6</v>
      </c>
      <c r="X935" t="s">
        <v>854</v>
      </c>
      <c r="Y935">
        <v>61.700800000000001</v>
      </c>
      <c r="Z935" s="48">
        <f t="shared" si="100"/>
        <v>1.3249252799947486E-2</v>
      </c>
      <c r="AA935" s="5">
        <f>Z935-Y1274</f>
        <v>9.0319333306733522E-3</v>
      </c>
      <c r="AD935" t="s">
        <v>854</v>
      </c>
      <c r="AE935">
        <v>140.46</v>
      </c>
      <c r="AF935" s="29">
        <f t="shared" si="101"/>
        <v>3.0747780142364345E-2</v>
      </c>
    </row>
    <row r="936" spans="1:32">
      <c r="A936" s="3" t="s">
        <v>858</v>
      </c>
      <c r="B936" s="222">
        <v>49.17</v>
      </c>
      <c r="C936" s="227">
        <f t="shared" si="97"/>
        <v>-6.0642813826561337E-3</v>
      </c>
      <c r="D936" s="5">
        <f>C936-C1275</f>
        <v>-6.142326952215023E-3</v>
      </c>
      <c r="E936" s="1"/>
      <c r="F936" s="8"/>
      <c r="H936" t="s">
        <v>857</v>
      </c>
      <c r="I936">
        <v>52.21</v>
      </c>
      <c r="J936" s="227">
        <f t="shared" si="98"/>
        <v>4.8113933795226327E-3</v>
      </c>
      <c r="K936" s="5">
        <f>J936-J1276</f>
        <v>2.6754374639126749E-3</v>
      </c>
      <c r="M936" s="240" t="s">
        <v>855</v>
      </c>
      <c r="N936">
        <v>4155.8599999999997</v>
      </c>
      <c r="O936" s="227">
        <f t="shared" si="99"/>
        <v>-9.8140360491298928E-3</v>
      </c>
      <c r="P936" s="5">
        <f>O936-O1278</f>
        <v>-9.4482788482167217E-3</v>
      </c>
      <c r="Q936" s="8">
        <f t="shared" si="102"/>
        <v>8.9269973193659505E-5</v>
      </c>
      <c r="X936" t="s">
        <v>855</v>
      </c>
      <c r="Y936">
        <v>61.821399999999997</v>
      </c>
      <c r="Z936" s="48">
        <f t="shared" si="100"/>
        <v>1.9545937816041192E-3</v>
      </c>
      <c r="AA936" s="5">
        <f>Z936-Y1274</f>
        <v>-2.2627256876700148E-3</v>
      </c>
      <c r="AD936" t="s">
        <v>855</v>
      </c>
      <c r="AE936">
        <v>137.57</v>
      </c>
      <c r="AF936" s="29">
        <f t="shared" si="101"/>
        <v>-2.0575252740994032E-2</v>
      </c>
    </row>
    <row r="937" spans="1:32">
      <c r="A937" s="3" t="s">
        <v>859</v>
      </c>
      <c r="B937" s="222">
        <v>47.51</v>
      </c>
      <c r="C937" s="227">
        <f t="shared" si="97"/>
        <v>-3.3760423022168085E-2</v>
      </c>
      <c r="D937" s="5">
        <f>C937-C1275</f>
        <v>-3.3838468591726976E-2</v>
      </c>
      <c r="F937" s="8"/>
      <c r="H937" t="s">
        <v>858</v>
      </c>
      <c r="I937">
        <v>51.51</v>
      </c>
      <c r="J937" s="227">
        <f t="shared" si="98"/>
        <v>-1.3407393219689756E-2</v>
      </c>
      <c r="K937" s="5">
        <f>J937-J1276</f>
        <v>-1.5543349135299714E-2</v>
      </c>
      <c r="M937" s="240" t="s">
        <v>856</v>
      </c>
      <c r="N937">
        <v>4159.12</v>
      </c>
      <c r="O937" s="227">
        <f t="shared" si="99"/>
        <v>7.8443450934351233E-4</v>
      </c>
      <c r="P937" s="5">
        <f>O937-O1278</f>
        <v>1.1501917102566838E-3</v>
      </c>
      <c r="Q937" s="8">
        <f t="shared" si="102"/>
        <v>1.3229409703431953E-6</v>
      </c>
      <c r="X937" t="s">
        <v>856</v>
      </c>
      <c r="Y937">
        <v>61.624000000000002</v>
      </c>
      <c r="Z937" s="48">
        <f t="shared" si="100"/>
        <v>-3.1930690666984729E-3</v>
      </c>
      <c r="AA937" s="5">
        <f>Z937-Y1274</f>
        <v>-7.410388535972607E-3</v>
      </c>
      <c r="AD937" t="s">
        <v>856</v>
      </c>
      <c r="AE937">
        <v>137</v>
      </c>
      <c r="AF937" s="29">
        <f t="shared" si="101"/>
        <v>-4.1433452060768428E-3</v>
      </c>
    </row>
    <row r="938" spans="1:32">
      <c r="A938" s="3" t="s">
        <v>860</v>
      </c>
      <c r="B938" s="222">
        <v>47.42</v>
      </c>
      <c r="C938" s="227">
        <f t="shared" si="97"/>
        <v>-1.8943380340979976E-3</v>
      </c>
      <c r="D938" s="5">
        <f>C938-C1275</f>
        <v>-1.9723836036568869E-3</v>
      </c>
      <c r="F938" s="8"/>
      <c r="H938" t="s">
        <v>859</v>
      </c>
      <c r="I938">
        <v>49.71</v>
      </c>
      <c r="J938" s="227">
        <f t="shared" si="98"/>
        <v>-3.4944670937681943E-2</v>
      </c>
      <c r="K938" s="5">
        <f>J938-J1276</f>
        <v>-3.7080626853291901E-2</v>
      </c>
      <c r="M938" s="240" t="s">
        <v>857</v>
      </c>
      <c r="N938">
        <v>4115.68</v>
      </c>
      <c r="O938" s="227">
        <f t="shared" si="99"/>
        <v>-1.0444517109388429E-2</v>
      </c>
      <c r="P938" s="5">
        <f>O938-O1278</f>
        <v>-1.0078759908475258E-2</v>
      </c>
      <c r="Q938" s="8">
        <f t="shared" si="102"/>
        <v>1.015814012926882E-4</v>
      </c>
      <c r="X938" t="s">
        <v>857</v>
      </c>
      <c r="Y938">
        <v>60.559899999999999</v>
      </c>
      <c r="Z938" s="48">
        <f t="shared" si="100"/>
        <v>-1.7267623004024513E-2</v>
      </c>
      <c r="AA938" s="5">
        <f>Z938-Y1274</f>
        <v>-2.1484942473298647E-2</v>
      </c>
      <c r="AD938" t="s">
        <v>857</v>
      </c>
      <c r="AE938">
        <v>140.19999999999999</v>
      </c>
      <c r="AF938" s="29">
        <f t="shared" si="101"/>
        <v>2.3357664233576658E-2</v>
      </c>
    </row>
    <row r="939" spans="1:32">
      <c r="A939" s="3" t="s">
        <v>861</v>
      </c>
      <c r="B939" s="222">
        <v>44.48</v>
      </c>
      <c r="C939" s="227">
        <f t="shared" si="97"/>
        <v>-6.1999156474061623E-2</v>
      </c>
      <c r="D939" s="5">
        <f>C939-C1275</f>
        <v>-6.2077202043620515E-2</v>
      </c>
      <c r="F939" s="8"/>
      <c r="H939" t="s">
        <v>860</v>
      </c>
      <c r="I939">
        <v>49.65</v>
      </c>
      <c r="J939" s="227">
        <f t="shared" si="98"/>
        <v>-1.2070006035003189E-3</v>
      </c>
      <c r="K939" s="5">
        <f>J939-J1276</f>
        <v>-3.3429565191102767E-3</v>
      </c>
      <c r="M939" s="240" t="s">
        <v>858</v>
      </c>
      <c r="N939">
        <v>4127.83</v>
      </c>
      <c r="O939" s="227">
        <f t="shared" si="99"/>
        <v>2.9521245577885935E-3</v>
      </c>
      <c r="P939" s="5">
        <f>O939-O1278</f>
        <v>3.317881758701765E-3</v>
      </c>
      <c r="Q939" s="8">
        <f t="shared" si="102"/>
        <v>1.1008339364725917E-5</v>
      </c>
      <c r="X939" t="s">
        <v>858</v>
      </c>
      <c r="Y939">
        <v>65.583500000000001</v>
      </c>
      <c r="Z939" s="48">
        <f t="shared" si="100"/>
        <v>8.295258083319168E-2</v>
      </c>
      <c r="AA939" s="5">
        <f>Z939-Y1274</f>
        <v>7.873526136391755E-2</v>
      </c>
      <c r="AD939" t="s">
        <v>858</v>
      </c>
      <c r="AE939">
        <v>138.56</v>
      </c>
      <c r="AF939" s="29">
        <f t="shared" si="101"/>
        <v>-1.1697574893009932E-2</v>
      </c>
    </row>
    <row r="940" spans="1:32">
      <c r="A940" s="220">
        <v>44535</v>
      </c>
      <c r="B940" s="222">
        <v>43.81</v>
      </c>
      <c r="C940" s="227">
        <f t="shared" si="97"/>
        <v>-1.5062949640287648E-2</v>
      </c>
      <c r="D940" s="5">
        <f>C940-C1275</f>
        <v>-1.5140995209846537E-2</v>
      </c>
      <c r="F940" s="8"/>
      <c r="H940" t="s">
        <v>861</v>
      </c>
      <c r="I940">
        <v>46.02</v>
      </c>
      <c r="J940" s="227">
        <f t="shared" si="98"/>
        <v>-7.3111782477341292E-2</v>
      </c>
      <c r="K940" s="5">
        <f>J940-J1276</f>
        <v>-7.5247738392951249E-2</v>
      </c>
      <c r="M940" s="240" t="s">
        <v>859</v>
      </c>
      <c r="N940">
        <v>4163.29</v>
      </c>
      <c r="O940" s="227">
        <f t="shared" si="99"/>
        <v>8.5904700532726253E-3</v>
      </c>
      <c r="P940" s="5">
        <f>O940-O1278</f>
        <v>8.9562272541857963E-3</v>
      </c>
      <c r="Q940" s="8">
        <f t="shared" si="102"/>
        <v>8.0214006628620451E-5</v>
      </c>
      <c r="X940" t="s">
        <v>859</v>
      </c>
      <c r="Y940">
        <v>65.991100000000003</v>
      </c>
      <c r="Z940" s="48">
        <f t="shared" si="100"/>
        <v>6.2149778526612298E-3</v>
      </c>
      <c r="AA940" s="5">
        <f>Z940-Y1274</f>
        <v>1.9976583833870958E-3</v>
      </c>
      <c r="AD940" t="s">
        <v>859</v>
      </c>
      <c r="AE940">
        <v>133.79</v>
      </c>
      <c r="AF940" s="29">
        <f t="shared" si="101"/>
        <v>-3.4425519630485013E-2</v>
      </c>
    </row>
    <row r="941" spans="1:32">
      <c r="A941" s="220">
        <v>44505</v>
      </c>
      <c r="B941" s="222">
        <v>46.21</v>
      </c>
      <c r="C941" s="227">
        <f t="shared" si="97"/>
        <v>5.478201323898646E-2</v>
      </c>
      <c r="D941" s="5">
        <f>C941-C1275</f>
        <v>5.4703967669427568E-2</v>
      </c>
      <c r="F941" s="8"/>
      <c r="H941" s="1">
        <v>44535</v>
      </c>
      <c r="I941">
        <v>46.89</v>
      </c>
      <c r="J941" s="227">
        <f t="shared" si="98"/>
        <v>1.8904823989569719E-2</v>
      </c>
      <c r="K941" s="5">
        <f>J941-J1276</f>
        <v>1.6768868073959761E-2</v>
      </c>
      <c r="M941" s="240" t="s">
        <v>860</v>
      </c>
      <c r="N941">
        <v>4173.8500000000004</v>
      </c>
      <c r="O941" s="227">
        <f t="shared" si="99"/>
        <v>2.5364555435725133E-3</v>
      </c>
      <c r="P941" s="5">
        <f>O941-O1278</f>
        <v>2.9022127444856848E-3</v>
      </c>
      <c r="Q941" s="8">
        <f t="shared" si="102"/>
        <v>8.422838814255131E-6</v>
      </c>
      <c r="X941" t="s">
        <v>860</v>
      </c>
      <c r="Y941">
        <v>65.864099999999993</v>
      </c>
      <c r="Z941" s="48">
        <f t="shared" si="100"/>
        <v>-1.9245019404132702E-3</v>
      </c>
      <c r="AA941" s="5">
        <f>Z941-Y1274</f>
        <v>-6.1418214096874042E-3</v>
      </c>
      <c r="AD941" t="s">
        <v>860</v>
      </c>
      <c r="AE941">
        <v>141.07</v>
      </c>
      <c r="AF941" s="29">
        <f t="shared" si="101"/>
        <v>5.44136333059273E-2</v>
      </c>
    </row>
    <row r="942" spans="1:32">
      <c r="A942" s="220">
        <v>44474</v>
      </c>
      <c r="B942" s="222">
        <v>45.79</v>
      </c>
      <c r="C942" s="227">
        <f t="shared" si="97"/>
        <v>-9.0889417874918665E-3</v>
      </c>
      <c r="D942" s="5">
        <f>C942-C1275</f>
        <v>-9.166987357050755E-3</v>
      </c>
      <c r="F942" s="8"/>
      <c r="H942" s="1">
        <v>44505</v>
      </c>
      <c r="I942">
        <v>48.82</v>
      </c>
      <c r="J942" s="227">
        <f t="shared" si="98"/>
        <v>4.1160162081467222E-2</v>
      </c>
      <c r="K942" s="5">
        <f>J942-J1276</f>
        <v>3.9024206165857264E-2</v>
      </c>
      <c r="M942" s="240" t="s">
        <v>861</v>
      </c>
      <c r="N942">
        <v>4112.5</v>
      </c>
      <c r="O942" s="227">
        <f t="shared" si="99"/>
        <v>-1.4698659511003132E-2</v>
      </c>
      <c r="P942" s="5">
        <f>O942-O1278</f>
        <v>-1.433290231008996E-2</v>
      </c>
      <c r="Q942" s="8">
        <f t="shared" si="102"/>
        <v>2.0543208863058212E-4</v>
      </c>
      <c r="X942" t="s">
        <v>861</v>
      </c>
      <c r="Y942">
        <v>65.329499999999996</v>
      </c>
      <c r="Z942" s="48">
        <f t="shared" si="100"/>
        <v>-8.1167130500530149E-3</v>
      </c>
      <c r="AA942" s="5">
        <f>Z942-Y1274</f>
        <v>-1.2334032519327149E-2</v>
      </c>
      <c r="AD942" t="s">
        <v>861</v>
      </c>
      <c r="AE942">
        <v>115.49</v>
      </c>
      <c r="AF942" s="29">
        <f t="shared" si="101"/>
        <v>-0.18132841851563053</v>
      </c>
    </row>
    <row r="943" spans="1:32">
      <c r="A943" s="220">
        <v>44382</v>
      </c>
      <c r="B943" s="222">
        <v>47.03</v>
      </c>
      <c r="C943" s="227">
        <f t="shared" si="97"/>
        <v>2.7080148504040169E-2</v>
      </c>
      <c r="D943" s="5">
        <f>C943-C1275</f>
        <v>2.7002102934481281E-2</v>
      </c>
      <c r="F943" s="8"/>
      <c r="H943" s="1">
        <v>44474</v>
      </c>
      <c r="I943">
        <v>49.16</v>
      </c>
      <c r="J943" s="227">
        <f t="shared" si="98"/>
        <v>6.9643588693157898E-3</v>
      </c>
      <c r="K943" s="5">
        <f>J943-J1276</f>
        <v>4.8284029537058321E-3</v>
      </c>
      <c r="M943" s="241">
        <v>44535</v>
      </c>
      <c r="N943">
        <v>4063.04</v>
      </c>
      <c r="O943" s="227">
        <f t="shared" si="99"/>
        <v>-1.2026747720364717E-2</v>
      </c>
      <c r="P943" s="5">
        <f>O943-O1278</f>
        <v>-1.1660990519451546E-2</v>
      </c>
      <c r="Q943" s="8">
        <f t="shared" si="102"/>
        <v>1.3597869989473882E-4</v>
      </c>
      <c r="X943" s="1">
        <v>44535</v>
      </c>
      <c r="Y943">
        <v>63.277099999999997</v>
      </c>
      <c r="Z943" s="48">
        <f t="shared" si="100"/>
        <v>-3.1416129007569293E-2</v>
      </c>
      <c r="AA943" s="5">
        <f>Z943-Y1274</f>
        <v>-3.5633448476843424E-2</v>
      </c>
      <c r="AD943" s="1">
        <v>44535</v>
      </c>
      <c r="AE943">
        <v>112.99</v>
      </c>
      <c r="AF943" s="29">
        <f t="shared" si="101"/>
        <v>-2.1646895835137236E-2</v>
      </c>
    </row>
    <row r="944" spans="1:32">
      <c r="A944" s="220">
        <v>44352</v>
      </c>
      <c r="B944" s="222">
        <v>46.65</v>
      </c>
      <c r="C944" s="227">
        <f t="shared" si="97"/>
        <v>-8.0799489687434223E-3</v>
      </c>
      <c r="D944" s="5">
        <f>C944-C1275</f>
        <v>-8.1579945383023107E-3</v>
      </c>
      <c r="F944" s="8"/>
      <c r="H944" s="1">
        <v>44382</v>
      </c>
      <c r="I944">
        <v>50.07</v>
      </c>
      <c r="J944" s="227">
        <f t="shared" si="98"/>
        <v>1.8510984540276665E-2</v>
      </c>
      <c r="K944" s="5">
        <f>J944-J1276</f>
        <v>1.6375028624666707E-2</v>
      </c>
      <c r="M944" s="241">
        <v>44505</v>
      </c>
      <c r="N944">
        <v>4152.1000000000004</v>
      </c>
      <c r="O944" s="227">
        <f t="shared" si="99"/>
        <v>2.1919547924706739E-2</v>
      </c>
      <c r="P944" s="5">
        <f>O944-O1278</f>
        <v>2.2285305125619912E-2</v>
      </c>
      <c r="Q944" s="8">
        <f t="shared" si="102"/>
        <v>4.9663482454198116E-4</v>
      </c>
      <c r="X944" s="1">
        <v>44505</v>
      </c>
      <c r="Y944">
        <v>66.129900000000006</v>
      </c>
      <c r="Z944" s="48">
        <f t="shared" si="100"/>
        <v>4.5084240586247049E-2</v>
      </c>
      <c r="AA944" s="5">
        <f>Z944-Y1274</f>
        <v>4.0866921116972918E-2</v>
      </c>
      <c r="AD944" s="1">
        <v>44505</v>
      </c>
      <c r="AE944">
        <v>124.54</v>
      </c>
      <c r="AF944" s="29">
        <f t="shared" si="101"/>
        <v>0.10222143552526775</v>
      </c>
    </row>
    <row r="945" spans="1:32">
      <c r="A945" s="220">
        <v>44321</v>
      </c>
      <c r="B945" s="222">
        <v>51.18</v>
      </c>
      <c r="C945" s="227">
        <f t="shared" si="97"/>
        <v>9.7106109324758938E-2</v>
      </c>
      <c r="D945" s="5">
        <f>C945-C1275</f>
        <v>9.7028063755200053E-2</v>
      </c>
      <c r="F945" s="8"/>
      <c r="H945" s="1">
        <v>44352</v>
      </c>
      <c r="I945">
        <v>49.8</v>
      </c>
      <c r="J945" s="227">
        <f t="shared" si="98"/>
        <v>-5.3924505692032332E-3</v>
      </c>
      <c r="K945" s="5">
        <f>J945-J1276</f>
        <v>-7.528406484813191E-3</v>
      </c>
      <c r="M945" s="241">
        <v>44474</v>
      </c>
      <c r="N945">
        <v>4188.43</v>
      </c>
      <c r="O945" s="227">
        <f t="shared" si="99"/>
        <v>8.7497892632644181E-3</v>
      </c>
      <c r="P945" s="5">
        <f>O945-O1278</f>
        <v>9.1155464641775891E-3</v>
      </c>
      <c r="Q945" s="8">
        <f t="shared" si="102"/>
        <v>8.3093187340580547E-5</v>
      </c>
      <c r="X945" s="1">
        <v>44474</v>
      </c>
      <c r="Y945">
        <v>67.450100000000006</v>
      </c>
      <c r="Z945" s="48">
        <f t="shared" si="100"/>
        <v>1.9963738036803402E-2</v>
      </c>
      <c r="AA945" s="5">
        <f>Z945-Y1274</f>
        <v>1.5746418567529268E-2</v>
      </c>
      <c r="AD945" s="1">
        <v>44474</v>
      </c>
      <c r="AE945">
        <v>120.45</v>
      </c>
      <c r="AF945" s="29">
        <f t="shared" si="101"/>
        <v>-3.284085434398587E-2</v>
      </c>
    </row>
    <row r="946" spans="1:32">
      <c r="A946" s="220">
        <v>44291</v>
      </c>
      <c r="B946" s="222">
        <v>52.99</v>
      </c>
      <c r="C946" s="227">
        <f t="shared" si="97"/>
        <v>3.5365377100429862E-2</v>
      </c>
      <c r="D946" s="5">
        <f>C946-C1275</f>
        <v>3.528733153087097E-2</v>
      </c>
      <c r="F946" s="8"/>
      <c r="H946" s="1">
        <v>44321</v>
      </c>
      <c r="I946">
        <v>52.63</v>
      </c>
      <c r="J946" s="227">
        <f t="shared" si="98"/>
        <v>5.6827309236948009E-2</v>
      </c>
      <c r="K946" s="5">
        <f>J946-J1276</f>
        <v>5.4691353321338051E-2</v>
      </c>
      <c r="M946" s="241">
        <v>44382</v>
      </c>
      <c r="N946">
        <v>4232.6000000000004</v>
      </c>
      <c r="O946" s="227">
        <f t="shared" si="99"/>
        <v>1.0545717607790994E-2</v>
      </c>
      <c r="P946" s="5">
        <f>O946-O1278</f>
        <v>1.0911474808704165E-2</v>
      </c>
      <c r="Q946" s="8">
        <f t="shared" si="102"/>
        <v>1.1906028250098561E-4</v>
      </c>
      <c r="X946" s="1">
        <v>44382</v>
      </c>
      <c r="Y946">
        <v>66.213099999999997</v>
      </c>
      <c r="Z946" s="48">
        <f t="shared" si="100"/>
        <v>-1.8339483558957093E-2</v>
      </c>
      <c r="AA946" s="5">
        <f>Z946-Y1274</f>
        <v>-2.2556803028231227E-2</v>
      </c>
      <c r="AD946" s="1">
        <v>44382</v>
      </c>
      <c r="AE946">
        <v>124.89</v>
      </c>
      <c r="AF946" s="29">
        <f t="shared" si="101"/>
        <v>3.6861768368617653E-2</v>
      </c>
    </row>
    <row r="947" spans="1:32">
      <c r="A947" s="220">
        <v>44260</v>
      </c>
      <c r="B947" s="222">
        <v>54.85</v>
      </c>
      <c r="C947" s="227">
        <f t="shared" si="97"/>
        <v>3.5100962445744566E-2</v>
      </c>
      <c r="D947" s="5">
        <f>C947-C1275</f>
        <v>3.5022916876185674E-2</v>
      </c>
      <c r="F947" s="8"/>
      <c r="H947" s="1">
        <v>44291</v>
      </c>
      <c r="I947">
        <v>56.19</v>
      </c>
      <c r="J947" s="227">
        <f t="shared" si="98"/>
        <v>6.7642029260877701E-2</v>
      </c>
      <c r="K947" s="5">
        <f>J947-J1276</f>
        <v>6.5506073345267743E-2</v>
      </c>
      <c r="M947" s="241">
        <v>44352</v>
      </c>
      <c r="N947">
        <v>4201.62</v>
      </c>
      <c r="O947" s="227">
        <f t="shared" si="99"/>
        <v>-7.3193781599962815E-3</v>
      </c>
      <c r="P947" s="5">
        <f>O947-O1278</f>
        <v>-6.9536209590831096E-3</v>
      </c>
      <c r="Q947" s="8">
        <f t="shared" si="102"/>
        <v>4.8352844442599905E-5</v>
      </c>
      <c r="X947" s="1">
        <v>44352</v>
      </c>
      <c r="Y947">
        <v>65.287800000000004</v>
      </c>
      <c r="Z947" s="48">
        <f t="shared" si="100"/>
        <v>-1.3974576028006447E-2</v>
      </c>
      <c r="AA947" s="5">
        <f>Z947-Y1274</f>
        <v>-1.8191895497280581E-2</v>
      </c>
      <c r="AD947" s="1">
        <v>44352</v>
      </c>
      <c r="AE947">
        <v>122.77</v>
      </c>
      <c r="AF947" s="29">
        <f t="shared" si="101"/>
        <v>-1.6974937945391955E-2</v>
      </c>
    </row>
    <row r="948" spans="1:32">
      <c r="A948" s="3" t="s">
        <v>862</v>
      </c>
      <c r="B948" s="222">
        <v>54.77</v>
      </c>
      <c r="C948" s="227">
        <f t="shared" si="97"/>
        <v>-1.4585232452142272E-3</v>
      </c>
      <c r="D948" s="5">
        <f>C948-C1275</f>
        <v>-1.5365688147731165E-3</v>
      </c>
      <c r="F948" s="8"/>
      <c r="H948" s="1">
        <v>44260</v>
      </c>
      <c r="I948">
        <v>57.08</v>
      </c>
      <c r="J948" s="227">
        <f t="shared" si="98"/>
        <v>1.5839117280654902E-2</v>
      </c>
      <c r="K948" s="5">
        <f>J948-J1276</f>
        <v>1.3703161365044944E-2</v>
      </c>
      <c r="M948" s="241">
        <v>44321</v>
      </c>
      <c r="N948">
        <v>4167.59</v>
      </c>
      <c r="O948" s="227">
        <f t="shared" si="99"/>
        <v>-8.0992569532702952E-3</v>
      </c>
      <c r="P948" s="5">
        <f>O948-O1278</f>
        <v>-7.7334997523571232E-3</v>
      </c>
      <c r="Q948" s="8">
        <f t="shared" si="102"/>
        <v>5.9807018419707686E-5</v>
      </c>
      <c r="X948" s="1">
        <v>44321</v>
      </c>
      <c r="Y948">
        <v>64.459599999999995</v>
      </c>
      <c r="Z948" s="48">
        <f t="shared" si="100"/>
        <v>-1.2685371539552737E-2</v>
      </c>
      <c r="AA948" s="5">
        <f>Z948-Y1274</f>
        <v>-1.6902691008826871E-2</v>
      </c>
      <c r="AD948" s="1">
        <v>44321</v>
      </c>
      <c r="AE948">
        <v>128.38999999999999</v>
      </c>
      <c r="AF948" s="29">
        <f t="shared" si="101"/>
        <v>4.5776655534739641E-2</v>
      </c>
    </row>
    <row r="949" spans="1:32">
      <c r="A949" s="3" t="s">
        <v>863</v>
      </c>
      <c r="B949" s="222">
        <v>54.93</v>
      </c>
      <c r="C949" s="227">
        <f t="shared" si="97"/>
        <v>2.9213072850100552E-3</v>
      </c>
      <c r="D949" s="5">
        <f>C949-C1275</f>
        <v>2.8432617154511659E-3</v>
      </c>
      <c r="F949" s="8"/>
      <c r="H949" t="s">
        <v>862</v>
      </c>
      <c r="I949">
        <v>55.66</v>
      </c>
      <c r="J949" s="227">
        <f t="shared" si="98"/>
        <v>-2.4877365101611759E-2</v>
      </c>
      <c r="K949" s="5">
        <f>J949-J1276</f>
        <v>-2.7013321017221717E-2</v>
      </c>
      <c r="M949" s="241">
        <v>44291</v>
      </c>
      <c r="N949">
        <v>4164.66</v>
      </c>
      <c r="O949" s="227">
        <f t="shared" si="99"/>
        <v>-7.0304420540412416E-4</v>
      </c>
      <c r="P949" s="5">
        <f>O949-O1278</f>
        <v>-3.3728700449095261E-4</v>
      </c>
      <c r="Q949" s="8">
        <f t="shared" si="102"/>
        <v>1.1376252339847989E-7</v>
      </c>
      <c r="X949" s="1">
        <v>44291</v>
      </c>
      <c r="Y949">
        <v>63.620800000000003</v>
      </c>
      <c r="Z949" s="48">
        <f t="shared" si="100"/>
        <v>-1.3012801816951858E-2</v>
      </c>
      <c r="AA949" s="5">
        <f>Z949-Y1274</f>
        <v>-1.7230121286225992E-2</v>
      </c>
      <c r="AD949" s="1">
        <v>44291</v>
      </c>
      <c r="AE949">
        <v>135.22</v>
      </c>
      <c r="AF949" s="29">
        <f t="shared" si="101"/>
        <v>5.3197289508528867E-2</v>
      </c>
    </row>
    <row r="950" spans="1:32">
      <c r="A950" s="3" t="s">
        <v>864</v>
      </c>
      <c r="B950" s="222">
        <v>58.44</v>
      </c>
      <c r="C950" s="227">
        <f t="shared" si="97"/>
        <v>6.3899508465319554E-2</v>
      </c>
      <c r="D950" s="5">
        <f>C950-C1275</f>
        <v>6.3821462895760669E-2</v>
      </c>
      <c r="F950" s="8"/>
      <c r="H950" t="s">
        <v>863</v>
      </c>
      <c r="I950">
        <v>57.1</v>
      </c>
      <c r="J950" s="227">
        <f t="shared" si="98"/>
        <v>2.587136183974148E-2</v>
      </c>
      <c r="K950" s="5">
        <f>J950-J1276</f>
        <v>2.3735405924131522E-2</v>
      </c>
      <c r="M950" s="241">
        <v>44260</v>
      </c>
      <c r="N950">
        <v>4192.66</v>
      </c>
      <c r="O950" s="227">
        <f t="shared" si="99"/>
        <v>6.7232379113781882E-3</v>
      </c>
      <c r="P950" s="5">
        <f>O950-O1278</f>
        <v>7.0889951122913601E-3</v>
      </c>
      <c r="Q950" s="8">
        <f t="shared" si="102"/>
        <v>5.0253851702090793E-5</v>
      </c>
      <c r="X950" s="1">
        <v>44260</v>
      </c>
      <c r="Y950">
        <v>63.724299999999999</v>
      </c>
      <c r="Z950" s="48">
        <f t="shared" si="100"/>
        <v>1.6268264466965388E-3</v>
      </c>
      <c r="AA950" s="5">
        <f>Z950-Y1274</f>
        <v>-2.5904930225775953E-3</v>
      </c>
      <c r="AD950" s="1">
        <v>44260</v>
      </c>
      <c r="AE950">
        <v>140.47</v>
      </c>
      <c r="AF950" s="29">
        <f t="shared" si="101"/>
        <v>3.8825617512202371E-2</v>
      </c>
    </row>
    <row r="951" spans="1:32">
      <c r="A951" s="3" t="s">
        <v>865</v>
      </c>
      <c r="B951" s="222">
        <v>57.16</v>
      </c>
      <c r="C951" s="227">
        <f t="shared" si="97"/>
        <v>-2.1902806297056876E-2</v>
      </c>
      <c r="D951" s="5">
        <f>C951-C1275</f>
        <v>-2.1980851866615764E-2</v>
      </c>
      <c r="E951" s="1"/>
      <c r="F951" s="8"/>
      <c r="H951" t="s">
        <v>864</v>
      </c>
      <c r="I951">
        <v>63.4</v>
      </c>
      <c r="J951" s="227">
        <f t="shared" si="98"/>
        <v>0.11033274956217154</v>
      </c>
      <c r="K951" s="5">
        <f>J951-J1276</f>
        <v>0.10819679364656158</v>
      </c>
      <c r="M951" s="240" t="s">
        <v>862</v>
      </c>
      <c r="N951">
        <v>4181.17</v>
      </c>
      <c r="O951" s="227">
        <f t="shared" si="99"/>
        <v>-2.7405036420792284E-3</v>
      </c>
      <c r="P951" s="5">
        <f>O951-O1278</f>
        <v>-2.3747464411660569E-3</v>
      </c>
      <c r="Q951" s="8">
        <f t="shared" si="102"/>
        <v>5.6394206598308523E-6</v>
      </c>
      <c r="X951" t="s">
        <v>862</v>
      </c>
      <c r="Y951">
        <v>63.675199999999997</v>
      </c>
      <c r="Z951" s="48">
        <f t="shared" si="100"/>
        <v>-7.7050669838674146E-4</v>
      </c>
      <c r="AA951" s="5">
        <f>Z951-Y1274</f>
        <v>-4.9878261676608755E-3</v>
      </c>
      <c r="AD951" t="s">
        <v>862</v>
      </c>
      <c r="AE951">
        <v>143.16999999999999</v>
      </c>
      <c r="AF951" s="29">
        <f t="shared" si="101"/>
        <v>1.9221186018366865E-2</v>
      </c>
    </row>
    <row r="952" spans="1:32">
      <c r="A952" s="3" t="s">
        <v>866</v>
      </c>
      <c r="B952" s="222">
        <v>57.61</v>
      </c>
      <c r="C952" s="227">
        <f t="shared" si="97"/>
        <v>7.8726382085374524E-3</v>
      </c>
      <c r="D952" s="5">
        <f>C952-C1275</f>
        <v>7.7945926389785631E-3</v>
      </c>
      <c r="E952" s="1"/>
      <c r="F952" s="8"/>
      <c r="H952" t="s">
        <v>865</v>
      </c>
      <c r="I952">
        <v>62.14</v>
      </c>
      <c r="J952" s="227">
        <f t="shared" si="98"/>
        <v>-1.9873817034700259E-2</v>
      </c>
      <c r="K952" s="5">
        <f>J952-J1276</f>
        <v>-2.2009772950310216E-2</v>
      </c>
      <c r="M952" s="240" t="s">
        <v>863</v>
      </c>
      <c r="N952">
        <v>4211.47</v>
      </c>
      <c r="O952" s="227">
        <f t="shared" si="99"/>
        <v>7.2467754241039017E-3</v>
      </c>
      <c r="P952" s="5">
        <f>O952-O1278</f>
        <v>7.6125326250170737E-3</v>
      </c>
      <c r="Q952" s="8">
        <f t="shared" si="102"/>
        <v>5.7950652966949336E-5</v>
      </c>
      <c r="X952" t="s">
        <v>863</v>
      </c>
      <c r="Y952">
        <v>63.3508</v>
      </c>
      <c r="Z952" s="48">
        <f t="shared" si="100"/>
        <v>-5.0946051209890264E-3</v>
      </c>
      <c r="AA952" s="5">
        <f>Z952-Y1274</f>
        <v>-9.3119245902631605E-3</v>
      </c>
      <c r="AD952" t="s">
        <v>863</v>
      </c>
      <c r="AE952">
        <v>150.11000000000001</v>
      </c>
      <c r="AF952" s="29">
        <f t="shared" si="101"/>
        <v>4.8473842285395197E-2</v>
      </c>
    </row>
    <row r="953" spans="1:32">
      <c r="A953" s="3" t="s">
        <v>867</v>
      </c>
      <c r="B953" s="222">
        <v>57.93</v>
      </c>
      <c r="C953" s="227">
        <f t="shared" si="97"/>
        <v>5.5545912168026845E-3</v>
      </c>
      <c r="D953" s="5">
        <f>C953-C1275</f>
        <v>5.4765456472437952E-3</v>
      </c>
      <c r="E953" s="1"/>
      <c r="F953" s="8"/>
      <c r="H953" t="s">
        <v>866</v>
      </c>
      <c r="I953">
        <v>63.06</v>
      </c>
      <c r="J953" s="227">
        <f t="shared" si="98"/>
        <v>1.4805278403604794E-2</v>
      </c>
      <c r="K953" s="5">
        <f>J953-J1276</f>
        <v>1.2669322487994836E-2</v>
      </c>
      <c r="M953" s="240" t="s">
        <v>864</v>
      </c>
      <c r="N953">
        <v>4183.18</v>
      </c>
      <c r="O953" s="227">
        <f t="shared" si="99"/>
        <v>-6.7173694695675801E-3</v>
      </c>
      <c r="P953" s="5">
        <f>O953-O1278</f>
        <v>-6.3516122686544082E-3</v>
      </c>
      <c r="Q953" s="8">
        <f t="shared" si="102"/>
        <v>4.0342978411321194E-5</v>
      </c>
      <c r="X953" t="s">
        <v>864</v>
      </c>
      <c r="Y953">
        <v>63.576999999999998</v>
      </c>
      <c r="Z953" s="48">
        <f t="shared" si="100"/>
        <v>3.5705942150690007E-3</v>
      </c>
      <c r="AA953" s="5">
        <f>Z953-Y1274</f>
        <v>-6.4672525420513341E-4</v>
      </c>
      <c r="AD953" t="s">
        <v>864</v>
      </c>
      <c r="AE953">
        <v>162.44999999999999</v>
      </c>
      <c r="AF953" s="29">
        <f t="shared" si="101"/>
        <v>8.2206381986543064E-2</v>
      </c>
    </row>
    <row r="954" spans="1:32">
      <c r="A954" s="3" t="s">
        <v>868</v>
      </c>
      <c r="B954" s="222">
        <v>56.28</v>
      </c>
      <c r="C954" s="227">
        <f t="shared" si="97"/>
        <v>-2.8482651475919218E-2</v>
      </c>
      <c r="D954" s="5">
        <f>C954-C1275</f>
        <v>-2.8560697045478107E-2</v>
      </c>
      <c r="E954" s="1"/>
      <c r="F954" s="8"/>
      <c r="H954" t="s">
        <v>867</v>
      </c>
      <c r="I954">
        <v>63.7</v>
      </c>
      <c r="J954" s="227">
        <f t="shared" si="98"/>
        <v>1.0149064383127238E-2</v>
      </c>
      <c r="K954" s="5">
        <f>J954-J1276</f>
        <v>8.0131084675172798E-3</v>
      </c>
      <c r="M954" s="240" t="s">
        <v>865</v>
      </c>
      <c r="N954">
        <v>4186.72</v>
      </c>
      <c r="O954" s="227">
        <f t="shared" si="99"/>
        <v>8.4624615722961316E-4</v>
      </c>
      <c r="P954" s="5">
        <f>O954-O1278</f>
        <v>1.2120033581427847E-3</v>
      </c>
      <c r="Q954" s="8">
        <f t="shared" si="102"/>
        <v>1.468952140149387E-6</v>
      </c>
      <c r="X954" t="s">
        <v>865</v>
      </c>
      <c r="Y954">
        <v>64.515100000000004</v>
      </c>
      <c r="Z954" s="48">
        <f t="shared" si="100"/>
        <v>1.4755336049200318E-2</v>
      </c>
      <c r="AA954" s="5">
        <f>Z954-Y1274</f>
        <v>1.0538016579926184E-2</v>
      </c>
      <c r="AD954" t="s">
        <v>865</v>
      </c>
      <c r="AE954">
        <v>162.13</v>
      </c>
      <c r="AF954" s="29">
        <f t="shared" si="101"/>
        <v>-1.9698368728838789E-3</v>
      </c>
    </row>
    <row r="955" spans="1:32">
      <c r="A955" s="3" t="s">
        <v>869</v>
      </c>
      <c r="B955" s="222">
        <v>55.77</v>
      </c>
      <c r="C955" s="227">
        <f t="shared" si="97"/>
        <v>-9.0618336886992834E-3</v>
      </c>
      <c r="D955" s="5">
        <f>C955-C1275</f>
        <v>-9.1398792582581719E-3</v>
      </c>
      <c r="E955" s="1"/>
      <c r="F955" s="8"/>
      <c r="H955" t="s">
        <v>868</v>
      </c>
      <c r="I955">
        <v>61</v>
      </c>
      <c r="J955" s="227">
        <f t="shared" si="98"/>
        <v>-4.2386185243328156E-2</v>
      </c>
      <c r="K955" s="5">
        <f>J955-J1276</f>
        <v>-4.4522141158938114E-2</v>
      </c>
      <c r="M955" s="240" t="s">
        <v>866</v>
      </c>
      <c r="N955">
        <v>4187.62</v>
      </c>
      <c r="O955" s="227">
        <f t="shared" si="99"/>
        <v>2.1496541445320538E-4</v>
      </c>
      <c r="P955" s="5">
        <f>O955-O1278</f>
        <v>5.8072261536637687E-4</v>
      </c>
      <c r="Q955" s="8">
        <f t="shared" si="102"/>
        <v>3.3723875599796491E-7</v>
      </c>
      <c r="X955" t="s">
        <v>866</v>
      </c>
      <c r="Y955">
        <v>64.071200000000005</v>
      </c>
      <c r="Z955" s="48">
        <f t="shared" si="100"/>
        <v>-6.880559744927961E-3</v>
      </c>
      <c r="AA955" s="5">
        <f>Z955-Y1274</f>
        <v>-1.1097879214202095E-2</v>
      </c>
      <c r="AD955" t="s">
        <v>866</v>
      </c>
      <c r="AE955">
        <v>153.80000000000001</v>
      </c>
      <c r="AF955" s="29">
        <f t="shared" si="101"/>
        <v>-5.1378523407142329E-2</v>
      </c>
    </row>
    <row r="956" spans="1:32">
      <c r="A956" s="3" t="s">
        <v>870</v>
      </c>
      <c r="B956" s="222">
        <v>55.48</v>
      </c>
      <c r="C956" s="227">
        <f t="shared" si="97"/>
        <v>-5.199928276851451E-3</v>
      </c>
      <c r="D956" s="5">
        <f>C956-C1275</f>
        <v>-5.2779738464103403E-3</v>
      </c>
      <c r="E956" s="1"/>
      <c r="F956" s="8"/>
      <c r="H956" t="s">
        <v>869</v>
      </c>
      <c r="I956">
        <v>60.74</v>
      </c>
      <c r="J956" s="227">
        <f t="shared" si="98"/>
        <v>-4.2622950819671823E-3</v>
      </c>
      <c r="K956" s="5">
        <f>J956-J1276</f>
        <v>-6.3982509975771401E-3</v>
      </c>
      <c r="M956" s="240" t="s">
        <v>867</v>
      </c>
      <c r="N956">
        <v>4180.17</v>
      </c>
      <c r="O956" s="227">
        <f t="shared" si="99"/>
        <v>-1.7790534957803361E-3</v>
      </c>
      <c r="P956" s="5">
        <f>O956-O1278</f>
        <v>-1.4132962948671646E-3</v>
      </c>
      <c r="Q956" s="8">
        <f t="shared" si="102"/>
        <v>1.9974064170852556E-6</v>
      </c>
      <c r="X956" t="s">
        <v>867</v>
      </c>
      <c r="Y956">
        <v>63.572800000000001</v>
      </c>
      <c r="Z956" s="48">
        <f t="shared" si="100"/>
        <v>-7.7788460337874232E-3</v>
      </c>
      <c r="AA956" s="5">
        <f>Z956-Y1274</f>
        <v>-1.1996165503061557E-2</v>
      </c>
      <c r="AD956" t="s">
        <v>867</v>
      </c>
      <c r="AE956">
        <v>152.75</v>
      </c>
      <c r="AF956" s="29">
        <f t="shared" si="101"/>
        <v>-6.8270481144343531E-3</v>
      </c>
    </row>
    <row r="957" spans="1:32">
      <c r="A957" s="3" t="s">
        <v>871</v>
      </c>
      <c r="B957" s="222">
        <v>57.85</v>
      </c>
      <c r="C957" s="227">
        <f t="shared" si="97"/>
        <v>4.2718096611391587E-2</v>
      </c>
      <c r="D957" s="5">
        <f>C957-C1275</f>
        <v>4.2640051041832695E-2</v>
      </c>
      <c r="E957" s="1"/>
      <c r="F957" s="8"/>
      <c r="H957" t="s">
        <v>870</v>
      </c>
      <c r="I957">
        <v>60.8</v>
      </c>
      <c r="J957" s="227">
        <f t="shared" si="98"/>
        <v>9.8781692459648518E-4</v>
      </c>
      <c r="K957" s="5">
        <f>J957-J1276</f>
        <v>-1.1481389910134726E-3</v>
      </c>
      <c r="M957" s="240" t="s">
        <v>868</v>
      </c>
      <c r="N957">
        <v>4134.9799999999996</v>
      </c>
      <c r="O957" s="227">
        <f t="shared" si="99"/>
        <v>-1.0810565120557447E-2</v>
      </c>
      <c r="P957" s="5">
        <f>O957-O1278</f>
        <v>-1.0444807919644276E-2</v>
      </c>
      <c r="Q957" s="8">
        <f t="shared" si="102"/>
        <v>1.0909401247826379E-4</v>
      </c>
      <c r="X957" t="s">
        <v>868</v>
      </c>
      <c r="Y957">
        <v>63.437199999999997</v>
      </c>
      <c r="Z957" s="48">
        <f t="shared" si="100"/>
        <v>-2.1329876928498637E-3</v>
      </c>
      <c r="AA957" s="5">
        <f>Z957-Y1274</f>
        <v>-6.3503071621239977E-3</v>
      </c>
      <c r="AD957" t="s">
        <v>868</v>
      </c>
      <c r="AE957">
        <v>143.96</v>
      </c>
      <c r="AF957" s="29">
        <f t="shared" si="101"/>
        <v>-5.754500818330599E-2</v>
      </c>
    </row>
    <row r="958" spans="1:32">
      <c r="A958" s="3" t="s">
        <v>872</v>
      </c>
      <c r="B958" s="222">
        <v>60.35</v>
      </c>
      <c r="C958" s="227">
        <f t="shared" si="97"/>
        <v>4.3215211754537686E-2</v>
      </c>
      <c r="D958" s="5">
        <f>C958-C1275</f>
        <v>4.3137166184978794E-2</v>
      </c>
      <c r="F958" s="8"/>
      <c r="H958" t="s">
        <v>871</v>
      </c>
      <c r="I958">
        <v>61.87</v>
      </c>
      <c r="J958" s="227">
        <f t="shared" si="98"/>
        <v>1.7598684210526239E-2</v>
      </c>
      <c r="K958" s="5">
        <f>J958-J1276</f>
        <v>1.5462728294916281E-2</v>
      </c>
      <c r="M958" s="240" t="s">
        <v>869</v>
      </c>
      <c r="N958">
        <v>4173.42</v>
      </c>
      <c r="O958" s="227">
        <f t="shared" si="99"/>
        <v>9.2962964754366162E-3</v>
      </c>
      <c r="P958" s="5">
        <f>O958-O1278</f>
        <v>9.6620536763497872E-3</v>
      </c>
      <c r="Q958" s="8">
        <f t="shared" si="102"/>
        <v>9.3355281244664442E-5</v>
      </c>
      <c r="X958" t="s">
        <v>869</v>
      </c>
      <c r="Y958">
        <v>64.069000000000003</v>
      </c>
      <c r="Z958" s="48">
        <f t="shared" si="100"/>
        <v>9.9594559659001991E-3</v>
      </c>
      <c r="AA958" s="5">
        <f>Z958-Y1274</f>
        <v>5.742136496626065E-3</v>
      </c>
      <c r="AD958" t="s">
        <v>869</v>
      </c>
      <c r="AE958">
        <v>143.32</v>
      </c>
      <c r="AF958" s="29">
        <f t="shared" si="101"/>
        <v>-4.4456793553765417E-3</v>
      </c>
    </row>
    <row r="959" spans="1:32">
      <c r="A959" s="3" t="s">
        <v>873</v>
      </c>
      <c r="B959" s="222">
        <v>60.74</v>
      </c>
      <c r="C959" s="227">
        <f t="shared" si="97"/>
        <v>6.4623032311517115E-3</v>
      </c>
      <c r="D959" s="5">
        <f>C959-C1275</f>
        <v>6.3842576615928221E-3</v>
      </c>
      <c r="F959" s="8"/>
      <c r="H959" t="s">
        <v>872</v>
      </c>
      <c r="I959">
        <v>63.4</v>
      </c>
      <c r="J959" s="227">
        <f t="shared" si="98"/>
        <v>2.4729271052206236E-2</v>
      </c>
      <c r="K959" s="5">
        <f>J959-J1276</f>
        <v>2.2593315136596279E-2</v>
      </c>
      <c r="M959" s="240" t="s">
        <v>870</v>
      </c>
      <c r="N959">
        <v>4134.9399999999996</v>
      </c>
      <c r="O959" s="227">
        <f t="shared" si="99"/>
        <v>-9.2202558093842368E-3</v>
      </c>
      <c r="P959" s="5">
        <f>O959-O1278</f>
        <v>-8.8544986084710658E-3</v>
      </c>
      <c r="Q959" s="8">
        <f t="shared" si="102"/>
        <v>7.8402145607416043E-5</v>
      </c>
      <c r="X959" t="s">
        <v>870</v>
      </c>
      <c r="Y959">
        <v>63.83</v>
      </c>
      <c r="Z959" s="48">
        <f t="shared" si="100"/>
        <v>-3.73035321294235E-3</v>
      </c>
      <c r="AA959" s="5">
        <f>Z959-Y1274</f>
        <v>-7.9476726822164841E-3</v>
      </c>
      <c r="AD959" t="s">
        <v>870</v>
      </c>
      <c r="AE959">
        <v>144.35</v>
      </c>
      <c r="AF959" s="29">
        <f t="shared" si="101"/>
        <v>7.1867150432598503E-3</v>
      </c>
    </row>
    <row r="960" spans="1:32">
      <c r="A960" s="3" t="s">
        <v>874</v>
      </c>
      <c r="B960" s="222">
        <v>59.23</v>
      </c>
      <c r="C960" s="227">
        <f t="shared" si="97"/>
        <v>-2.4860059269015577E-2</v>
      </c>
      <c r="D960" s="5">
        <f>C960-C1275</f>
        <v>-2.4938104838574466E-2</v>
      </c>
      <c r="F960" s="8"/>
      <c r="H960" t="s">
        <v>873</v>
      </c>
      <c r="I960">
        <v>64.44</v>
      </c>
      <c r="J960" s="227">
        <f t="shared" si="98"/>
        <v>1.6403785488958933E-2</v>
      </c>
      <c r="K960" s="5">
        <f>J960-J1276</f>
        <v>1.4267829573348975E-2</v>
      </c>
      <c r="M960" s="240" t="s">
        <v>871</v>
      </c>
      <c r="N960">
        <v>4163.26</v>
      </c>
      <c r="O960" s="227">
        <f t="shared" si="99"/>
        <v>6.848950649828156E-3</v>
      </c>
      <c r="P960" s="5">
        <f>O960-O1278</f>
        <v>7.214707850741328E-3</v>
      </c>
      <c r="Q960" s="8">
        <f t="shared" si="102"/>
        <v>5.205200937154855E-5</v>
      </c>
      <c r="X960" t="s">
        <v>871</v>
      </c>
      <c r="Y960">
        <v>64.128799999999998</v>
      </c>
      <c r="Z960" s="48">
        <f t="shared" si="100"/>
        <v>4.6811843960519184E-3</v>
      </c>
      <c r="AA960" s="5">
        <f>Z960-Y1274</f>
        <v>4.6386492677778432E-4</v>
      </c>
      <c r="AD960" t="s">
        <v>871</v>
      </c>
      <c r="AE960">
        <v>146.66999999999999</v>
      </c>
      <c r="AF960" s="29">
        <f t="shared" si="101"/>
        <v>1.6072047107724252E-2</v>
      </c>
    </row>
    <row r="961" spans="1:32">
      <c r="A961" s="3" t="s">
        <v>875</v>
      </c>
      <c r="B961" s="222">
        <v>60.64</v>
      </c>
      <c r="C961" s="227">
        <f t="shared" si="97"/>
        <v>2.3805503967583963E-2</v>
      </c>
      <c r="D961" s="5">
        <f>C961-C1275</f>
        <v>2.3727458398025075E-2</v>
      </c>
      <c r="F961" s="8"/>
      <c r="H961" t="s">
        <v>874</v>
      </c>
      <c r="I961">
        <v>62.8</v>
      </c>
      <c r="J961" s="227">
        <f t="shared" si="98"/>
        <v>-2.5450031036623244E-2</v>
      </c>
      <c r="K961" s="5">
        <f>J961-J1276</f>
        <v>-2.7585986952233202E-2</v>
      </c>
      <c r="M961" s="240" t="s">
        <v>872</v>
      </c>
      <c r="N961">
        <v>4185.47</v>
      </c>
      <c r="O961" s="227">
        <f t="shared" si="99"/>
        <v>5.334761701166979E-3</v>
      </c>
      <c r="P961" s="5">
        <f>O961-O1278</f>
        <v>5.7005189020801509E-3</v>
      </c>
      <c r="Q961" s="8">
        <f t="shared" si="102"/>
        <v>3.2495915752973092E-5</v>
      </c>
      <c r="X961" t="s">
        <v>872</v>
      </c>
      <c r="Y961">
        <v>65.368899999999996</v>
      </c>
      <c r="Z961" s="48">
        <f t="shared" si="100"/>
        <v>1.9337645488454402E-2</v>
      </c>
      <c r="AA961" s="5">
        <f>Z961-Y1274</f>
        <v>1.5120326019180268E-2</v>
      </c>
      <c r="AD961" t="s">
        <v>872</v>
      </c>
      <c r="AE961">
        <v>149.49</v>
      </c>
      <c r="AF961" s="29">
        <f t="shared" si="101"/>
        <v>1.9226835753733074E-2</v>
      </c>
    </row>
    <row r="962" spans="1:32">
      <c r="A962" s="220">
        <v>44534</v>
      </c>
      <c r="B962" s="222">
        <v>59.44</v>
      </c>
      <c r="C962" s="227">
        <f t="shared" si="97"/>
        <v>-1.9788918205804751E-2</v>
      </c>
      <c r="D962" s="5">
        <f>C962-C1275</f>
        <v>-1.9866963775363639E-2</v>
      </c>
      <c r="F962" s="8"/>
      <c r="H962" t="s">
        <v>875</v>
      </c>
      <c r="I962">
        <v>62.33</v>
      </c>
      <c r="J962" s="227">
        <f t="shared" si="98"/>
        <v>-7.4840764331209897E-3</v>
      </c>
      <c r="K962" s="5">
        <f>J962-J1276</f>
        <v>-9.6200323487309475E-3</v>
      </c>
      <c r="M962" s="240" t="s">
        <v>873</v>
      </c>
      <c r="N962">
        <v>4170.42</v>
      </c>
      <c r="O962" s="227">
        <f t="shared" si="99"/>
        <v>-3.5957729956254125E-3</v>
      </c>
      <c r="P962" s="5">
        <f>O962-O1278</f>
        <v>-3.230015794712241E-3</v>
      </c>
      <c r="Q962" s="8">
        <f t="shared" si="102"/>
        <v>1.0433002034090551E-5</v>
      </c>
      <c r="X962" t="s">
        <v>873</v>
      </c>
      <c r="Y962">
        <v>64.9559</v>
      </c>
      <c r="Z962" s="48">
        <f t="shared" si="100"/>
        <v>-6.3179891355062967E-3</v>
      </c>
      <c r="AA962" s="5">
        <f>Z962-Y1274</f>
        <v>-1.0535308604780431E-2</v>
      </c>
      <c r="AD962" t="s">
        <v>873</v>
      </c>
      <c r="AE962">
        <v>151.5</v>
      </c>
      <c r="AF962" s="29">
        <f t="shared" si="101"/>
        <v>1.3445715432470307E-2</v>
      </c>
    </row>
    <row r="963" spans="1:32">
      <c r="A963" s="220">
        <v>44443</v>
      </c>
      <c r="B963" s="222">
        <v>57.68</v>
      </c>
      <c r="C963" s="227">
        <f t="shared" si="97"/>
        <v>-2.9609690444145298E-2</v>
      </c>
      <c r="D963" s="5">
        <f>C963-C1275</f>
        <v>-2.9687736013704186E-2</v>
      </c>
      <c r="F963" s="8"/>
      <c r="H963" s="1">
        <v>44534</v>
      </c>
      <c r="I963">
        <v>59.85</v>
      </c>
      <c r="J963" s="227">
        <f t="shared" si="98"/>
        <v>-3.9788223969196124E-2</v>
      </c>
      <c r="K963" s="5">
        <f>J963-J1276</f>
        <v>-4.1924179884806081E-2</v>
      </c>
      <c r="M963" s="240" t="s">
        <v>874</v>
      </c>
      <c r="N963">
        <v>4124.66</v>
      </c>
      <c r="O963" s="227">
        <f t="shared" si="99"/>
        <v>-1.0972515957625384E-2</v>
      </c>
      <c r="P963" s="5">
        <f>O963-O1278</f>
        <v>-1.0606758756712213E-2</v>
      </c>
      <c r="Q963" s="8">
        <f t="shared" si="102"/>
        <v>1.1250333132309121E-4</v>
      </c>
      <c r="X963" t="s">
        <v>874</v>
      </c>
      <c r="Y963">
        <v>65.7958</v>
      </c>
      <c r="Z963" s="48">
        <f t="shared" si="100"/>
        <v>1.2930311180354703E-2</v>
      </c>
      <c r="AA963" s="5">
        <f>Z963-Y1274</f>
        <v>8.7129917110805692E-3</v>
      </c>
      <c r="AD963" t="s">
        <v>874</v>
      </c>
      <c r="AE963">
        <v>143.65</v>
      </c>
      <c r="AF963" s="29">
        <f t="shared" si="101"/>
        <v>-5.1815181518151787E-2</v>
      </c>
    </row>
    <row r="964" spans="1:32">
      <c r="A964" s="220">
        <v>44412</v>
      </c>
      <c r="B964" s="222">
        <v>57.83</v>
      </c>
      <c r="C964" s="227">
        <f t="shared" si="97"/>
        <v>2.6005547850207478E-3</v>
      </c>
      <c r="D964" s="5">
        <f>C964-C1275</f>
        <v>2.5225092154618585E-3</v>
      </c>
      <c r="F964" s="8"/>
      <c r="H964" s="1">
        <v>44443</v>
      </c>
      <c r="I964">
        <v>60.97</v>
      </c>
      <c r="J964" s="227">
        <f t="shared" si="98"/>
        <v>1.8713450292397571E-2</v>
      </c>
      <c r="K964" s="5">
        <f>J964-J1276</f>
        <v>1.6577494376787613E-2</v>
      </c>
      <c r="M964" s="240" t="s">
        <v>875</v>
      </c>
      <c r="N964">
        <v>4141.59</v>
      </c>
      <c r="O964" s="227">
        <f t="shared" si="99"/>
        <v>4.1045807412005697E-3</v>
      </c>
      <c r="P964" s="5">
        <f>O964-O1278</f>
        <v>4.4703379421137416E-3</v>
      </c>
      <c r="Q964" s="8">
        <f t="shared" si="102"/>
        <v>1.9983921316701724E-5</v>
      </c>
      <c r="X964" t="s">
        <v>875</v>
      </c>
      <c r="Y964">
        <v>65.613299999999995</v>
      </c>
      <c r="Z964" s="48">
        <f t="shared" si="100"/>
        <v>-2.7737332778080548E-3</v>
      </c>
      <c r="AA964" s="5">
        <f>Z964-Y1274</f>
        <v>-6.9910527470821889E-3</v>
      </c>
      <c r="AD964" t="s">
        <v>875</v>
      </c>
      <c r="AE964">
        <v>149.46</v>
      </c>
      <c r="AF964" s="29">
        <f t="shared" si="101"/>
        <v>4.044552732335549E-2</v>
      </c>
    </row>
    <row r="965" spans="1:32">
      <c r="A965" s="220">
        <v>44381</v>
      </c>
      <c r="B965" s="222">
        <v>56.89</v>
      </c>
      <c r="C965" s="227">
        <f t="shared" si="97"/>
        <v>-1.625453916652253E-2</v>
      </c>
      <c r="D965" s="5">
        <f>C965-C1275</f>
        <v>-1.6332584736081419E-2</v>
      </c>
      <c r="F965" s="8"/>
      <c r="H965" s="1">
        <v>44412</v>
      </c>
      <c r="I965">
        <v>62.01</v>
      </c>
      <c r="J965" s="227">
        <f t="shared" si="98"/>
        <v>1.7057569296375252E-2</v>
      </c>
      <c r="K965" s="5">
        <f>J965-J1276</f>
        <v>1.4921613380765295E-2</v>
      </c>
      <c r="M965" s="241">
        <v>44534</v>
      </c>
      <c r="N965">
        <v>4127.99</v>
      </c>
      <c r="O965" s="227">
        <f t="shared" si="99"/>
        <v>-3.2837629992347184E-3</v>
      </c>
      <c r="P965" s="5">
        <f>O965-O1278</f>
        <v>-2.9180057983215469E-3</v>
      </c>
      <c r="Q965" s="8">
        <f t="shared" si="102"/>
        <v>8.5147578390381684E-6</v>
      </c>
      <c r="X965" s="1">
        <v>44534</v>
      </c>
      <c r="Y965">
        <v>64.5685</v>
      </c>
      <c r="Z965" s="48">
        <f t="shared" si="100"/>
        <v>-1.5923600855314302E-2</v>
      </c>
      <c r="AA965" s="5">
        <f>Z965-Y1274</f>
        <v>-2.0140920324588436E-2</v>
      </c>
      <c r="AD965" s="1">
        <v>44534</v>
      </c>
      <c r="AE965">
        <v>147.83000000000001</v>
      </c>
      <c r="AF965" s="29">
        <f t="shared" si="101"/>
        <v>-1.090592800749357E-2</v>
      </c>
    </row>
    <row r="966" spans="1:32">
      <c r="A966" s="220">
        <v>44351</v>
      </c>
      <c r="B966" s="222">
        <v>58.05</v>
      </c>
      <c r="C966" s="227">
        <f t="shared" si="97"/>
        <v>2.0390226753383756E-2</v>
      </c>
      <c r="D966" s="5">
        <f>C966-C1275</f>
        <v>2.0312181183824867E-2</v>
      </c>
      <c r="F966" s="8"/>
      <c r="H966" s="1">
        <v>44381</v>
      </c>
      <c r="I966">
        <v>60.96</v>
      </c>
      <c r="J966" s="227">
        <f t="shared" si="98"/>
        <v>-1.693275278180939E-2</v>
      </c>
      <c r="K966" s="5">
        <f>J966-J1276</f>
        <v>-1.9068708697419348E-2</v>
      </c>
      <c r="M966" s="241">
        <v>44443</v>
      </c>
      <c r="N966">
        <v>4128.8</v>
      </c>
      <c r="O966" s="227">
        <f t="shared" si="99"/>
        <v>1.96221405575292E-4</v>
      </c>
      <c r="P966" s="5">
        <f>O966-O1278</f>
        <v>5.6197860648846349E-4</v>
      </c>
      <c r="Q966" s="8">
        <f t="shared" si="102"/>
        <v>3.158199541507153E-7</v>
      </c>
      <c r="X966" s="1">
        <v>44443</v>
      </c>
      <c r="Y966">
        <v>65.5899</v>
      </c>
      <c r="Z966" s="48">
        <f t="shared" si="100"/>
        <v>1.5818859041173416E-2</v>
      </c>
      <c r="AA966" s="5">
        <f>Z966-Y1274</f>
        <v>1.1601539571899282E-2</v>
      </c>
      <c r="AD966" s="1">
        <v>44443</v>
      </c>
      <c r="AE966">
        <v>140.5</v>
      </c>
      <c r="AF966" s="29">
        <f t="shared" si="101"/>
        <v>-4.9583981600487159E-2</v>
      </c>
    </row>
    <row r="967" spans="1:32">
      <c r="A967" s="220">
        <v>44320</v>
      </c>
      <c r="B967" s="222">
        <v>57.4</v>
      </c>
      <c r="C967" s="227">
        <f t="shared" si="97"/>
        <v>-1.1197243755383224E-2</v>
      </c>
      <c r="D967" s="5">
        <f>C967-C1275</f>
        <v>-1.1275289324942112E-2</v>
      </c>
      <c r="F967" s="8"/>
      <c r="H967" s="1">
        <v>44351</v>
      </c>
      <c r="I967">
        <v>64.239999999999995</v>
      </c>
      <c r="J967" s="227">
        <f t="shared" si="98"/>
        <v>5.3805774278215202E-2</v>
      </c>
      <c r="K967" s="5">
        <f>J967-J1276</f>
        <v>5.1669818362605244E-2</v>
      </c>
      <c r="M967" s="241">
        <v>44412</v>
      </c>
      <c r="N967">
        <v>4097.17</v>
      </c>
      <c r="O967" s="227">
        <f t="shared" si="99"/>
        <v>-7.6608215462119489E-3</v>
      </c>
      <c r="P967" s="5">
        <f>O967-O1278</f>
        <v>-7.295064345298777E-3</v>
      </c>
      <c r="Q967" s="8">
        <f t="shared" si="102"/>
        <v>5.321796380204947E-5</v>
      </c>
      <c r="X967" s="1">
        <v>44412</v>
      </c>
      <c r="Y967">
        <v>65.983699999999999</v>
      </c>
      <c r="Z967" s="48">
        <f t="shared" si="100"/>
        <v>6.003973172698851E-3</v>
      </c>
      <c r="AA967" s="5">
        <f>Z967-Y1274</f>
        <v>1.7866537034247169E-3</v>
      </c>
      <c r="AD967" s="1">
        <v>44412</v>
      </c>
      <c r="AE967">
        <v>128.13999999999999</v>
      </c>
      <c r="AF967" s="29">
        <f t="shared" si="101"/>
        <v>-8.7971530249110419E-2</v>
      </c>
    </row>
    <row r="968" spans="1:32">
      <c r="A968" s="220">
        <v>44200</v>
      </c>
      <c r="B968" s="222">
        <v>57.6</v>
      </c>
      <c r="C968" s="227">
        <f t="shared" si="97"/>
        <v>3.4843205574912606E-3</v>
      </c>
      <c r="D968" s="5">
        <f>C968-C1275</f>
        <v>3.4062749879323713E-3</v>
      </c>
      <c r="F968" s="8"/>
      <c r="H968" s="1">
        <v>44320</v>
      </c>
      <c r="I968">
        <v>64.47</v>
      </c>
      <c r="J968" s="227">
        <f t="shared" si="98"/>
        <v>3.5803237858031967E-3</v>
      </c>
      <c r="K968" s="5">
        <f>J968-J1276</f>
        <v>1.4443678701932389E-3</v>
      </c>
      <c r="M968" s="241">
        <v>44381</v>
      </c>
      <c r="N968">
        <v>4079.95</v>
      </c>
      <c r="O968" s="227">
        <f t="shared" si="99"/>
        <v>-4.2029010268063161E-3</v>
      </c>
      <c r="P968" s="5">
        <f>O968-O1278</f>
        <v>-3.8371438258931446E-3</v>
      </c>
      <c r="Q968" s="8">
        <f t="shared" si="102"/>
        <v>1.4723672740589879E-5</v>
      </c>
      <c r="X968" s="1">
        <v>44381</v>
      </c>
      <c r="Y968">
        <v>65.848100000000002</v>
      </c>
      <c r="Z968" s="48">
        <f t="shared" si="100"/>
        <v>-2.0550529903596848E-3</v>
      </c>
      <c r="AA968" s="5">
        <f>Z968-Y1274</f>
        <v>-6.2723724596338189E-3</v>
      </c>
      <c r="AD968" s="1">
        <v>44381</v>
      </c>
      <c r="AE968">
        <v>127.5</v>
      </c>
      <c r="AF968" s="29">
        <f t="shared" si="101"/>
        <v>-4.9945372249101672E-3</v>
      </c>
    </row>
    <row r="969" spans="1:32">
      <c r="A969" s="3" t="s">
        <v>876</v>
      </c>
      <c r="B969" s="222">
        <v>54.51</v>
      </c>
      <c r="C969" s="227">
        <f t="shared" si="97"/>
        <v>-5.3645833333333393E-2</v>
      </c>
      <c r="D969" s="5">
        <f>C969-C1275</f>
        <v>-5.3723878902892284E-2</v>
      </c>
      <c r="F969" s="8"/>
      <c r="H969" s="1">
        <v>44200</v>
      </c>
      <c r="I969">
        <v>64.64</v>
      </c>
      <c r="J969" s="227">
        <f t="shared" si="98"/>
        <v>2.6368853730418529E-3</v>
      </c>
      <c r="K969" s="5">
        <f>J969-J1276</f>
        <v>5.009294574318951E-4</v>
      </c>
      <c r="M969" s="241">
        <v>44351</v>
      </c>
      <c r="N969">
        <v>4073.94</v>
      </c>
      <c r="O969" s="227">
        <f t="shared" si="99"/>
        <v>-1.473057267858624E-3</v>
      </c>
      <c r="P969" s="5">
        <f>O969-O1278</f>
        <v>-1.1073000669454525E-3</v>
      </c>
      <c r="Q969" s="8">
        <f t="shared" si="102"/>
        <v>1.2261134382574036E-6</v>
      </c>
      <c r="X969" s="1">
        <v>44351</v>
      </c>
      <c r="Y969">
        <v>65.526899999999998</v>
      </c>
      <c r="Z969" s="48">
        <f t="shared" si="100"/>
        <v>-4.8778932118012097E-3</v>
      </c>
      <c r="AA969" s="5">
        <f>Z969-Y1274</f>
        <v>-9.0952126810753438E-3</v>
      </c>
      <c r="AD969" s="1">
        <v>44351</v>
      </c>
      <c r="AE969">
        <v>131.09</v>
      </c>
      <c r="AF969" s="29">
        <f t="shared" si="101"/>
        <v>2.8156862745098099E-2</v>
      </c>
    </row>
    <row r="970" spans="1:32">
      <c r="A970" s="3" t="s">
        <v>877</v>
      </c>
      <c r="B970" s="222">
        <v>53.46</v>
      </c>
      <c r="C970" s="227">
        <f t="shared" si="97"/>
        <v>-1.9262520638414937E-2</v>
      </c>
      <c r="D970" s="5">
        <f>C970-C1275</f>
        <v>-1.9340566207973826E-2</v>
      </c>
      <c r="F970" s="8"/>
      <c r="H970" t="s">
        <v>876</v>
      </c>
      <c r="I970">
        <v>63.18</v>
      </c>
      <c r="J970" s="227">
        <f t="shared" si="98"/>
        <v>-2.2586633663366329E-2</v>
      </c>
      <c r="K970" s="5">
        <f>J970-J1276</f>
        <v>-2.4722589578976287E-2</v>
      </c>
      <c r="M970" s="241">
        <v>44320</v>
      </c>
      <c r="N970">
        <v>4077.91</v>
      </c>
      <c r="O970" s="227">
        <f t="shared" si="99"/>
        <v>9.7448661492305355E-4</v>
      </c>
      <c r="P970" s="5">
        <f>O970-O1278</f>
        <v>1.340243815836225E-3</v>
      </c>
      <c r="Q970" s="8">
        <f t="shared" si="102"/>
        <v>1.7962534858872452E-6</v>
      </c>
      <c r="X970" s="1">
        <v>44320</v>
      </c>
      <c r="Y970">
        <v>66.307100000000005</v>
      </c>
      <c r="Z970" s="48">
        <f t="shared" si="100"/>
        <v>1.1906560511789843E-2</v>
      </c>
      <c r="AA970" s="5">
        <f>Z970-Y1274</f>
        <v>7.6892410425157091E-3</v>
      </c>
      <c r="AD970" s="1">
        <v>44320</v>
      </c>
      <c r="AE970">
        <v>133.55000000000001</v>
      </c>
      <c r="AF970" s="29">
        <f t="shared" si="101"/>
        <v>1.8765733465557988E-2</v>
      </c>
    </row>
    <row r="971" spans="1:32">
      <c r="A971" s="3" t="s">
        <v>878</v>
      </c>
      <c r="B971" s="222">
        <v>53.35</v>
      </c>
      <c r="C971" s="227">
        <f t="shared" si="97"/>
        <v>-2.057613168724215E-3</v>
      </c>
      <c r="D971" s="5">
        <f>C971-C1275</f>
        <v>-2.1356587382831043E-3</v>
      </c>
      <c r="E971" s="1"/>
      <c r="F971" s="8"/>
      <c r="H971" t="s">
        <v>877</v>
      </c>
      <c r="I971">
        <v>63.05</v>
      </c>
      <c r="J971" s="227">
        <f t="shared" si="98"/>
        <v>-2.057613168724326E-3</v>
      </c>
      <c r="K971" s="5">
        <f>J971-J1276</f>
        <v>-4.1935690843342838E-3</v>
      </c>
      <c r="M971" s="241">
        <v>44200</v>
      </c>
      <c r="N971">
        <v>4019.87</v>
      </c>
      <c r="O971" s="227">
        <f t="shared" si="99"/>
        <v>-1.4232781007918249E-2</v>
      </c>
      <c r="P971" s="5">
        <f>O971-O1278</f>
        <v>-1.3867023807005078E-2</v>
      </c>
      <c r="Q971" s="8">
        <f t="shared" si="102"/>
        <v>1.9229434926404561E-4</v>
      </c>
      <c r="X971" s="1">
        <v>44200</v>
      </c>
      <c r="Y971">
        <v>65.555700000000002</v>
      </c>
      <c r="Z971" s="48">
        <f t="shared" si="100"/>
        <v>-1.1332119788077022E-2</v>
      </c>
      <c r="AA971" s="5">
        <f>Z971-Y1274</f>
        <v>-1.5549439257351156E-2</v>
      </c>
      <c r="AD971" s="1">
        <v>44200</v>
      </c>
      <c r="AE971">
        <v>133.13999999999999</v>
      </c>
      <c r="AF971" s="29">
        <f t="shared" si="101"/>
        <v>-3.0700112317485484E-3</v>
      </c>
    </row>
    <row r="972" spans="1:32">
      <c r="A972" s="3" t="s">
        <v>879</v>
      </c>
      <c r="B972" s="222">
        <v>54.71</v>
      </c>
      <c r="C972" s="227">
        <f t="shared" si="97"/>
        <v>2.549203373945641E-2</v>
      </c>
      <c r="D972" s="5">
        <f>C972-C1275</f>
        <v>2.5413988169897522E-2</v>
      </c>
      <c r="E972" s="1"/>
      <c r="F972" s="8"/>
      <c r="H972" t="s">
        <v>878</v>
      </c>
      <c r="I972">
        <v>63.62</v>
      </c>
      <c r="J972" s="227">
        <f t="shared" si="98"/>
        <v>9.0404440919904516E-3</v>
      </c>
      <c r="K972" s="5">
        <f>J972-J1276</f>
        <v>6.9044881763804938E-3</v>
      </c>
      <c r="M972" s="240" t="s">
        <v>876</v>
      </c>
      <c r="N972">
        <v>3972.89</v>
      </c>
      <c r="O972" s="227">
        <f t="shared" si="99"/>
        <v>-1.168694510021473E-2</v>
      </c>
      <c r="P972" s="5">
        <f>O972-O1278</f>
        <v>-1.1321187899301558E-2</v>
      </c>
      <c r="Q972" s="8">
        <f t="shared" si="102"/>
        <v>1.2816929545129204E-4</v>
      </c>
      <c r="X972" t="s">
        <v>876</v>
      </c>
      <c r="Y972">
        <v>65.379599999999996</v>
      </c>
      <c r="Z972" s="48">
        <f t="shared" si="100"/>
        <v>-2.6862652675512244E-3</v>
      </c>
      <c r="AA972" s="5">
        <f>Z972-Y1274</f>
        <v>-6.9035847368253585E-3</v>
      </c>
      <c r="AD972" t="s">
        <v>876</v>
      </c>
      <c r="AE972">
        <v>131.13</v>
      </c>
      <c r="AF972" s="29">
        <f t="shared" si="101"/>
        <v>-1.5096890491212211E-2</v>
      </c>
    </row>
    <row r="973" spans="1:32">
      <c r="A973" s="3" t="s">
        <v>880</v>
      </c>
      <c r="B973" s="222">
        <v>53.89</v>
      </c>
      <c r="C973" s="227">
        <f t="shared" si="97"/>
        <v>-1.4988119173825587E-2</v>
      </c>
      <c r="D973" s="5">
        <f>C973-C1275</f>
        <v>-1.5066164743384475E-2</v>
      </c>
      <c r="E973" s="1"/>
      <c r="F973" s="8"/>
      <c r="H973" t="s">
        <v>879</v>
      </c>
      <c r="I973">
        <v>64.510000000000005</v>
      </c>
      <c r="J973" s="227">
        <f t="shared" si="98"/>
        <v>1.3989311537252469E-2</v>
      </c>
      <c r="K973" s="5">
        <f>J973-J1276</f>
        <v>1.1853355621642511E-2</v>
      </c>
      <c r="M973" s="240" t="s">
        <v>877</v>
      </c>
      <c r="N973">
        <v>3958.55</v>
      </c>
      <c r="O973" s="227">
        <f t="shared" si="99"/>
        <v>-3.6094631364069762E-3</v>
      </c>
      <c r="P973" s="5">
        <f>O973-O1278</f>
        <v>-3.2437059354938048E-3</v>
      </c>
      <c r="Q973" s="8">
        <f t="shared" si="102"/>
        <v>1.0521628195957739E-5</v>
      </c>
      <c r="X973" t="s">
        <v>877</v>
      </c>
      <c r="Y973">
        <v>65.315600000000003</v>
      </c>
      <c r="Z973" s="48">
        <f t="shared" si="100"/>
        <v>-9.7889861669375744E-4</v>
      </c>
      <c r="AA973" s="5">
        <f>Z973-Y1274</f>
        <v>-5.1962180859678915E-3</v>
      </c>
      <c r="AD973" t="s">
        <v>877</v>
      </c>
      <c r="AE973">
        <v>130.6</v>
      </c>
      <c r="AF973" s="29">
        <f t="shared" si="101"/>
        <v>-4.0417905894913897E-3</v>
      </c>
    </row>
    <row r="974" spans="1:32">
      <c r="A974" s="3" t="s">
        <v>881</v>
      </c>
      <c r="B974" s="222">
        <v>52.57</v>
      </c>
      <c r="C974" s="227">
        <f t="shared" si="97"/>
        <v>-2.4494340322879893E-2</v>
      </c>
      <c r="D974" s="5">
        <f>C974-C1275</f>
        <v>-2.4572385892438781E-2</v>
      </c>
      <c r="E974" s="1"/>
      <c r="F974" s="8"/>
      <c r="H974" t="s">
        <v>880</v>
      </c>
      <c r="I974">
        <v>63.57</v>
      </c>
      <c r="J974" s="227">
        <f t="shared" si="98"/>
        <v>-1.4571384281506838E-2</v>
      </c>
      <c r="K974" s="5">
        <f>J974-J1276</f>
        <v>-1.6707340197116796E-2</v>
      </c>
      <c r="M974" s="240" t="s">
        <v>878</v>
      </c>
      <c r="N974">
        <v>3971.09</v>
      </c>
      <c r="O974" s="227">
        <f t="shared" si="99"/>
        <v>3.1678266031753832E-3</v>
      </c>
      <c r="P974" s="5">
        <f>O974-O1278</f>
        <v>3.5335838040885547E-3</v>
      </c>
      <c r="Q974" s="8">
        <f t="shared" si="102"/>
        <v>1.2486214500516941E-5</v>
      </c>
      <c r="X974" t="s">
        <v>878</v>
      </c>
      <c r="Y974">
        <v>64.740300000000005</v>
      </c>
      <c r="Z974" s="48">
        <f t="shared" si="100"/>
        <v>-8.8080029885662103E-3</v>
      </c>
      <c r="AA974" s="5">
        <f>Z974-Y1274</f>
        <v>-1.3025322457840344E-2</v>
      </c>
      <c r="AD974" t="s">
        <v>878</v>
      </c>
      <c r="AE974">
        <v>129.97999999999999</v>
      </c>
      <c r="AF974" s="29">
        <f t="shared" si="101"/>
        <v>-4.7473200612557775E-3</v>
      </c>
    </row>
    <row r="975" spans="1:32">
      <c r="A975" s="3" t="s">
        <v>882</v>
      </c>
      <c r="B975" s="222">
        <v>53.49</v>
      </c>
      <c r="C975" s="227">
        <f t="shared" si="97"/>
        <v>1.7500475556400996E-2</v>
      </c>
      <c r="D975" s="5">
        <f>C975-C1275</f>
        <v>1.7422429986842108E-2</v>
      </c>
      <c r="E975" s="1"/>
      <c r="F975" s="8"/>
      <c r="H975" t="s">
        <v>881</v>
      </c>
      <c r="I975">
        <v>60.97</v>
      </c>
      <c r="J975" s="227">
        <f t="shared" si="98"/>
        <v>-4.0899795501022518E-2</v>
      </c>
      <c r="K975" s="5">
        <f>J975-J1276</f>
        <v>-4.3035751416632476E-2</v>
      </c>
      <c r="M975" s="240" t="s">
        <v>879</v>
      </c>
      <c r="N975">
        <v>3974.54</v>
      </c>
      <c r="O975" s="227">
        <f t="shared" si="99"/>
        <v>8.6877910095206623E-4</v>
      </c>
      <c r="P975" s="5">
        <f>O975-O1278</f>
        <v>1.2345363018652377E-3</v>
      </c>
      <c r="Q975" s="8">
        <f t="shared" si="102"/>
        <v>1.5240798806230974E-6</v>
      </c>
      <c r="X975" t="s">
        <v>879</v>
      </c>
      <c r="Y975">
        <v>66.106399999999994</v>
      </c>
      <c r="Z975" s="48">
        <f t="shared" si="100"/>
        <v>2.1101230609064103E-2</v>
      </c>
      <c r="AA975" s="5">
        <f>Z975-Y1274</f>
        <v>1.6883911139789969E-2</v>
      </c>
      <c r="AD975" t="s">
        <v>879</v>
      </c>
      <c r="AE975">
        <v>134.01</v>
      </c>
      <c r="AF975" s="29">
        <f t="shared" si="101"/>
        <v>3.100476996460988E-2</v>
      </c>
    </row>
    <row r="976" spans="1:32">
      <c r="A976" s="3" t="s">
        <v>883</v>
      </c>
      <c r="B976" s="222">
        <v>55.69</v>
      </c>
      <c r="C976" s="227">
        <f t="shared" si="97"/>
        <v>4.1129183024864346E-2</v>
      </c>
      <c r="D976" s="5">
        <f>C976-C1275</f>
        <v>4.1051137455305454E-2</v>
      </c>
      <c r="E976" s="1"/>
      <c r="F976" s="8"/>
      <c r="H976" t="s">
        <v>882</v>
      </c>
      <c r="I976">
        <v>61.56</v>
      </c>
      <c r="J976" s="227">
        <f t="shared" si="98"/>
        <v>9.6768902739052809E-3</v>
      </c>
      <c r="K976" s="5">
        <f>J976-J1276</f>
        <v>7.5409343582953231E-3</v>
      </c>
      <c r="M976" s="240" t="s">
        <v>880</v>
      </c>
      <c r="N976">
        <v>3909.52</v>
      </c>
      <c r="O976" s="227">
        <f t="shared" si="99"/>
        <v>-1.6359125835945787E-2</v>
      </c>
      <c r="P976" s="5">
        <f>O976-O1278</f>
        <v>-1.5993368635032614E-2</v>
      </c>
      <c r="Q976" s="8">
        <f t="shared" si="102"/>
        <v>2.5578784029604498E-4</v>
      </c>
      <c r="X976" t="s">
        <v>880</v>
      </c>
      <c r="Y976">
        <v>64.761700000000005</v>
      </c>
      <c r="Z976" s="48">
        <f t="shared" si="100"/>
        <v>-2.0341449541950385E-2</v>
      </c>
      <c r="AA976" s="5">
        <f>Z976-Y1274</f>
        <v>-2.4558769011224519E-2</v>
      </c>
      <c r="AD976" t="s">
        <v>880</v>
      </c>
      <c r="AE976">
        <v>131.75</v>
      </c>
      <c r="AF976" s="29">
        <f t="shared" si="101"/>
        <v>-1.686441310349962E-2</v>
      </c>
    </row>
    <row r="977" spans="1:32">
      <c r="A977" s="3" t="s">
        <v>884</v>
      </c>
      <c r="B977" s="222">
        <v>57.08</v>
      </c>
      <c r="C977" s="227">
        <f t="shared" si="97"/>
        <v>2.495959777338852E-2</v>
      </c>
      <c r="D977" s="5">
        <f>C977-C1275</f>
        <v>2.4881552203829631E-2</v>
      </c>
      <c r="E977" s="1"/>
      <c r="F977" s="8"/>
      <c r="H977" t="s">
        <v>883</v>
      </c>
      <c r="I977">
        <v>64.16</v>
      </c>
      <c r="J977" s="227">
        <f t="shared" si="98"/>
        <v>4.2235217673814107E-2</v>
      </c>
      <c r="K977" s="5">
        <f>J977-J1276</f>
        <v>4.0099261758204149E-2</v>
      </c>
      <c r="M977" s="240" t="s">
        <v>881</v>
      </c>
      <c r="N977">
        <v>3889.14</v>
      </c>
      <c r="O977" s="227">
        <f t="shared" si="99"/>
        <v>-5.212916163621184E-3</v>
      </c>
      <c r="P977" s="5">
        <f>O977-O1278</f>
        <v>-4.8471589627080121E-3</v>
      </c>
      <c r="Q977" s="8">
        <f t="shared" si="102"/>
        <v>2.3494950009760612E-5</v>
      </c>
      <c r="X977" t="s">
        <v>881</v>
      </c>
      <c r="Y977">
        <v>62.7254</v>
      </c>
      <c r="Z977" s="48">
        <f t="shared" si="100"/>
        <v>-3.1442967062322413E-2</v>
      </c>
      <c r="AA977" s="5">
        <f>Z977-Y1274</f>
        <v>-3.5660286531596544E-2</v>
      </c>
      <c r="AD977" t="s">
        <v>881</v>
      </c>
      <c r="AE977">
        <v>125.53</v>
      </c>
      <c r="AF977" s="29">
        <f t="shared" si="101"/>
        <v>-4.7210626185958282E-2</v>
      </c>
    </row>
    <row r="978" spans="1:32">
      <c r="A978" s="3" t="s">
        <v>885</v>
      </c>
      <c r="B978" s="222">
        <v>55.69</v>
      </c>
      <c r="C978" s="227">
        <f t="shared" ref="C978:C1041" si="103">B978/B977-1</f>
        <v>-2.4351786965662203E-2</v>
      </c>
      <c r="D978" s="5">
        <f>C978-C1275</f>
        <v>-2.4429832535221092E-2</v>
      </c>
      <c r="E978" s="1"/>
      <c r="F978" s="8"/>
      <c r="H978" t="s">
        <v>884</v>
      </c>
      <c r="I978">
        <v>66.56</v>
      </c>
      <c r="J978" s="227">
        <f t="shared" si="98"/>
        <v>3.7406483790523692E-2</v>
      </c>
      <c r="K978" s="5">
        <f>J978-J1276</f>
        <v>3.5270527874913735E-2</v>
      </c>
      <c r="M978" s="240" t="s">
        <v>882</v>
      </c>
      <c r="N978">
        <v>3910.52</v>
      </c>
      <c r="O978" s="227">
        <f t="shared" si="99"/>
        <v>5.4973593133700316E-3</v>
      </c>
      <c r="P978" s="5">
        <f>O978-O1278</f>
        <v>5.8631165142832035E-3</v>
      </c>
      <c r="Q978" s="8">
        <f t="shared" si="102"/>
        <v>3.437613526006042E-5</v>
      </c>
      <c r="X978" t="s">
        <v>882</v>
      </c>
      <c r="Y978">
        <v>61.884399999999999</v>
      </c>
      <c r="Z978" s="48">
        <f t="shared" si="100"/>
        <v>-1.3407646663074257E-2</v>
      </c>
      <c r="AA978" s="5">
        <f>Z978-Y1274</f>
        <v>-1.7624966132348392E-2</v>
      </c>
      <c r="AD978" t="s">
        <v>882</v>
      </c>
      <c r="AE978">
        <v>131.76</v>
      </c>
      <c r="AF978" s="29">
        <f t="shared" si="101"/>
        <v>4.9629570620568719E-2</v>
      </c>
    </row>
    <row r="979" spans="1:32">
      <c r="A979" s="3" t="s">
        <v>886</v>
      </c>
      <c r="B979" s="222">
        <v>56.36</v>
      </c>
      <c r="C979" s="227">
        <f t="shared" si="103"/>
        <v>1.2030885257676482E-2</v>
      </c>
      <c r="D979" s="5">
        <f>C979-C1275</f>
        <v>1.1952839688117594E-2</v>
      </c>
      <c r="E979" s="1"/>
      <c r="F979" s="8"/>
      <c r="H979" t="s">
        <v>885</v>
      </c>
      <c r="I979">
        <v>66.08</v>
      </c>
      <c r="J979" s="227">
        <f t="shared" si="98"/>
        <v>-7.2115384615385469E-3</v>
      </c>
      <c r="K979" s="5">
        <f>J979-J1276</f>
        <v>-9.3474943771485047E-3</v>
      </c>
      <c r="M979" s="240" t="s">
        <v>883</v>
      </c>
      <c r="N979">
        <v>3940.59</v>
      </c>
      <c r="O979" s="227">
        <f t="shared" si="99"/>
        <v>7.689514437977607E-3</v>
      </c>
      <c r="P979" s="5">
        <f>O979-O1278</f>
        <v>8.0552716388907781E-3</v>
      </c>
      <c r="Q979" s="8">
        <f t="shared" si="102"/>
        <v>6.4887401176318122E-5</v>
      </c>
      <c r="X979" t="s">
        <v>883</v>
      </c>
      <c r="Y979">
        <v>63.125599999999999</v>
      </c>
      <c r="Z979" s="48">
        <f t="shared" si="100"/>
        <v>2.0056750974397408E-2</v>
      </c>
      <c r="AA979" s="5">
        <f>Z979-Y1274</f>
        <v>1.5839431505123274E-2</v>
      </c>
      <c r="AD979" t="s">
        <v>883</v>
      </c>
      <c r="AE979">
        <v>135.91</v>
      </c>
      <c r="AF979" s="29">
        <f t="shared" si="101"/>
        <v>3.149666059502132E-2</v>
      </c>
    </row>
    <row r="980" spans="1:32">
      <c r="A980" s="3" t="s">
        <v>887</v>
      </c>
      <c r="B980" s="222">
        <v>58.85</v>
      </c>
      <c r="C980" s="227">
        <f t="shared" si="103"/>
        <v>4.418026969481903E-2</v>
      </c>
      <c r="D980" s="5">
        <f>C980-C1275</f>
        <v>4.4102224125260138E-2</v>
      </c>
      <c r="E980" s="1"/>
      <c r="F980" s="8"/>
      <c r="H980" t="s">
        <v>886</v>
      </c>
      <c r="I980">
        <v>65.930000000000007</v>
      </c>
      <c r="J980" s="227">
        <f t="shared" ref="J980:J1043" si="104">I980/I979-1</f>
        <v>-2.2699757869247827E-3</v>
      </c>
      <c r="K980" s="5">
        <f>J980-J1276</f>
        <v>-4.4059317025347405E-3</v>
      </c>
      <c r="M980" s="240" t="s">
        <v>884</v>
      </c>
      <c r="N980">
        <v>3913.1</v>
      </c>
      <c r="O980" s="227">
        <f t="shared" si="99"/>
        <v>-6.9761127140860468E-3</v>
      </c>
      <c r="P980" s="5">
        <f>O980-O1278</f>
        <v>-6.6103555131728749E-3</v>
      </c>
      <c r="Q980" s="8">
        <f t="shared" si="102"/>
        <v>4.3696800010535021E-5</v>
      </c>
      <c r="X980" t="s">
        <v>884</v>
      </c>
      <c r="Y980">
        <v>64.678399999999996</v>
      </c>
      <c r="Z980" s="48">
        <f t="shared" si="100"/>
        <v>2.4598578072921207E-2</v>
      </c>
      <c r="AA980" s="5">
        <f>Z980-Y1274</f>
        <v>2.0381258603647073E-2</v>
      </c>
      <c r="AD980" t="s">
        <v>884</v>
      </c>
      <c r="AE980">
        <v>135.03</v>
      </c>
      <c r="AF980" s="29">
        <f t="shared" si="101"/>
        <v>-6.4748730777720587E-3</v>
      </c>
    </row>
    <row r="981" spans="1:32">
      <c r="A981" s="3" t="s">
        <v>888</v>
      </c>
      <c r="B981" s="222">
        <v>60.19</v>
      </c>
      <c r="C981" s="227">
        <f t="shared" si="103"/>
        <v>2.2769753610875076E-2</v>
      </c>
      <c r="D981" s="5">
        <f>C981-C1275</f>
        <v>2.2691708041316188E-2</v>
      </c>
      <c r="F981" s="8"/>
      <c r="H981" t="s">
        <v>887</v>
      </c>
      <c r="I981">
        <v>64.69</v>
      </c>
      <c r="J981" s="227">
        <f t="shared" si="104"/>
        <v>-1.8807826482633239E-2</v>
      </c>
      <c r="K981" s="5">
        <f>J981-J1276</f>
        <v>-2.0943782398243196E-2</v>
      </c>
      <c r="M981" s="240" t="s">
        <v>885</v>
      </c>
      <c r="N981">
        <v>3915.46</v>
      </c>
      <c r="O981" s="227">
        <f t="shared" si="99"/>
        <v>6.0310239963201617E-4</v>
      </c>
      <c r="P981" s="5">
        <f>O981-O1278</f>
        <v>9.6885960054518766E-4</v>
      </c>
      <c r="Q981" s="8">
        <f t="shared" si="102"/>
        <v>9.3868892556858057E-7</v>
      </c>
      <c r="X981" t="s">
        <v>885</v>
      </c>
      <c r="Y981">
        <v>64.247299999999996</v>
      </c>
      <c r="Z981" s="48">
        <f t="shared" si="100"/>
        <v>-6.6652854739758238E-3</v>
      </c>
      <c r="AA981" s="5">
        <f>Z981-Y1274</f>
        <v>-1.0882604943249958E-2</v>
      </c>
      <c r="AD981" t="s">
        <v>885</v>
      </c>
      <c r="AE981">
        <v>130.62</v>
      </c>
      <c r="AF981" s="29">
        <f t="shared" si="101"/>
        <v>-3.2659409020217689E-2</v>
      </c>
    </row>
    <row r="982" spans="1:32">
      <c r="A982" s="220">
        <v>44533</v>
      </c>
      <c r="B982" s="222">
        <v>60.35</v>
      </c>
      <c r="C982" s="227">
        <f t="shared" si="103"/>
        <v>2.6582488785513725E-3</v>
      </c>
      <c r="D982" s="5">
        <f>C982-C1275</f>
        <v>2.5802033089924832E-3</v>
      </c>
      <c r="F982" s="8"/>
      <c r="H982" t="s">
        <v>888</v>
      </c>
      <c r="I982">
        <v>67.42</v>
      </c>
      <c r="J982" s="227">
        <f t="shared" si="104"/>
        <v>4.2201267583861446E-2</v>
      </c>
      <c r="K982" s="5">
        <f>J982-J1276</f>
        <v>4.0065311668251488E-2</v>
      </c>
      <c r="M982" s="240" t="s">
        <v>886</v>
      </c>
      <c r="N982">
        <v>3974.12</v>
      </c>
      <c r="O982" s="227">
        <f t="shared" ref="O982:O1045" si="105">N982/N981-1</f>
        <v>1.4981636895792461E-2</v>
      </c>
      <c r="P982" s="5">
        <f>O982-O1278</f>
        <v>1.5347394096705632E-2</v>
      </c>
      <c r="Q982" s="8">
        <f t="shared" si="102"/>
        <v>2.3554250555959488E-4</v>
      </c>
      <c r="X982" t="s">
        <v>886</v>
      </c>
      <c r="Y982">
        <v>64.194999999999993</v>
      </c>
      <c r="Z982" s="48">
        <f t="shared" ref="Z982:Z1045" si="106">Y982/Y981-1</f>
        <v>-8.1404199086965168E-4</v>
      </c>
      <c r="AA982" s="5">
        <f>Z982-Y1274</f>
        <v>-5.0313614601437857E-3</v>
      </c>
      <c r="AD982" t="s">
        <v>886</v>
      </c>
      <c r="AE982">
        <v>133.80000000000001</v>
      </c>
      <c r="AF982" s="29">
        <f t="shared" ref="AF982:AF1045" si="107">AE982/AE981-1</f>
        <v>2.4345429490123971E-2</v>
      </c>
    </row>
    <row r="983" spans="1:32">
      <c r="A983" s="220">
        <v>44503</v>
      </c>
      <c r="B983" s="222">
        <v>58.95</v>
      </c>
      <c r="C983" s="227">
        <f t="shared" si="103"/>
        <v>-2.3198011599005808E-2</v>
      </c>
      <c r="D983" s="5">
        <f>C983-C1275</f>
        <v>-2.3276057168564696E-2</v>
      </c>
      <c r="F983" s="8"/>
      <c r="H983" s="1">
        <v>44533</v>
      </c>
      <c r="I983">
        <v>66.37</v>
      </c>
      <c r="J983" s="227">
        <f t="shared" si="104"/>
        <v>-1.5574013645802354E-2</v>
      </c>
      <c r="K983" s="5">
        <f>J983-J1276</f>
        <v>-1.7709969561412311E-2</v>
      </c>
      <c r="M983" s="240" t="s">
        <v>887</v>
      </c>
      <c r="N983">
        <v>3962.71</v>
      </c>
      <c r="O983" s="227">
        <f t="shared" si="105"/>
        <v>-2.871075860819472E-3</v>
      </c>
      <c r="P983" s="5">
        <f>O983-O1278</f>
        <v>-2.5053186599063005E-3</v>
      </c>
      <c r="Q983" s="8">
        <f t="shared" ref="Q983:Q1046" si="108">P983*P983</f>
        <v>6.2766215876747014E-6</v>
      </c>
      <c r="X983" t="s">
        <v>887</v>
      </c>
      <c r="Y983">
        <v>65.315600000000003</v>
      </c>
      <c r="Z983" s="48">
        <f t="shared" si="106"/>
        <v>1.7456188176649512E-2</v>
      </c>
      <c r="AA983" s="5">
        <f>Z983-Y1274</f>
        <v>1.3238868707375378E-2</v>
      </c>
      <c r="AD983" t="s">
        <v>887</v>
      </c>
      <c r="AE983">
        <v>133.66</v>
      </c>
      <c r="AF983" s="29">
        <f t="shared" si="107"/>
        <v>-1.0463378176384097E-3</v>
      </c>
    </row>
    <row r="984" spans="1:32">
      <c r="A984" s="220">
        <v>44472</v>
      </c>
      <c r="B984" s="222">
        <v>57.68</v>
      </c>
      <c r="C984" s="227">
        <f t="shared" si="103"/>
        <v>-2.1543681085665844E-2</v>
      </c>
      <c r="D984" s="5">
        <f>C984-C1275</f>
        <v>-2.1621726655224733E-2</v>
      </c>
      <c r="F984" s="8"/>
      <c r="H984" s="1">
        <v>44503</v>
      </c>
      <c r="I984">
        <v>62.72</v>
      </c>
      <c r="J984" s="227">
        <f t="shared" si="104"/>
        <v>-5.4994726533072247E-2</v>
      </c>
      <c r="K984" s="5">
        <f>J984-J1276</f>
        <v>-5.7130682448682205E-2</v>
      </c>
      <c r="M984" s="240" t="s">
        <v>888</v>
      </c>
      <c r="N984">
        <v>3968.94</v>
      </c>
      <c r="O984" s="227">
        <f t="shared" si="105"/>
        <v>1.5721564283028844E-3</v>
      </c>
      <c r="P984" s="5">
        <f>O984-O1278</f>
        <v>1.9379136292160559E-3</v>
      </c>
      <c r="Q984" s="8">
        <f t="shared" si="108"/>
        <v>3.7555092343013448E-6</v>
      </c>
      <c r="X984" t="s">
        <v>888</v>
      </c>
      <c r="Y984">
        <v>66.103200000000001</v>
      </c>
      <c r="Z984" s="48">
        <f t="shared" si="106"/>
        <v>1.2058375028324075E-2</v>
      </c>
      <c r="AA984" s="5">
        <f>Z984-Y1274</f>
        <v>7.8410555590499413E-3</v>
      </c>
      <c r="AD984" t="s">
        <v>888</v>
      </c>
      <c r="AE984">
        <v>140.69</v>
      </c>
      <c r="AF984" s="29">
        <f t="shared" si="107"/>
        <v>5.2596139458327196E-2</v>
      </c>
    </row>
    <row r="985" spans="1:32">
      <c r="A985" s="220">
        <v>44442</v>
      </c>
      <c r="B985" s="222">
        <v>55.25</v>
      </c>
      <c r="C985" s="227">
        <f t="shared" si="103"/>
        <v>-4.2128987517337069E-2</v>
      </c>
      <c r="D985" s="5">
        <f>C985-C1275</f>
        <v>-4.2207033086895961E-2</v>
      </c>
      <c r="F985" s="8"/>
      <c r="H985" s="1">
        <v>44472</v>
      </c>
      <c r="I985">
        <v>61.31</v>
      </c>
      <c r="J985" s="227">
        <f t="shared" si="104"/>
        <v>-2.2480867346938771E-2</v>
      </c>
      <c r="K985" s="5">
        <f>J985-J1276</f>
        <v>-2.4616823262548729E-2</v>
      </c>
      <c r="M985" s="241">
        <v>44533</v>
      </c>
      <c r="N985">
        <v>3943.34</v>
      </c>
      <c r="O985" s="227">
        <f t="shared" si="105"/>
        <v>-6.4500849093208634E-3</v>
      </c>
      <c r="P985" s="5">
        <f>O985-O1278</f>
        <v>-6.0843277084076915E-3</v>
      </c>
      <c r="Q985" s="8">
        <f t="shared" si="108"/>
        <v>3.7019043663297593E-5</v>
      </c>
      <c r="X985" s="1">
        <v>44533</v>
      </c>
      <c r="Y985">
        <v>66.044499999999999</v>
      </c>
      <c r="Z985" s="48">
        <f t="shared" si="106"/>
        <v>-8.8800542182532194E-4</v>
      </c>
      <c r="AA985" s="5">
        <f>Z985-Y1274</f>
        <v>-5.105324891099456E-3</v>
      </c>
      <c r="AD985" s="1">
        <v>44533</v>
      </c>
      <c r="AE985">
        <v>142.03</v>
      </c>
      <c r="AF985" s="29">
        <f t="shared" si="107"/>
        <v>9.5244864595920298E-3</v>
      </c>
    </row>
    <row r="986" spans="1:32">
      <c r="A986" s="220">
        <v>44411</v>
      </c>
      <c r="B986" s="222">
        <v>53.2</v>
      </c>
      <c r="C986" s="227">
        <f t="shared" si="103"/>
        <v>-3.7104072398190024E-2</v>
      </c>
      <c r="D986" s="5">
        <f>C986-C1275</f>
        <v>-3.7182117967748916E-2</v>
      </c>
      <c r="F986" s="8"/>
      <c r="H986" s="1">
        <v>44442</v>
      </c>
      <c r="I986">
        <v>62.34</v>
      </c>
      <c r="J986" s="227">
        <f t="shared" si="104"/>
        <v>1.679986951557666E-2</v>
      </c>
      <c r="K986" s="5">
        <f>J986-J1276</f>
        <v>1.4663913599966702E-2</v>
      </c>
      <c r="M986" s="241">
        <v>44503</v>
      </c>
      <c r="N986">
        <v>3939.34</v>
      </c>
      <c r="O986" s="227">
        <f t="shared" si="105"/>
        <v>-1.0143685302307359E-3</v>
      </c>
      <c r="P986" s="5">
        <f>O986-O1278</f>
        <v>-6.4861132931756443E-4</v>
      </c>
      <c r="Q986" s="8">
        <f t="shared" si="108"/>
        <v>4.20696656519098E-7</v>
      </c>
      <c r="X986" s="1">
        <v>44503</v>
      </c>
      <c r="Y986">
        <v>64.567400000000006</v>
      </c>
      <c r="Z986" s="48">
        <f t="shared" si="106"/>
        <v>-2.2365223447826765E-2</v>
      </c>
      <c r="AA986" s="5">
        <f>Z986-Y1274</f>
        <v>-2.6582542917100899E-2</v>
      </c>
      <c r="AD986" s="1">
        <v>44503</v>
      </c>
      <c r="AE986">
        <v>144.97</v>
      </c>
      <c r="AF986" s="29">
        <f t="shared" si="107"/>
        <v>2.0699852143913233E-2</v>
      </c>
    </row>
    <row r="987" spans="1:32">
      <c r="A987" s="220">
        <v>44319</v>
      </c>
      <c r="B987" s="222">
        <v>55.54</v>
      </c>
      <c r="C987" s="227">
        <f t="shared" si="103"/>
        <v>4.3984962406014905E-2</v>
      </c>
      <c r="D987" s="5">
        <f>C987-C1275</f>
        <v>4.3906916836456013E-2</v>
      </c>
      <c r="F987" s="8"/>
      <c r="H987" s="1">
        <v>44411</v>
      </c>
      <c r="I987">
        <v>64.31</v>
      </c>
      <c r="J987" s="227">
        <f t="shared" si="104"/>
        <v>3.1600898299647184E-2</v>
      </c>
      <c r="K987" s="5">
        <f>J987-J1276</f>
        <v>2.9464942384037227E-2</v>
      </c>
      <c r="M987" s="241">
        <v>44472</v>
      </c>
      <c r="N987">
        <v>3898.81</v>
      </c>
      <c r="O987" s="227">
        <f t="shared" si="105"/>
        <v>-1.0288525489041356E-2</v>
      </c>
      <c r="P987" s="5">
        <f>O987-O1278</f>
        <v>-9.9227682881281847E-3</v>
      </c>
      <c r="Q987" s="8">
        <f t="shared" si="108"/>
        <v>9.8461330499882349E-5</v>
      </c>
      <c r="X987" s="1">
        <v>44472</v>
      </c>
      <c r="Y987">
        <v>63.5503</v>
      </c>
      <c r="Z987" s="48">
        <f t="shared" si="106"/>
        <v>-1.5752531463246289E-2</v>
      </c>
      <c r="AA987" s="5">
        <f>Z987-Y1274</f>
        <v>-1.9969850932520423E-2</v>
      </c>
      <c r="AD987" s="1">
        <v>44472</v>
      </c>
      <c r="AE987">
        <v>135.77000000000001</v>
      </c>
      <c r="AF987" s="29">
        <f t="shared" si="107"/>
        <v>-6.3461405808098115E-2</v>
      </c>
    </row>
    <row r="988" spans="1:32">
      <c r="A988" s="220">
        <v>44289</v>
      </c>
      <c r="B988" s="222">
        <v>53.07</v>
      </c>
      <c r="C988" s="227">
        <f t="shared" si="103"/>
        <v>-4.4472452286640207E-2</v>
      </c>
      <c r="D988" s="5">
        <f>C988-C1275</f>
        <v>-4.4550497856199099E-2</v>
      </c>
      <c r="F988" s="8"/>
      <c r="H988" s="1">
        <v>44319</v>
      </c>
      <c r="I988">
        <v>64.12</v>
      </c>
      <c r="J988" s="227">
        <f t="shared" si="104"/>
        <v>-2.9544394339915403E-3</v>
      </c>
      <c r="K988" s="5">
        <f>J988-J1276</f>
        <v>-5.0903953496014981E-3</v>
      </c>
      <c r="M988" s="241">
        <v>44442</v>
      </c>
      <c r="N988">
        <v>3875.44</v>
      </c>
      <c r="O988" s="227">
        <f t="shared" si="105"/>
        <v>-5.9941366724718392E-3</v>
      </c>
      <c r="P988" s="5">
        <f>O988-O1278</f>
        <v>-5.6283794715586673E-3</v>
      </c>
      <c r="Q988" s="8">
        <f t="shared" si="108"/>
        <v>3.1678655475863024E-5</v>
      </c>
      <c r="X988" s="1">
        <v>44442</v>
      </c>
      <c r="Y988">
        <v>62.4895</v>
      </c>
      <c r="Z988" s="48">
        <f t="shared" si="106"/>
        <v>-1.6692289414841466E-2</v>
      </c>
      <c r="AA988" s="5">
        <f>Z988-Y1274</f>
        <v>-2.09096088841156E-2</v>
      </c>
      <c r="AD988" s="1">
        <v>44442</v>
      </c>
      <c r="AE988">
        <v>141.47999999999999</v>
      </c>
      <c r="AF988" s="29">
        <f t="shared" si="107"/>
        <v>4.2056418943801965E-2</v>
      </c>
    </row>
    <row r="989" spans="1:32">
      <c r="A989" s="220">
        <v>44258</v>
      </c>
      <c r="B989" s="222">
        <v>56.11</v>
      </c>
      <c r="C989" s="227">
        <f t="shared" si="103"/>
        <v>5.7282833992839732E-2</v>
      </c>
      <c r="D989" s="5">
        <f>C989-C1275</f>
        <v>5.720478842328084E-2</v>
      </c>
      <c r="F989" s="8"/>
      <c r="H989" s="1">
        <v>44289</v>
      </c>
      <c r="I989">
        <v>61.87</v>
      </c>
      <c r="J989" s="227">
        <f t="shared" si="104"/>
        <v>-3.5090455396132314E-2</v>
      </c>
      <c r="K989" s="5">
        <f>J989-J1276</f>
        <v>-3.7226411311742272E-2</v>
      </c>
      <c r="M989" s="241">
        <v>44411</v>
      </c>
      <c r="N989">
        <v>3821.35</v>
      </c>
      <c r="O989" s="227">
        <f t="shared" si="105"/>
        <v>-1.395712486840206E-2</v>
      </c>
      <c r="P989" s="5">
        <f>O989-O1278</f>
        <v>-1.3591367667488889E-2</v>
      </c>
      <c r="Q989" s="8">
        <f t="shared" si="108"/>
        <v>1.8472527507286236E-4</v>
      </c>
      <c r="X989" s="1">
        <v>44411</v>
      </c>
      <c r="Y989">
        <v>64.361500000000007</v>
      </c>
      <c r="Z989" s="48">
        <f t="shared" si="106"/>
        <v>2.9957032781507298E-2</v>
      </c>
      <c r="AA989" s="5">
        <f>Z989-Y1274</f>
        <v>2.5739713312233164E-2</v>
      </c>
      <c r="AD989" s="1">
        <v>44411</v>
      </c>
      <c r="AE989">
        <v>133.41</v>
      </c>
      <c r="AF989" s="29">
        <f t="shared" si="107"/>
        <v>-5.7039864291772657E-2</v>
      </c>
    </row>
    <row r="990" spans="1:32">
      <c r="A990" s="220">
        <v>44230</v>
      </c>
      <c r="B990" s="222">
        <v>54.65</v>
      </c>
      <c r="C990" s="227">
        <f t="shared" si="103"/>
        <v>-2.6020317234004664E-2</v>
      </c>
      <c r="D990" s="5">
        <f>C990-C1275</f>
        <v>-2.6098362803563552E-2</v>
      </c>
      <c r="E990" s="1"/>
      <c r="F990" s="8"/>
      <c r="H990" s="1">
        <v>44258</v>
      </c>
      <c r="I990">
        <v>61.76</v>
      </c>
      <c r="J990" s="227">
        <f t="shared" si="104"/>
        <v>-1.7779214481977723E-3</v>
      </c>
      <c r="K990" s="5">
        <f>J990-J1276</f>
        <v>-3.9138773638077301E-3</v>
      </c>
      <c r="M990" s="241">
        <v>44319</v>
      </c>
      <c r="N990">
        <v>3841.94</v>
      </c>
      <c r="O990" s="227">
        <f t="shared" si="105"/>
        <v>5.3881481675324139E-3</v>
      </c>
      <c r="P990" s="5">
        <f>O990-O1278</f>
        <v>5.7539053684455858E-3</v>
      </c>
      <c r="Q990" s="8">
        <f t="shared" si="108"/>
        <v>3.3107426989026934E-5</v>
      </c>
      <c r="X990" s="1">
        <v>44319</v>
      </c>
      <c r="Y990">
        <v>63.654899999999998</v>
      </c>
      <c r="Z990" s="48">
        <f t="shared" si="106"/>
        <v>-1.0978612990685588E-2</v>
      </c>
      <c r="AA990" s="5">
        <f>Z990-Y1274</f>
        <v>-1.5195932459959722E-2</v>
      </c>
      <c r="AD990" s="1">
        <v>44319</v>
      </c>
      <c r="AE990">
        <v>151.47999999999999</v>
      </c>
      <c r="AF990" s="29">
        <f t="shared" si="107"/>
        <v>0.13544711790720321</v>
      </c>
    </row>
    <row r="991" spans="1:32">
      <c r="A991" s="220">
        <v>44199</v>
      </c>
      <c r="B991" s="222">
        <v>54.4</v>
      </c>
      <c r="C991" s="227">
        <f t="shared" si="103"/>
        <v>-4.5745654162854255E-3</v>
      </c>
      <c r="D991" s="5">
        <f>C991-C1275</f>
        <v>-4.6526109858443148E-3</v>
      </c>
      <c r="E991" s="1"/>
      <c r="F991" s="8"/>
      <c r="H991" s="1">
        <v>44230</v>
      </c>
      <c r="I991">
        <v>57.06</v>
      </c>
      <c r="J991" s="227">
        <f t="shared" si="104"/>
        <v>-7.6101036269429989E-2</v>
      </c>
      <c r="K991" s="5">
        <f>J991-J1276</f>
        <v>-7.8236992185039947E-2</v>
      </c>
      <c r="M991" s="241">
        <v>44289</v>
      </c>
      <c r="N991">
        <v>3768.47</v>
      </c>
      <c r="O991" s="227">
        <f t="shared" si="105"/>
        <v>-1.9123151324591303E-2</v>
      </c>
      <c r="P991" s="5">
        <f>O991-O1278</f>
        <v>-1.875739412367813E-2</v>
      </c>
      <c r="Q991" s="8">
        <f t="shared" si="108"/>
        <v>3.5183983431099486E-4</v>
      </c>
      <c r="X991" s="1">
        <v>44289</v>
      </c>
      <c r="Y991">
        <v>61.686900000000001</v>
      </c>
      <c r="Z991" s="48">
        <f t="shared" si="106"/>
        <v>-3.0916708690140071E-2</v>
      </c>
      <c r="AA991" s="5">
        <f>Z991-Y1274</f>
        <v>-3.5134028159414202E-2</v>
      </c>
      <c r="AD991" s="1">
        <v>44289</v>
      </c>
      <c r="AE991">
        <v>150</v>
      </c>
      <c r="AF991" s="29">
        <f t="shared" si="107"/>
        <v>-9.7702667018747524E-3</v>
      </c>
    </row>
    <row r="992" spans="1:32">
      <c r="A992" s="3" t="s">
        <v>889</v>
      </c>
      <c r="B992" s="222">
        <v>51.75</v>
      </c>
      <c r="C992" s="227">
        <f t="shared" si="103"/>
        <v>-4.8713235294117641E-2</v>
      </c>
      <c r="D992" s="5">
        <f>C992-C1275</f>
        <v>-4.8791280863676532E-2</v>
      </c>
      <c r="E992" s="1"/>
      <c r="F992" s="8"/>
      <c r="H992" s="1">
        <v>44199</v>
      </c>
      <c r="I992">
        <v>57.34</v>
      </c>
      <c r="J992" s="227">
        <f t="shared" si="104"/>
        <v>4.9071153172099979E-3</v>
      </c>
      <c r="K992" s="5">
        <f>J992-J1276</f>
        <v>2.7711594016000402E-3</v>
      </c>
      <c r="M992" s="241">
        <v>44258</v>
      </c>
      <c r="N992">
        <v>3819.72</v>
      </c>
      <c r="O992" s="227">
        <f t="shared" si="105"/>
        <v>1.3599683691259301E-2</v>
      </c>
      <c r="P992" s="5">
        <f>O992-O1278</f>
        <v>1.3965440892172472E-2</v>
      </c>
      <c r="Q992" s="8">
        <f t="shared" si="108"/>
        <v>1.9503353931276304E-4</v>
      </c>
      <c r="X992" s="1">
        <v>44258</v>
      </c>
      <c r="Y992">
        <v>62.743499999999997</v>
      </c>
      <c r="Z992" s="48">
        <f t="shared" si="106"/>
        <v>1.7128434075954546E-2</v>
      </c>
      <c r="AA992" s="5">
        <f>Z992-Y1274</f>
        <v>1.2911114606680412E-2</v>
      </c>
      <c r="AD992" s="1">
        <v>44258</v>
      </c>
      <c r="AE992">
        <v>148.25</v>
      </c>
      <c r="AF992" s="29">
        <f t="shared" si="107"/>
        <v>-1.1666666666666714E-2</v>
      </c>
    </row>
    <row r="993" spans="1:32">
      <c r="A993" s="3" t="s">
        <v>890</v>
      </c>
      <c r="B993" s="222">
        <v>51.45</v>
      </c>
      <c r="C993" s="227">
        <f t="shared" si="103"/>
        <v>-5.7971014492752548E-3</v>
      </c>
      <c r="D993" s="5">
        <f>C993-C1275</f>
        <v>-5.8751470188341441E-3</v>
      </c>
      <c r="E993" s="1"/>
      <c r="F993" s="8"/>
      <c r="H993" t="s">
        <v>889</v>
      </c>
      <c r="I993">
        <v>55.7</v>
      </c>
      <c r="J993" s="227">
        <f t="shared" si="104"/>
        <v>-2.8601325427275892E-2</v>
      </c>
      <c r="K993" s="5">
        <f>J993-J1276</f>
        <v>-3.073728134288585E-2</v>
      </c>
      <c r="M993" s="241">
        <v>44230</v>
      </c>
      <c r="N993">
        <v>3870.29</v>
      </c>
      <c r="O993" s="227">
        <f t="shared" si="105"/>
        <v>1.3239190307142934E-2</v>
      </c>
      <c r="P993" s="5">
        <f>O993-O1278</f>
        <v>1.3604947508056105E-2</v>
      </c>
      <c r="Q993" s="8">
        <f t="shared" si="108"/>
        <v>1.8509459669696201E-4</v>
      </c>
      <c r="X993" s="1">
        <v>44230</v>
      </c>
      <c r="Y993">
        <v>61.845999999999997</v>
      </c>
      <c r="Z993" s="48">
        <f t="shared" si="106"/>
        <v>-1.4304270561890875E-2</v>
      </c>
      <c r="AA993" s="5">
        <f>Z993-Y1274</f>
        <v>-1.8521590031165009E-2</v>
      </c>
      <c r="AD993" s="1">
        <v>44230</v>
      </c>
      <c r="AE993">
        <v>160.59</v>
      </c>
      <c r="AF993" s="29">
        <f t="shared" si="107"/>
        <v>8.3237774030354261E-2</v>
      </c>
    </row>
    <row r="994" spans="1:32">
      <c r="A994" s="3" t="s">
        <v>891</v>
      </c>
      <c r="B994" s="222">
        <v>53.91</v>
      </c>
      <c r="C994" s="227">
        <f t="shared" si="103"/>
        <v>4.7813411078717172E-2</v>
      </c>
      <c r="D994" s="5">
        <f>C994-C1275</f>
        <v>4.773536550915828E-2</v>
      </c>
      <c r="E994" s="1"/>
      <c r="F994" s="8"/>
      <c r="H994" t="s">
        <v>890</v>
      </c>
      <c r="I994">
        <v>55.91</v>
      </c>
      <c r="J994" s="227">
        <f t="shared" si="104"/>
        <v>3.7701974865349541E-3</v>
      </c>
      <c r="K994" s="5">
        <f>J994-J1276</f>
        <v>1.6342415709249963E-3</v>
      </c>
      <c r="M994" s="241">
        <v>44199</v>
      </c>
      <c r="N994">
        <v>3901.82</v>
      </c>
      <c r="O994" s="227">
        <f t="shared" si="105"/>
        <v>8.1466763472504145E-3</v>
      </c>
      <c r="P994" s="5">
        <f>O994-O1278</f>
        <v>8.5124335481635855E-3</v>
      </c>
      <c r="Q994" s="8">
        <f t="shared" si="108"/>
        <v>7.2461524911900888E-5</v>
      </c>
      <c r="X994" s="1">
        <v>44199</v>
      </c>
      <c r="Y994">
        <v>61.525799999999997</v>
      </c>
      <c r="Z994" s="48">
        <f t="shared" si="106"/>
        <v>-5.1773760631245169E-3</v>
      </c>
      <c r="AA994" s="5">
        <f>Z994-Y1274</f>
        <v>-9.394695532398651E-3</v>
      </c>
      <c r="AD994" s="1">
        <v>44199</v>
      </c>
      <c r="AE994">
        <v>168.89</v>
      </c>
      <c r="AF994" s="29">
        <f t="shared" si="107"/>
        <v>5.1684413724391254E-2</v>
      </c>
    </row>
    <row r="995" spans="1:32">
      <c r="A995" s="3" t="s">
        <v>892</v>
      </c>
      <c r="B995" s="222">
        <v>56</v>
      </c>
      <c r="C995" s="227">
        <f t="shared" si="103"/>
        <v>3.876831756631427E-2</v>
      </c>
      <c r="D995" s="5">
        <f>C995-C1275</f>
        <v>3.8690271996755378E-2</v>
      </c>
      <c r="E995" s="1"/>
      <c r="F995" s="8"/>
      <c r="H995" t="s">
        <v>891</v>
      </c>
      <c r="I995">
        <v>59.13</v>
      </c>
      <c r="J995" s="227">
        <f t="shared" si="104"/>
        <v>5.7592559470577731E-2</v>
      </c>
      <c r="K995" s="5">
        <f>J995-J1276</f>
        <v>5.5456603554967773E-2</v>
      </c>
      <c r="M995" s="240" t="s">
        <v>889</v>
      </c>
      <c r="N995">
        <v>3811.15</v>
      </c>
      <c r="O995" s="227">
        <f t="shared" si="105"/>
        <v>-2.3237873607701021E-2</v>
      </c>
      <c r="P995" s="5">
        <f>O995-O1278</f>
        <v>-2.2872116406787848E-2</v>
      </c>
      <c r="Q995" s="8">
        <f t="shared" si="108"/>
        <v>5.2313370892565381E-4</v>
      </c>
      <c r="X995" t="s">
        <v>889</v>
      </c>
      <c r="Y995">
        <v>61.3369</v>
      </c>
      <c r="Z995" s="48">
        <f t="shared" si="106"/>
        <v>-3.0702567053170204E-3</v>
      </c>
      <c r="AA995" s="5">
        <f>Z995-Y1274</f>
        <v>-7.2875761745911545E-3</v>
      </c>
      <c r="AD995" t="s">
        <v>889</v>
      </c>
      <c r="AE995">
        <v>169.49</v>
      </c>
      <c r="AF995" s="29">
        <f t="shared" si="107"/>
        <v>3.552608206525143E-3</v>
      </c>
    </row>
    <row r="996" spans="1:32">
      <c r="A996" s="3" t="s">
        <v>893</v>
      </c>
      <c r="B996" s="222">
        <v>55.31</v>
      </c>
      <c r="C996" s="227">
        <f t="shared" si="103"/>
        <v>-1.2321428571428483E-2</v>
      </c>
      <c r="D996" s="5">
        <f>C996-C1275</f>
        <v>-1.2399474140987372E-2</v>
      </c>
      <c r="E996" s="1"/>
      <c r="F996" s="8"/>
      <c r="H996" t="s">
        <v>892</v>
      </c>
      <c r="I996">
        <v>57.72</v>
      </c>
      <c r="J996" s="227">
        <f t="shared" si="104"/>
        <v>-2.3845763571791023E-2</v>
      </c>
      <c r="K996" s="5">
        <f>J996-J1276</f>
        <v>-2.5981719487400981E-2</v>
      </c>
      <c r="M996" s="240" t="s">
        <v>890</v>
      </c>
      <c r="N996">
        <v>3829.34</v>
      </c>
      <c r="O996" s="227">
        <f t="shared" si="105"/>
        <v>4.7728375949516177E-3</v>
      </c>
      <c r="P996" s="5">
        <f>O996-O1278</f>
        <v>5.1385947958647897E-3</v>
      </c>
      <c r="Q996" s="8">
        <f t="shared" si="108"/>
        <v>2.6405156476088701E-5</v>
      </c>
      <c r="X996" t="s">
        <v>890</v>
      </c>
      <c r="Y996">
        <v>59.786200000000001</v>
      </c>
      <c r="Z996" s="48">
        <f t="shared" si="106"/>
        <v>-2.5281681989145155E-2</v>
      </c>
      <c r="AA996" s="5">
        <f>Z996-Y1274</f>
        <v>-2.9499001458419289E-2</v>
      </c>
      <c r="AD996" t="s">
        <v>890</v>
      </c>
      <c r="AE996">
        <v>166.87</v>
      </c>
      <c r="AF996" s="29">
        <f t="shared" si="107"/>
        <v>-1.5458139123252113E-2</v>
      </c>
    </row>
    <row r="997" spans="1:32">
      <c r="A997" s="3" t="s">
        <v>894</v>
      </c>
      <c r="B997" s="222">
        <v>58.39</v>
      </c>
      <c r="C997" s="227">
        <f t="shared" si="103"/>
        <v>5.5686132706562974E-2</v>
      </c>
      <c r="D997" s="5">
        <f>C997-C1275</f>
        <v>5.5608087137004082E-2</v>
      </c>
      <c r="E997" s="1"/>
      <c r="F997" s="8"/>
      <c r="H997" t="s">
        <v>893</v>
      </c>
      <c r="I997">
        <v>56.82</v>
      </c>
      <c r="J997" s="227">
        <f t="shared" si="104"/>
        <v>-1.5592515592515621E-2</v>
      </c>
      <c r="K997" s="5">
        <f>J997-J1276</f>
        <v>-1.7728471508125579E-2</v>
      </c>
      <c r="M997" s="240" t="s">
        <v>891</v>
      </c>
      <c r="N997">
        <v>3925.43</v>
      </c>
      <c r="O997" s="227">
        <f t="shared" si="105"/>
        <v>2.5093096982769847E-2</v>
      </c>
      <c r="P997" s="5">
        <f>O997-O1278</f>
        <v>2.545885418368302E-2</v>
      </c>
      <c r="Q997" s="8">
        <f t="shared" si="108"/>
        <v>6.4815325634603441E-4</v>
      </c>
      <c r="X997" t="s">
        <v>891</v>
      </c>
      <c r="Y997">
        <v>59.831000000000003</v>
      </c>
      <c r="Z997" s="48">
        <f t="shared" si="106"/>
        <v>7.4933680347633036E-4</v>
      </c>
      <c r="AA997" s="5">
        <f>Z997-Y1274</f>
        <v>-3.4679826657978037E-3</v>
      </c>
      <c r="AD997" t="s">
        <v>891</v>
      </c>
      <c r="AE997">
        <v>176.32</v>
      </c>
      <c r="AF997" s="29">
        <f t="shared" si="107"/>
        <v>5.663091028944689E-2</v>
      </c>
    </row>
    <row r="998" spans="1:32">
      <c r="A998" s="3" t="s">
        <v>895</v>
      </c>
      <c r="B998" s="222">
        <v>59</v>
      </c>
      <c r="C998" s="227">
        <f t="shared" si="103"/>
        <v>1.0446994348347394E-2</v>
      </c>
      <c r="D998" s="5">
        <f>C998-C1275</f>
        <v>1.0368948778788505E-2</v>
      </c>
      <c r="E998" s="1"/>
      <c r="F998" s="8"/>
      <c r="H998" t="s">
        <v>894</v>
      </c>
      <c r="I998">
        <v>58.93</v>
      </c>
      <c r="J998" s="227">
        <f t="shared" si="104"/>
        <v>3.7134811686025948E-2</v>
      </c>
      <c r="K998" s="5">
        <f>J998-J1276</f>
        <v>3.499885577041599E-2</v>
      </c>
      <c r="M998" s="240" t="s">
        <v>892</v>
      </c>
      <c r="N998">
        <v>3881.37</v>
      </c>
      <c r="O998" s="227">
        <f t="shared" si="105"/>
        <v>-1.1224248044163332E-2</v>
      </c>
      <c r="P998" s="5">
        <f>O998-O1278</f>
        <v>-1.0858490843250161E-2</v>
      </c>
      <c r="Q998" s="8">
        <f t="shared" si="108"/>
        <v>1.1790682339294759E-4</v>
      </c>
      <c r="X998" t="s">
        <v>892</v>
      </c>
      <c r="Y998">
        <v>59.2483</v>
      </c>
      <c r="Z998" s="48">
        <f t="shared" si="106"/>
        <v>-9.7390984606642306E-3</v>
      </c>
      <c r="AA998" s="5">
        <f>Z998-Y1274</f>
        <v>-1.3956417929938365E-2</v>
      </c>
      <c r="AD998" t="s">
        <v>892</v>
      </c>
      <c r="AE998">
        <v>173.5</v>
      </c>
      <c r="AF998" s="29">
        <f t="shared" si="107"/>
        <v>-1.59936479128856E-2</v>
      </c>
    </row>
    <row r="999" spans="1:32">
      <c r="A999" s="3" t="s">
        <v>896</v>
      </c>
      <c r="B999" s="222">
        <v>60.81</v>
      </c>
      <c r="C999" s="227">
        <f t="shared" si="103"/>
        <v>3.0677966101694931E-2</v>
      </c>
      <c r="D999" s="5">
        <f>C999-C1275</f>
        <v>3.0599920532136043E-2</v>
      </c>
      <c r="E999" s="1"/>
      <c r="F999" s="8"/>
      <c r="H999" t="s">
        <v>895</v>
      </c>
      <c r="I999">
        <v>57.07</v>
      </c>
      <c r="J999" s="227">
        <f t="shared" si="104"/>
        <v>-3.1562871203122289E-2</v>
      </c>
      <c r="K999" s="5">
        <f>J999-J1276</f>
        <v>-3.3698827118732247E-2</v>
      </c>
      <c r="M999" s="240" t="s">
        <v>893</v>
      </c>
      <c r="N999">
        <v>3876.5</v>
      </c>
      <c r="O999" s="227">
        <f t="shared" si="105"/>
        <v>-1.2547116095604771E-3</v>
      </c>
      <c r="P999" s="5">
        <f>O999-O1278</f>
        <v>-8.8895440864730562E-4</v>
      </c>
      <c r="Q999" s="8">
        <f t="shared" si="108"/>
        <v>7.9023994065348084E-7</v>
      </c>
      <c r="X999" t="s">
        <v>893</v>
      </c>
      <c r="Y999">
        <v>58.030500000000004</v>
      </c>
      <c r="Z999" s="48">
        <f t="shared" si="106"/>
        <v>-2.0554176237967958E-2</v>
      </c>
      <c r="AA999" s="5">
        <f>Z999-Y1274</f>
        <v>-2.4771495707242092E-2</v>
      </c>
      <c r="AD999" t="s">
        <v>893</v>
      </c>
      <c r="AE999">
        <v>178.07</v>
      </c>
      <c r="AF999" s="29">
        <f t="shared" si="107"/>
        <v>2.6340057636887515E-2</v>
      </c>
    </row>
    <row r="1000" spans="1:32">
      <c r="A1000" s="3" t="s">
        <v>897</v>
      </c>
      <c r="B1000" s="222">
        <v>60.52</v>
      </c>
      <c r="C1000" s="227">
        <f t="shared" si="103"/>
        <v>-4.7689524749219281E-3</v>
      </c>
      <c r="D1000" s="5">
        <f>C1000-C1275</f>
        <v>-4.8469980444808174E-3</v>
      </c>
      <c r="F1000" s="8"/>
      <c r="H1000" t="s">
        <v>896</v>
      </c>
      <c r="I1000">
        <v>58.11</v>
      </c>
      <c r="J1000" s="227">
        <f t="shared" si="104"/>
        <v>1.8223234624145768E-2</v>
      </c>
      <c r="K1000" s="5">
        <f>J1000-J1276</f>
        <v>1.608727870853581E-2</v>
      </c>
      <c r="M1000" s="240" t="s">
        <v>894</v>
      </c>
      <c r="N1000">
        <v>3906.71</v>
      </c>
      <c r="O1000" s="227">
        <f t="shared" si="105"/>
        <v>7.7931123436090211E-3</v>
      </c>
      <c r="P1000" s="5">
        <f>O1000-O1278</f>
        <v>8.1588695445221921E-3</v>
      </c>
      <c r="Q1000" s="8">
        <f t="shared" si="108"/>
        <v>6.6567152244531762E-5</v>
      </c>
      <c r="X1000" t="s">
        <v>894</v>
      </c>
      <c r="Y1000">
        <v>57.205599999999997</v>
      </c>
      <c r="Z1000" s="48">
        <f t="shared" si="106"/>
        <v>-1.4214938696030632E-2</v>
      </c>
      <c r="AA1000" s="5">
        <f>Z1000-Y1274</f>
        <v>-1.8432258165304766E-2</v>
      </c>
      <c r="AD1000" t="s">
        <v>894</v>
      </c>
      <c r="AE1000">
        <v>205.97</v>
      </c>
      <c r="AF1000" s="29">
        <f t="shared" si="107"/>
        <v>0.15667995732015494</v>
      </c>
    </row>
    <row r="1001" spans="1:32">
      <c r="A1001" s="220">
        <v>44532</v>
      </c>
      <c r="B1001" s="222">
        <v>60.63</v>
      </c>
      <c r="C1001" s="227">
        <f t="shared" si="103"/>
        <v>1.8175809649703112E-3</v>
      </c>
      <c r="D1001" s="5">
        <f>C1001-C1275</f>
        <v>1.7395353954114219E-3</v>
      </c>
      <c r="F1001" s="8"/>
      <c r="H1001" t="s">
        <v>897</v>
      </c>
      <c r="I1001">
        <v>58.454999999999998</v>
      </c>
      <c r="J1001" s="227">
        <f t="shared" si="104"/>
        <v>5.9370160041301023E-3</v>
      </c>
      <c r="K1001" s="5">
        <f>J1001-J1276</f>
        <v>3.8010600885201445E-3</v>
      </c>
      <c r="M1001" s="240" t="s">
        <v>895</v>
      </c>
      <c r="N1001">
        <v>3913.97</v>
      </c>
      <c r="O1001" s="227">
        <f t="shared" si="105"/>
        <v>1.8583411617447698E-3</v>
      </c>
      <c r="P1001" s="5">
        <f>O1001-O1278</f>
        <v>2.2240983626579413E-3</v>
      </c>
      <c r="Q1001" s="8">
        <f t="shared" si="108"/>
        <v>4.9466135267777358E-6</v>
      </c>
      <c r="X1001" t="s">
        <v>895</v>
      </c>
      <c r="Y1001">
        <v>55.803199999999997</v>
      </c>
      <c r="Z1001" s="48">
        <f t="shared" si="106"/>
        <v>-2.4515082439481417E-2</v>
      </c>
      <c r="AA1001" s="5">
        <f>Z1001-Y1274</f>
        <v>-2.8732401908755551E-2</v>
      </c>
      <c r="AD1001" t="s">
        <v>895</v>
      </c>
      <c r="AE1001">
        <v>200.06</v>
      </c>
      <c r="AF1001" s="29">
        <f t="shared" si="107"/>
        <v>-2.869349905326013E-2</v>
      </c>
    </row>
    <row r="1002" spans="1:32">
      <c r="A1002" s="220">
        <v>44502</v>
      </c>
      <c r="B1002" s="222">
        <v>60.71</v>
      </c>
      <c r="C1002" s="227">
        <f t="shared" si="103"/>
        <v>1.3194788058716878E-3</v>
      </c>
      <c r="D1002" s="5">
        <f>C1002-C1275</f>
        <v>1.2414332363127984E-3</v>
      </c>
      <c r="F1002" s="8"/>
      <c r="H1002" s="1">
        <v>44532</v>
      </c>
      <c r="I1002">
        <v>57.65</v>
      </c>
      <c r="J1002" s="227">
        <f t="shared" si="104"/>
        <v>-1.3771277050722786E-2</v>
      </c>
      <c r="K1002" s="5">
        <f>J1002-J1276</f>
        <v>-1.5907232966332743E-2</v>
      </c>
      <c r="M1002" s="240" t="s">
        <v>896</v>
      </c>
      <c r="N1002">
        <v>3931.33</v>
      </c>
      <c r="O1002" s="227">
        <f t="shared" si="105"/>
        <v>4.4353942416524017E-3</v>
      </c>
      <c r="P1002" s="5">
        <f>O1002-O1278</f>
        <v>4.8011514425655736E-3</v>
      </c>
      <c r="Q1002" s="8">
        <f t="shared" si="108"/>
        <v>2.3051055174449489E-5</v>
      </c>
      <c r="X1002" t="s">
        <v>896</v>
      </c>
      <c r="Y1002">
        <v>53.813800000000001</v>
      </c>
      <c r="Z1002" s="48">
        <f t="shared" si="106"/>
        <v>-3.5650285288298833E-2</v>
      </c>
      <c r="AA1002" s="5">
        <f>Z1002-Y1274</f>
        <v>-3.9867604757572964E-2</v>
      </c>
      <c r="AD1002" t="s">
        <v>896</v>
      </c>
      <c r="AE1002">
        <v>197.87</v>
      </c>
      <c r="AF1002" s="29">
        <f t="shared" si="107"/>
        <v>-1.0946715985204469E-2</v>
      </c>
    </row>
    <row r="1003" spans="1:32">
      <c r="A1003" s="220">
        <v>44471</v>
      </c>
      <c r="B1003" s="222">
        <v>63.18</v>
      </c>
      <c r="C1003" s="227">
        <f t="shared" si="103"/>
        <v>4.0685224839400513E-2</v>
      </c>
      <c r="D1003" s="5">
        <f>C1003-C1275</f>
        <v>4.0607179269841621E-2</v>
      </c>
      <c r="F1003" s="8"/>
      <c r="H1003" s="1">
        <v>44502</v>
      </c>
      <c r="I1003">
        <v>57.07</v>
      </c>
      <c r="J1003" s="227">
        <f t="shared" si="104"/>
        <v>-1.0060711188204619E-2</v>
      </c>
      <c r="K1003" s="5">
        <f>J1003-J1276</f>
        <v>-1.2196667103814576E-2</v>
      </c>
      <c r="M1003" s="240" t="s">
        <v>897</v>
      </c>
      <c r="N1003">
        <v>3932.59</v>
      </c>
      <c r="O1003" s="227">
        <f t="shared" si="105"/>
        <v>3.2050222189439204E-4</v>
      </c>
      <c r="P1003" s="5">
        <f>O1003-O1278</f>
        <v>6.8625942280756353E-4</v>
      </c>
      <c r="Q1003" s="8">
        <f t="shared" si="108"/>
        <v>4.7095199539217022E-7</v>
      </c>
      <c r="X1003" t="s">
        <v>897</v>
      </c>
      <c r="Y1003">
        <v>54.0518</v>
      </c>
      <c r="Z1003" s="48">
        <f t="shared" si="106"/>
        <v>4.4226573852803597E-3</v>
      </c>
      <c r="AA1003" s="5">
        <f>Z1003-Y1274</f>
        <v>2.0533791600622561E-4</v>
      </c>
      <c r="AD1003" t="s">
        <v>897</v>
      </c>
      <c r="AE1003">
        <v>212.17</v>
      </c>
      <c r="AF1003" s="29">
        <f t="shared" si="107"/>
        <v>7.2269672006873176E-2</v>
      </c>
    </row>
    <row r="1004" spans="1:32">
      <c r="A1004" s="220">
        <v>44441</v>
      </c>
      <c r="B1004" s="222">
        <v>59.61</v>
      </c>
      <c r="C1004" s="227">
        <f t="shared" si="103"/>
        <v>-5.6505223171889885E-2</v>
      </c>
      <c r="D1004" s="5">
        <f>C1004-C1275</f>
        <v>-5.6583268741448776E-2</v>
      </c>
      <c r="F1004" s="8"/>
      <c r="H1004" s="1">
        <v>44471</v>
      </c>
      <c r="I1004">
        <v>56.21</v>
      </c>
      <c r="J1004" s="227">
        <f t="shared" si="104"/>
        <v>-1.5069213246889812E-2</v>
      </c>
      <c r="K1004" s="5">
        <f>J1004-J1276</f>
        <v>-1.720516916249977E-2</v>
      </c>
      <c r="M1004" s="241">
        <v>44532</v>
      </c>
      <c r="N1004">
        <v>3934.83</v>
      </c>
      <c r="O1004" s="227">
        <f t="shared" si="105"/>
        <v>5.6959917001253579E-4</v>
      </c>
      <c r="P1004" s="5">
        <f>O1004-O1278</f>
        <v>9.3535637092570728E-4</v>
      </c>
      <c r="Q1004" s="8">
        <f t="shared" si="108"/>
        <v>8.7489154063130932E-7</v>
      </c>
      <c r="X1004" s="1">
        <v>44532</v>
      </c>
      <c r="Y1004">
        <v>53.387999999999998</v>
      </c>
      <c r="Z1004" s="48">
        <f t="shared" si="106"/>
        <v>-1.228081210986498E-2</v>
      </c>
      <c r="AA1004" s="5">
        <f>Z1004-Y1274</f>
        <v>-1.6498131579139114E-2</v>
      </c>
      <c r="AD1004" s="1">
        <v>44532</v>
      </c>
      <c r="AE1004">
        <v>202.97</v>
      </c>
      <c r="AF1004" s="29">
        <f t="shared" si="107"/>
        <v>-4.3361455436678131E-2</v>
      </c>
    </row>
    <row r="1005" spans="1:32">
      <c r="A1005" s="220">
        <v>44410</v>
      </c>
      <c r="B1005" s="222">
        <v>59.29</v>
      </c>
      <c r="C1005" s="227">
        <f t="shared" si="103"/>
        <v>-5.3682268075826434E-3</v>
      </c>
      <c r="D1005" s="5">
        <f>C1005-C1275</f>
        <v>-5.4462723771415327E-3</v>
      </c>
      <c r="F1005" s="8"/>
      <c r="H1005" s="1">
        <v>44441</v>
      </c>
      <c r="I1005">
        <v>53.64</v>
      </c>
      <c r="J1005" s="227">
        <f t="shared" si="104"/>
        <v>-4.572140188578544E-2</v>
      </c>
      <c r="K1005" s="5">
        <f>J1005-J1276</f>
        <v>-4.7857357801395398E-2</v>
      </c>
      <c r="M1005" s="241">
        <v>44502</v>
      </c>
      <c r="N1005">
        <v>3916.38</v>
      </c>
      <c r="O1005" s="227">
        <f t="shared" si="105"/>
        <v>-4.6888938022734417E-3</v>
      </c>
      <c r="P1005" s="5">
        <f>O1005-O1278</f>
        <v>-4.3231366013602697E-3</v>
      </c>
      <c r="Q1005" s="8">
        <f t="shared" si="108"/>
        <v>1.8689510074020822E-5</v>
      </c>
      <c r="X1005" s="1">
        <v>44502</v>
      </c>
      <c r="Y1005">
        <v>53.413600000000002</v>
      </c>
      <c r="Z1005" s="48">
        <f t="shared" si="106"/>
        <v>4.7950850378364329E-4</v>
      </c>
      <c r="AA1005" s="5">
        <f>Z1005-Y1274</f>
        <v>-3.7378109654904908E-3</v>
      </c>
      <c r="AD1005" s="1">
        <v>44502</v>
      </c>
      <c r="AE1005">
        <v>213.26</v>
      </c>
      <c r="AF1005" s="29">
        <f t="shared" si="107"/>
        <v>5.0697147361679074E-2</v>
      </c>
    </row>
    <row r="1006" spans="1:32">
      <c r="A1006" s="220">
        <v>44318</v>
      </c>
      <c r="B1006" s="222">
        <v>58.58</v>
      </c>
      <c r="C1006" s="227">
        <f t="shared" si="103"/>
        <v>-1.197503794906396E-2</v>
      </c>
      <c r="D1006" s="5">
        <f>C1006-C1275</f>
        <v>-1.2053083518622849E-2</v>
      </c>
      <c r="F1006" s="8"/>
      <c r="H1006" s="1">
        <v>44410</v>
      </c>
      <c r="I1006">
        <v>53.41</v>
      </c>
      <c r="J1006" s="227">
        <f t="shared" si="104"/>
        <v>-4.2878448918718393E-3</v>
      </c>
      <c r="K1006" s="5">
        <f>J1006-J1276</f>
        <v>-6.423800807481797E-3</v>
      </c>
      <c r="M1006" s="241">
        <v>44471</v>
      </c>
      <c r="N1006">
        <v>3909.88</v>
      </c>
      <c r="O1006" s="227">
        <f t="shared" si="105"/>
        <v>-1.6596959437030767E-3</v>
      </c>
      <c r="P1006" s="5">
        <f>O1006-O1278</f>
        <v>-1.2939387427899052E-3</v>
      </c>
      <c r="Q1006" s="8">
        <f t="shared" si="108"/>
        <v>1.6742774700927205E-6</v>
      </c>
      <c r="X1006" s="1">
        <v>44471</v>
      </c>
      <c r="Y1006">
        <v>53.261000000000003</v>
      </c>
      <c r="Z1006" s="48">
        <f t="shared" si="106"/>
        <v>-2.8569502898138088E-3</v>
      </c>
      <c r="AA1006" s="5">
        <f>Z1006-Y1274</f>
        <v>-7.0742697590879429E-3</v>
      </c>
      <c r="AD1006" s="1">
        <v>44471</v>
      </c>
      <c r="AE1006">
        <v>215.16</v>
      </c>
      <c r="AF1006" s="29">
        <f t="shared" si="107"/>
        <v>8.9093125761980918E-3</v>
      </c>
    </row>
    <row r="1007" spans="1:32">
      <c r="A1007" s="220">
        <v>44288</v>
      </c>
      <c r="B1007" s="222">
        <v>57.85</v>
      </c>
      <c r="C1007" s="227">
        <f t="shared" si="103"/>
        <v>-1.2461590986684867E-2</v>
      </c>
      <c r="D1007" s="5">
        <f>C1007-C1275</f>
        <v>-1.2539636556243756E-2</v>
      </c>
      <c r="F1007" s="8"/>
      <c r="H1007" s="1">
        <v>44318</v>
      </c>
      <c r="I1007">
        <v>53.12</v>
      </c>
      <c r="J1007" s="227">
        <f t="shared" si="104"/>
        <v>-5.4296948137052548E-3</v>
      </c>
      <c r="K1007" s="5">
        <f>J1007-J1276</f>
        <v>-7.5656507293152125E-3</v>
      </c>
      <c r="M1007" s="241">
        <v>44441</v>
      </c>
      <c r="N1007">
        <v>3911.23</v>
      </c>
      <c r="O1007" s="227">
        <f t="shared" si="105"/>
        <v>3.4527913900173068E-4</v>
      </c>
      <c r="P1007" s="5">
        <f>O1007-O1278</f>
        <v>7.1103633991490217E-4</v>
      </c>
      <c r="Q1007" s="8">
        <f t="shared" si="108"/>
        <v>5.0557267667958032E-7</v>
      </c>
      <c r="X1007" s="1">
        <v>44441</v>
      </c>
      <c r="Y1007">
        <v>53.682600000000001</v>
      </c>
      <c r="Z1007" s="48">
        <f t="shared" si="106"/>
        <v>7.915735716565564E-3</v>
      </c>
      <c r="AA1007" s="5">
        <f>Z1007-Y1274</f>
        <v>3.6984162472914299E-3</v>
      </c>
      <c r="AD1007" s="1">
        <v>44441</v>
      </c>
      <c r="AE1007">
        <v>187.75</v>
      </c>
      <c r="AF1007" s="29">
        <f t="shared" si="107"/>
        <v>-0.12739356757761666</v>
      </c>
    </row>
    <row r="1008" spans="1:32">
      <c r="A1008" s="220">
        <v>44257</v>
      </c>
      <c r="B1008" s="222">
        <v>57.12</v>
      </c>
      <c r="C1008" s="227">
        <f t="shared" si="103"/>
        <v>-1.2618841832325089E-2</v>
      </c>
      <c r="D1008" s="5">
        <f>C1008-C1275</f>
        <v>-1.2696887401883978E-2</v>
      </c>
      <c r="F1008" s="8"/>
      <c r="H1008" s="1">
        <v>44288</v>
      </c>
      <c r="I1008">
        <v>51.77</v>
      </c>
      <c r="J1008" s="227">
        <f t="shared" si="104"/>
        <v>-2.5414156626505924E-2</v>
      </c>
      <c r="K1008" s="5">
        <f>J1008-J1276</f>
        <v>-2.7550112542115882E-2</v>
      </c>
      <c r="M1008" s="241">
        <v>44410</v>
      </c>
      <c r="N1008">
        <v>3915.59</v>
      </c>
      <c r="O1008" s="227">
        <f t="shared" si="105"/>
        <v>1.1147388417453996E-3</v>
      </c>
      <c r="P1008" s="5">
        <f>O1008-O1278</f>
        <v>1.4804960426585711E-3</v>
      </c>
      <c r="Q1008" s="8">
        <f t="shared" si="108"/>
        <v>2.1918685323276894E-6</v>
      </c>
      <c r="X1008" s="1">
        <v>44410</v>
      </c>
      <c r="Y1008">
        <v>52.661200000000001</v>
      </c>
      <c r="Z1008" s="48">
        <f t="shared" si="106"/>
        <v>-1.9026649230849513E-2</v>
      </c>
      <c r="AA1008" s="5">
        <f>Z1008-Y1274</f>
        <v>-2.3243968700123647E-2</v>
      </c>
      <c r="AD1008" s="1">
        <v>44410</v>
      </c>
      <c r="AE1008">
        <v>177.43</v>
      </c>
      <c r="AF1008" s="29">
        <f t="shared" si="107"/>
        <v>-5.4966711051930739E-2</v>
      </c>
    </row>
    <row r="1009" spans="1:32">
      <c r="A1009" s="220">
        <v>44229</v>
      </c>
      <c r="B1009" s="222">
        <v>56.46</v>
      </c>
      <c r="C1009" s="227">
        <f t="shared" si="103"/>
        <v>-1.1554621848739455E-2</v>
      </c>
      <c r="D1009" s="5">
        <f>C1009-C1275</f>
        <v>-1.1632667418298343E-2</v>
      </c>
      <c r="F1009" s="8"/>
      <c r="H1009" s="1">
        <v>44257</v>
      </c>
      <c r="I1009">
        <v>49.41</v>
      </c>
      <c r="J1009" s="227">
        <f t="shared" si="104"/>
        <v>-4.5586246861116564E-2</v>
      </c>
      <c r="K1009" s="5">
        <f>J1009-J1276</f>
        <v>-4.7722202776726522E-2</v>
      </c>
      <c r="M1009" s="241">
        <v>44318</v>
      </c>
      <c r="N1009">
        <v>3886.83</v>
      </c>
      <c r="O1009" s="227">
        <f t="shared" si="105"/>
        <v>-7.3449978164210616E-3</v>
      </c>
      <c r="P1009" s="5">
        <f>O1009-O1278</f>
        <v>-6.9792406155078897E-3</v>
      </c>
      <c r="Q1009" s="8">
        <f t="shared" si="108"/>
        <v>4.8709799569154949E-5</v>
      </c>
      <c r="X1009" s="1">
        <v>44318</v>
      </c>
      <c r="Y1009">
        <v>50.850099999999998</v>
      </c>
      <c r="Z1009" s="48">
        <f t="shared" si="106"/>
        <v>-3.4391544438789889E-2</v>
      </c>
      <c r="AA1009" s="5">
        <f>Z1009-Y1274</f>
        <v>-3.860886390806402E-2</v>
      </c>
      <c r="AD1009" s="1">
        <v>44318</v>
      </c>
      <c r="AE1009">
        <v>181.23</v>
      </c>
      <c r="AF1009" s="29">
        <f t="shared" si="107"/>
        <v>2.1416896804373531E-2</v>
      </c>
    </row>
    <row r="1010" spans="1:32">
      <c r="A1010" s="220">
        <v>44198</v>
      </c>
      <c r="B1010" s="222">
        <v>52.76</v>
      </c>
      <c r="C1010" s="227">
        <f t="shared" si="103"/>
        <v>-6.5533120793482169E-2</v>
      </c>
      <c r="D1010" s="5">
        <f>C1010-C1275</f>
        <v>-6.5611166363041054E-2</v>
      </c>
      <c r="F1010" s="8"/>
      <c r="H1010" s="1">
        <v>44229</v>
      </c>
      <c r="I1010">
        <v>47.5</v>
      </c>
      <c r="J1010" s="227">
        <f t="shared" si="104"/>
        <v>-3.8656142481279021E-2</v>
      </c>
      <c r="K1010" s="5">
        <f>J1010-J1276</f>
        <v>-4.0792098396888979E-2</v>
      </c>
      <c r="M1010" s="241">
        <v>44288</v>
      </c>
      <c r="N1010">
        <v>3871.74</v>
      </c>
      <c r="O1010" s="227">
        <f t="shared" si="105"/>
        <v>-3.8823411366074589E-3</v>
      </c>
      <c r="P1010" s="5">
        <f>O1010-O1278</f>
        <v>-3.5165839356942875E-3</v>
      </c>
      <c r="Q1010" s="8">
        <f t="shared" si="108"/>
        <v>1.2366362576783125E-5</v>
      </c>
      <c r="X1010" s="1">
        <v>44288</v>
      </c>
      <c r="Y1010">
        <v>52.896000000000001</v>
      </c>
      <c r="Z1010" s="48">
        <f t="shared" si="106"/>
        <v>4.0233942509454224E-2</v>
      </c>
      <c r="AA1010" s="5">
        <f>Z1010-Y1274</f>
        <v>3.6016623040180093E-2</v>
      </c>
      <c r="AD1010" s="1">
        <v>44288</v>
      </c>
      <c r="AE1010">
        <v>189.33</v>
      </c>
      <c r="AF1010" s="29">
        <f t="shared" si="107"/>
        <v>4.4694586988909268E-2</v>
      </c>
    </row>
    <row r="1011" spans="1:32">
      <c r="A1011" s="3" t="s">
        <v>898</v>
      </c>
      <c r="B1011" s="222">
        <v>50.93</v>
      </c>
      <c r="C1011" s="227">
        <f t="shared" si="103"/>
        <v>-3.468536770280517E-2</v>
      </c>
      <c r="D1011" s="5">
        <f>C1011-C1275</f>
        <v>-3.4763413272364062E-2</v>
      </c>
      <c r="F1011" s="8"/>
      <c r="H1011" s="1">
        <v>44198</v>
      </c>
      <c r="I1011">
        <v>45.51</v>
      </c>
      <c r="J1011" s="227">
        <f t="shared" si="104"/>
        <v>-4.1894736842105318E-2</v>
      </c>
      <c r="K1011" s="5">
        <f>J1011-J1276</f>
        <v>-4.4030692757715276E-2</v>
      </c>
      <c r="M1011" s="241">
        <v>44257</v>
      </c>
      <c r="N1011">
        <v>3830.17</v>
      </c>
      <c r="O1011" s="227">
        <f t="shared" si="105"/>
        <v>-1.0736774680117911E-2</v>
      </c>
      <c r="P1011" s="5">
        <f>O1011-O1278</f>
        <v>-1.037101747920474E-2</v>
      </c>
      <c r="Q1011" s="8">
        <f t="shared" si="108"/>
        <v>1.0755800355397023E-4</v>
      </c>
      <c r="X1011" s="1">
        <v>44257</v>
      </c>
      <c r="Y1011">
        <v>51.4435</v>
      </c>
      <c r="Z1011" s="48">
        <f t="shared" si="106"/>
        <v>-2.7459543254688468E-2</v>
      </c>
      <c r="AA1011" s="5">
        <f>Z1011-Y1274</f>
        <v>-3.1676862723962598E-2</v>
      </c>
      <c r="AD1011" s="1">
        <v>44257</v>
      </c>
      <c r="AE1011">
        <v>180.58</v>
      </c>
      <c r="AF1011" s="29">
        <f t="shared" si="107"/>
        <v>-4.6215602387365995E-2</v>
      </c>
    </row>
    <row r="1012" spans="1:32">
      <c r="A1012" s="3" t="s">
        <v>899</v>
      </c>
      <c r="B1012" s="222">
        <v>51.58</v>
      </c>
      <c r="C1012" s="227">
        <f t="shared" si="103"/>
        <v>1.2762615354408036E-2</v>
      </c>
      <c r="D1012" s="5">
        <f>C1012-C1275</f>
        <v>1.2684569784849147E-2</v>
      </c>
      <c r="E1012" s="1"/>
      <c r="F1012" s="8"/>
      <c r="H1012" t="s">
        <v>898</v>
      </c>
      <c r="I1012">
        <v>44.46</v>
      </c>
      <c r="J1012" s="227">
        <f t="shared" si="104"/>
        <v>-2.3071852340144972E-2</v>
      </c>
      <c r="K1012" s="5">
        <f>J1012-J1276</f>
        <v>-2.5207808255754929E-2</v>
      </c>
      <c r="M1012" s="241">
        <v>44229</v>
      </c>
      <c r="N1012">
        <v>3826.31</v>
      </c>
      <c r="O1012" s="227">
        <f t="shared" si="105"/>
        <v>-1.0077881660605081E-3</v>
      </c>
      <c r="P1012" s="5">
        <f>O1012-O1278</f>
        <v>-6.4203096514733665E-4</v>
      </c>
      <c r="Q1012" s="8">
        <f t="shared" si="108"/>
        <v>4.1220376020802063E-7</v>
      </c>
      <c r="X1012" s="1">
        <v>44229</v>
      </c>
      <c r="Y1012">
        <v>50.929099999999998</v>
      </c>
      <c r="Z1012" s="48">
        <f t="shared" si="106"/>
        <v>-9.9993196419373431E-3</v>
      </c>
      <c r="AA1012" s="5">
        <f>Z1012-Y1274</f>
        <v>-1.4216639111211477E-2</v>
      </c>
      <c r="AD1012" s="1">
        <v>44229</v>
      </c>
      <c r="AE1012">
        <v>182.53</v>
      </c>
      <c r="AF1012" s="29">
        <f t="shared" si="107"/>
        <v>1.0798538044080042E-2</v>
      </c>
    </row>
    <row r="1013" spans="1:32">
      <c r="A1013" s="3" t="s">
        <v>900</v>
      </c>
      <c r="B1013" s="222">
        <v>48.11</v>
      </c>
      <c r="C1013" s="227">
        <f t="shared" si="103"/>
        <v>-6.7274137262504863E-2</v>
      </c>
      <c r="D1013" s="5">
        <f>C1013-C1275</f>
        <v>-6.7352182832063748E-2</v>
      </c>
      <c r="E1013" s="1"/>
      <c r="F1013" s="8"/>
      <c r="H1013" t="s">
        <v>899</v>
      </c>
      <c r="I1013">
        <v>46.22</v>
      </c>
      <c r="J1013" s="227">
        <f t="shared" si="104"/>
        <v>3.9586144849302674E-2</v>
      </c>
      <c r="K1013" s="5">
        <f>J1013-J1276</f>
        <v>3.7450188933692716E-2</v>
      </c>
      <c r="M1013" s="241">
        <v>44198</v>
      </c>
      <c r="N1013">
        <v>3773.86</v>
      </c>
      <c r="O1013" s="227">
        <f t="shared" si="105"/>
        <v>-1.3707723629292956E-2</v>
      </c>
      <c r="P1013" s="5">
        <f>O1013-O1278</f>
        <v>-1.3341966428379785E-2</v>
      </c>
      <c r="Q1013" s="8">
        <f t="shared" si="108"/>
        <v>1.7800806817601324E-4</v>
      </c>
      <c r="X1013" s="1">
        <v>44198</v>
      </c>
      <c r="Y1013">
        <v>50.836199999999998</v>
      </c>
      <c r="Z1013" s="48">
        <f t="shared" si="106"/>
        <v>-1.8241044903600789E-3</v>
      </c>
      <c r="AA1013" s="5">
        <f>Z1013-Y1274</f>
        <v>-6.041423959634213E-3</v>
      </c>
      <c r="AD1013" s="1">
        <v>44198</v>
      </c>
      <c r="AE1013">
        <v>191.17</v>
      </c>
      <c r="AF1013" s="29">
        <f t="shared" si="107"/>
        <v>4.7334684709362751E-2</v>
      </c>
    </row>
    <row r="1014" spans="1:32">
      <c r="A1014" s="3" t="s">
        <v>901</v>
      </c>
      <c r="B1014" s="222">
        <v>51.92</v>
      </c>
      <c r="C1014" s="227">
        <f t="shared" si="103"/>
        <v>7.9193514861775061E-2</v>
      </c>
      <c r="D1014" s="5">
        <f>C1014-C1275</f>
        <v>7.9115469292216176E-2</v>
      </c>
      <c r="E1014" s="1"/>
      <c r="F1014" s="8"/>
      <c r="H1014" t="s">
        <v>900</v>
      </c>
      <c r="I1014">
        <v>43.62</v>
      </c>
      <c r="J1014" s="227">
        <f t="shared" si="104"/>
        <v>-5.625270445694508E-2</v>
      </c>
      <c r="K1014" s="5">
        <f>J1014-J1276</f>
        <v>-5.8388660372555037E-2</v>
      </c>
      <c r="M1014" s="240" t="s">
        <v>898</v>
      </c>
      <c r="N1014">
        <v>3714.24</v>
      </c>
      <c r="O1014" s="227">
        <f t="shared" si="105"/>
        <v>-1.5798148314987936E-2</v>
      </c>
      <c r="P1014" s="5">
        <f>O1014-O1278</f>
        <v>-1.5432391114074765E-2</v>
      </c>
      <c r="Q1014" s="8">
        <f t="shared" si="108"/>
        <v>2.3815869549777377E-4</v>
      </c>
      <c r="X1014" t="s">
        <v>898</v>
      </c>
      <c r="Y1014">
        <v>49.3538</v>
      </c>
      <c r="Z1014" s="48">
        <f t="shared" si="106"/>
        <v>-2.9160322762126212E-2</v>
      </c>
      <c r="AA1014" s="5">
        <f>Z1014-Y1274</f>
        <v>-3.3377642231400342E-2</v>
      </c>
      <c r="AD1014" t="s">
        <v>898</v>
      </c>
      <c r="AE1014">
        <v>193.27</v>
      </c>
      <c r="AF1014" s="29">
        <f t="shared" si="107"/>
        <v>1.0984987184181838E-2</v>
      </c>
    </row>
    <row r="1015" spans="1:32">
      <c r="A1015" s="3" t="s">
        <v>902</v>
      </c>
      <c r="B1015" s="222">
        <v>54.29</v>
      </c>
      <c r="C1015" s="227">
        <f t="shared" si="103"/>
        <v>4.5647149460708691E-2</v>
      </c>
      <c r="D1015" s="5">
        <f>C1015-C1275</f>
        <v>4.5569103891149799E-2</v>
      </c>
      <c r="E1015" s="1"/>
      <c r="F1015" s="8"/>
      <c r="H1015" t="s">
        <v>901</v>
      </c>
      <c r="I1015">
        <v>46.9</v>
      </c>
      <c r="J1015" s="227">
        <f t="shared" si="104"/>
        <v>7.5194864740944611E-2</v>
      </c>
      <c r="K1015" s="5">
        <f>J1015-J1276</f>
        <v>7.3058908825334654E-2</v>
      </c>
      <c r="M1015" s="240" t="s">
        <v>899</v>
      </c>
      <c r="N1015">
        <v>3787.38</v>
      </c>
      <c r="O1015" s="227">
        <f t="shared" si="105"/>
        <v>1.9691780821917915E-2</v>
      </c>
      <c r="P1015" s="5">
        <f>O1015-O1278</f>
        <v>2.0057538022831087E-2</v>
      </c>
      <c r="Q1015" s="8">
        <f t="shared" si="108"/>
        <v>4.0230483153731478E-4</v>
      </c>
      <c r="X1015" t="s">
        <v>899</v>
      </c>
      <c r="Y1015">
        <v>49.163800000000002</v>
      </c>
      <c r="Z1015" s="48">
        <f t="shared" si="106"/>
        <v>-3.8497542235855775E-3</v>
      </c>
      <c r="AA1015" s="5">
        <f>Z1015-Y1274</f>
        <v>-8.0670736928597116E-3</v>
      </c>
      <c r="AD1015" t="s">
        <v>899</v>
      </c>
      <c r="AE1015">
        <v>183.8</v>
      </c>
      <c r="AF1015" s="29">
        <f t="shared" si="107"/>
        <v>-4.899880995498529E-2</v>
      </c>
    </row>
    <row r="1016" spans="1:32">
      <c r="A1016" s="3" t="s">
        <v>903</v>
      </c>
      <c r="B1016" s="222">
        <v>54.31</v>
      </c>
      <c r="C1016" s="227">
        <f t="shared" si="103"/>
        <v>3.6839196905513738E-4</v>
      </c>
      <c r="D1016" s="5">
        <f>C1016-C1275</f>
        <v>2.9034639949624818E-4</v>
      </c>
      <c r="E1016" s="1"/>
      <c r="F1016" s="8"/>
      <c r="H1016" t="s">
        <v>902</v>
      </c>
      <c r="I1016">
        <v>47.14</v>
      </c>
      <c r="J1016" s="227">
        <f t="shared" si="104"/>
        <v>5.1172707889126645E-3</v>
      </c>
      <c r="K1016" s="5">
        <f>J1016-J1276</f>
        <v>2.9813148733027067E-3</v>
      </c>
      <c r="M1016" s="240" t="s">
        <v>900</v>
      </c>
      <c r="N1016">
        <v>3750.77</v>
      </c>
      <c r="O1016" s="227">
        <f t="shared" si="105"/>
        <v>-9.6663128600774639E-3</v>
      </c>
      <c r="P1016" s="5">
        <f>O1016-O1278</f>
        <v>-9.3005556591642929E-3</v>
      </c>
      <c r="Q1016" s="8">
        <f t="shared" si="108"/>
        <v>8.6500335569212949E-5</v>
      </c>
      <c r="X1016" t="s">
        <v>900</v>
      </c>
      <c r="Y1016">
        <v>48.986699999999999</v>
      </c>
      <c r="Z1016" s="48">
        <f t="shared" si="106"/>
        <v>-3.6022439274425722E-3</v>
      </c>
      <c r="AA1016" s="5">
        <f>Z1016-Y1274</f>
        <v>-7.8195633967167062E-3</v>
      </c>
      <c r="AD1016" t="s">
        <v>900</v>
      </c>
      <c r="AE1016">
        <v>193.07</v>
      </c>
      <c r="AF1016" s="29">
        <f t="shared" si="107"/>
        <v>5.043525571273122E-2</v>
      </c>
    </row>
    <row r="1017" spans="1:32">
      <c r="A1017" s="3" t="s">
        <v>904</v>
      </c>
      <c r="B1017" s="222">
        <v>55.79</v>
      </c>
      <c r="C1017" s="227">
        <f t="shared" si="103"/>
        <v>2.7250966672804244E-2</v>
      </c>
      <c r="D1017" s="5">
        <f>C1017-C1275</f>
        <v>2.7172921103245356E-2</v>
      </c>
      <c r="E1017" s="1"/>
      <c r="F1017" s="8"/>
      <c r="H1017" t="s">
        <v>903</v>
      </c>
      <c r="I1017">
        <v>47.81</v>
      </c>
      <c r="J1017" s="227">
        <f t="shared" si="104"/>
        <v>1.4212982605006363E-2</v>
      </c>
      <c r="K1017" s="5">
        <f>J1017-J1276</f>
        <v>1.2077026689396406E-2</v>
      </c>
      <c r="M1017" s="240" t="s">
        <v>901</v>
      </c>
      <c r="N1017">
        <v>3849.62</v>
      </c>
      <c r="O1017" s="227">
        <f t="shared" si="105"/>
        <v>2.6354588524489575E-2</v>
      </c>
      <c r="P1017" s="5">
        <f>O1017-O1278</f>
        <v>2.6720345725402748E-2</v>
      </c>
      <c r="Q1017" s="8">
        <f t="shared" si="108"/>
        <v>7.1397687568504884E-4</v>
      </c>
      <c r="X1017" t="s">
        <v>901</v>
      </c>
      <c r="Y1017">
        <v>49.172400000000003</v>
      </c>
      <c r="Z1017" s="48">
        <f t="shared" si="106"/>
        <v>3.7908248565428071E-3</v>
      </c>
      <c r="AA1017" s="5">
        <f>Z1017-Y1274</f>
        <v>-4.2649461273132697E-4</v>
      </c>
      <c r="AD1017" t="s">
        <v>901</v>
      </c>
      <c r="AE1017">
        <v>198.22</v>
      </c>
      <c r="AF1017" s="29">
        <f t="shared" si="107"/>
        <v>2.667426322059363E-2</v>
      </c>
    </row>
    <row r="1018" spans="1:32">
      <c r="A1018" s="3" t="s">
        <v>905</v>
      </c>
      <c r="B1018" s="222">
        <v>56.38</v>
      </c>
      <c r="C1018" s="227">
        <f t="shared" si="103"/>
        <v>1.0575371930453548E-2</v>
      </c>
      <c r="D1018" s="5">
        <f>C1018-C1275</f>
        <v>1.0497326360894659E-2</v>
      </c>
      <c r="E1018" s="1"/>
      <c r="F1018" s="8"/>
      <c r="H1018" t="s">
        <v>904</v>
      </c>
      <c r="I1018">
        <v>48.1</v>
      </c>
      <c r="J1018" s="227">
        <f t="shared" si="104"/>
        <v>6.0656766366868897E-3</v>
      </c>
      <c r="K1018" s="5">
        <f>J1018-J1276</f>
        <v>3.9297207210769319E-3</v>
      </c>
      <c r="M1018" s="240" t="s">
        <v>902</v>
      </c>
      <c r="N1018">
        <v>3855.36</v>
      </c>
      <c r="O1018" s="227">
        <f t="shared" si="105"/>
        <v>1.4910562600984889E-3</v>
      </c>
      <c r="P1018" s="5">
        <f>O1018-O1278</f>
        <v>1.8568134610116604E-3</v>
      </c>
      <c r="Q1018" s="8">
        <f t="shared" si="108"/>
        <v>3.447756228994101E-6</v>
      </c>
      <c r="X1018" t="s">
        <v>902</v>
      </c>
      <c r="Y1018">
        <v>50.482999999999997</v>
      </c>
      <c r="Z1018" s="48">
        <f t="shared" si="106"/>
        <v>2.6653163156567405E-2</v>
      </c>
      <c r="AA1018" s="5">
        <f>Z1018-Y1274</f>
        <v>2.2435843687293271E-2</v>
      </c>
      <c r="AD1018" t="s">
        <v>902</v>
      </c>
      <c r="AE1018">
        <v>191.81</v>
      </c>
      <c r="AF1018" s="29">
        <f t="shared" si="107"/>
        <v>-3.2337806477651054E-2</v>
      </c>
    </row>
    <row r="1019" spans="1:32">
      <c r="A1019" s="3" t="s">
        <v>906</v>
      </c>
      <c r="B1019" s="222">
        <v>56.3</v>
      </c>
      <c r="C1019" s="227">
        <f t="shared" si="103"/>
        <v>-1.4189428875488463E-3</v>
      </c>
      <c r="D1019" s="5">
        <f>C1019-C1275</f>
        <v>-1.4969884571077357E-3</v>
      </c>
      <c r="F1019" s="8"/>
      <c r="H1019" t="s">
        <v>905</v>
      </c>
      <c r="I1019">
        <v>48.94</v>
      </c>
      <c r="J1019" s="227">
        <f t="shared" si="104"/>
        <v>1.7463617463617354E-2</v>
      </c>
      <c r="K1019" s="5">
        <f>J1019-J1276</f>
        <v>1.5327661548007396E-2</v>
      </c>
      <c r="M1019" s="240" t="s">
        <v>903</v>
      </c>
      <c r="N1019">
        <v>3841.47</v>
      </c>
      <c r="O1019" s="227">
        <f t="shared" si="105"/>
        <v>-3.6027763944224134E-3</v>
      </c>
      <c r="P1019" s="5">
        <f>O1019-O1278</f>
        <v>-3.2370191935092419E-3</v>
      </c>
      <c r="Q1019" s="8">
        <f t="shared" si="108"/>
        <v>1.0478293259147223E-5</v>
      </c>
      <c r="X1019" t="s">
        <v>903</v>
      </c>
      <c r="Y1019">
        <v>50.653700000000001</v>
      </c>
      <c r="Z1019" s="48">
        <f t="shared" si="106"/>
        <v>3.3813362914250078E-3</v>
      </c>
      <c r="AA1019" s="5">
        <f>Z1019-Y1274</f>
        <v>-8.3598317784912626E-4</v>
      </c>
      <c r="AD1019" t="s">
        <v>903</v>
      </c>
      <c r="AE1019">
        <v>192</v>
      </c>
      <c r="AF1019" s="29">
        <f t="shared" si="107"/>
        <v>9.905635785412148E-4</v>
      </c>
    </row>
    <row r="1020" spans="1:32">
      <c r="A1020" s="3" t="s">
        <v>907</v>
      </c>
      <c r="B1020" s="222">
        <v>55.52</v>
      </c>
      <c r="C1020" s="227">
        <f t="shared" si="103"/>
        <v>-1.3854351687388911E-2</v>
      </c>
      <c r="D1020" s="5">
        <f>C1020-C1275</f>
        <v>-1.3932397256947799E-2</v>
      </c>
      <c r="F1020" s="8"/>
      <c r="H1020" t="s">
        <v>906</v>
      </c>
      <c r="I1020">
        <v>48.96</v>
      </c>
      <c r="J1020" s="227">
        <f t="shared" si="104"/>
        <v>4.08663669799747E-4</v>
      </c>
      <c r="K1020" s="5">
        <f>J1020-J1276</f>
        <v>-1.7272922458102108E-3</v>
      </c>
      <c r="M1020" s="240" t="s">
        <v>904</v>
      </c>
      <c r="N1020">
        <v>3853.07</v>
      </c>
      <c r="O1020" s="227">
        <f t="shared" si="105"/>
        <v>3.019677363092832E-3</v>
      </c>
      <c r="P1020" s="5">
        <f>O1020-O1278</f>
        <v>3.3854345640060035E-3</v>
      </c>
      <c r="Q1020" s="8">
        <f t="shared" si="108"/>
        <v>1.1461167187166518E-5</v>
      </c>
      <c r="X1020" t="s">
        <v>904</v>
      </c>
      <c r="Y1020">
        <v>50.9696</v>
      </c>
      <c r="Z1020" s="48">
        <f t="shared" si="106"/>
        <v>6.2364644636028199E-3</v>
      </c>
      <c r="AA1020" s="5">
        <f>Z1020-Y1274</f>
        <v>2.0191449943286859E-3</v>
      </c>
      <c r="AD1020" t="s">
        <v>904</v>
      </c>
      <c r="AE1020">
        <v>190.89</v>
      </c>
      <c r="AF1020" s="29">
        <f t="shared" si="107"/>
        <v>-5.7812500000000711E-3</v>
      </c>
    </row>
    <row r="1021" spans="1:32">
      <c r="A1021" s="3" t="s">
        <v>908</v>
      </c>
      <c r="B1021" s="222">
        <v>56.91</v>
      </c>
      <c r="C1021" s="227">
        <f t="shared" si="103"/>
        <v>2.503602305475483E-2</v>
      </c>
      <c r="D1021" s="5">
        <f>C1021-C1275</f>
        <v>2.4957977485195942E-2</v>
      </c>
      <c r="F1021" s="8"/>
      <c r="H1021" t="s">
        <v>907</v>
      </c>
      <c r="I1021">
        <v>47.88</v>
      </c>
      <c r="J1021" s="227">
        <f t="shared" si="104"/>
        <v>-2.2058823529411686E-2</v>
      </c>
      <c r="K1021" s="5">
        <f>J1021-J1276</f>
        <v>-2.4194779445021644E-2</v>
      </c>
      <c r="M1021" s="240" t="s">
        <v>905</v>
      </c>
      <c r="N1021">
        <v>3851.85</v>
      </c>
      <c r="O1021" s="227">
        <f t="shared" si="105"/>
        <v>-3.1663063479259179E-4</v>
      </c>
      <c r="P1021" s="5">
        <f>O1021-O1278</f>
        <v>4.9126566120579753E-5</v>
      </c>
      <c r="Q1021" s="8">
        <f t="shared" si="108"/>
        <v>2.4134194987996943E-9</v>
      </c>
      <c r="X1021" t="s">
        <v>905</v>
      </c>
      <c r="Y1021">
        <v>51.162799999999997</v>
      </c>
      <c r="Z1021" s="48">
        <f t="shared" si="106"/>
        <v>3.7904947262681343E-3</v>
      </c>
      <c r="AA1021" s="5">
        <f>Z1021-Y1274</f>
        <v>-4.2682474300599973E-4</v>
      </c>
      <c r="AD1021" t="s">
        <v>905</v>
      </c>
      <c r="AE1021">
        <v>189.46</v>
      </c>
      <c r="AF1021" s="29">
        <f t="shared" si="107"/>
        <v>-7.491225313007388E-3</v>
      </c>
    </row>
    <row r="1022" spans="1:32">
      <c r="A1022" s="3" t="s">
        <v>909</v>
      </c>
      <c r="B1022" s="222">
        <v>59.4</v>
      </c>
      <c r="C1022" s="227">
        <f t="shared" si="103"/>
        <v>4.3753294675803911E-2</v>
      </c>
      <c r="D1022" s="5">
        <f>C1022-C1275</f>
        <v>4.3675249106245019E-2</v>
      </c>
      <c r="F1022" s="8"/>
      <c r="H1022" t="s">
        <v>908</v>
      </c>
      <c r="I1022">
        <v>48.744999999999997</v>
      </c>
      <c r="J1022" s="227">
        <f t="shared" si="104"/>
        <v>1.8065998329156008E-2</v>
      </c>
      <c r="K1022" s="5">
        <f>J1022-J1276</f>
        <v>1.593004241354605E-2</v>
      </c>
      <c r="M1022" s="240" t="s">
        <v>906</v>
      </c>
      <c r="N1022">
        <v>3798.91</v>
      </c>
      <c r="O1022" s="227">
        <f t="shared" si="105"/>
        <v>-1.374404506925242E-2</v>
      </c>
      <c r="P1022" s="5">
        <f>O1022-O1278</f>
        <v>-1.3378287868339249E-2</v>
      </c>
      <c r="Q1022" s="8">
        <f t="shared" si="108"/>
        <v>1.7897858628815311E-4</v>
      </c>
      <c r="X1022" t="s">
        <v>906</v>
      </c>
      <c r="Y1022">
        <v>50.169199999999996</v>
      </c>
      <c r="Z1022" s="48">
        <f t="shared" si="106"/>
        <v>-1.9420360105389056E-2</v>
      </c>
      <c r="AA1022" s="5">
        <f>Z1022-Y1274</f>
        <v>-2.363767957466319E-2</v>
      </c>
      <c r="AD1022" t="s">
        <v>906</v>
      </c>
      <c r="AE1022">
        <v>198.75</v>
      </c>
      <c r="AF1022" s="29">
        <f t="shared" si="107"/>
        <v>4.9034096906998892E-2</v>
      </c>
    </row>
    <row r="1023" spans="1:32">
      <c r="A1023" s="220">
        <v>44531</v>
      </c>
      <c r="B1023" s="222">
        <v>58.54</v>
      </c>
      <c r="C1023" s="227">
        <f t="shared" si="103"/>
        <v>-1.4478114478114423E-2</v>
      </c>
      <c r="D1023" s="5">
        <f>C1023-C1275</f>
        <v>-1.4556160047673312E-2</v>
      </c>
      <c r="F1023" s="8"/>
      <c r="H1023" t="s">
        <v>909</v>
      </c>
      <c r="I1023">
        <v>49.78</v>
      </c>
      <c r="J1023" s="227">
        <f t="shared" si="104"/>
        <v>2.1232946968919864E-2</v>
      </c>
      <c r="K1023" s="5">
        <f>J1023-J1276</f>
        <v>1.9096991053309906E-2</v>
      </c>
      <c r="M1023" s="240" t="s">
        <v>907</v>
      </c>
      <c r="N1023">
        <v>3768.25</v>
      </c>
      <c r="O1023" s="227">
        <f t="shared" si="105"/>
        <v>-8.0707360795596594E-3</v>
      </c>
      <c r="P1023" s="5">
        <f>O1023-O1278</f>
        <v>-7.7049788786464875E-3</v>
      </c>
      <c r="Q1023" s="8">
        <f t="shared" si="108"/>
        <v>5.9366699520388487E-5</v>
      </c>
      <c r="X1023" t="s">
        <v>907</v>
      </c>
      <c r="Y1023">
        <v>50.499000000000002</v>
      </c>
      <c r="Z1023" s="48">
        <f t="shared" si="106"/>
        <v>6.573754415059474E-3</v>
      </c>
      <c r="AA1023" s="5">
        <f>Z1023-Y1274</f>
        <v>2.3564349457853399E-3</v>
      </c>
      <c r="AD1023" t="s">
        <v>907</v>
      </c>
      <c r="AE1023">
        <v>187.15</v>
      </c>
      <c r="AF1023" s="29">
        <f t="shared" si="107"/>
        <v>-5.8364779874213846E-2</v>
      </c>
    </row>
    <row r="1024" spans="1:32">
      <c r="A1024" s="220">
        <v>44501</v>
      </c>
      <c r="B1024" s="222">
        <v>54.59</v>
      </c>
      <c r="C1024" s="227">
        <f t="shared" si="103"/>
        <v>-6.7475230611547588E-2</v>
      </c>
      <c r="D1024" s="5">
        <f>C1024-C1275</f>
        <v>-6.7553276181106472E-2</v>
      </c>
      <c r="F1024" s="8"/>
      <c r="H1024" s="1">
        <v>44531</v>
      </c>
      <c r="I1024">
        <v>50.68</v>
      </c>
      <c r="J1024" s="227">
        <f t="shared" si="104"/>
        <v>1.807955002008832E-2</v>
      </c>
      <c r="K1024" s="5">
        <f>J1024-J1276</f>
        <v>1.5943594104478362E-2</v>
      </c>
      <c r="M1024" s="240" t="s">
        <v>908</v>
      </c>
      <c r="N1024">
        <v>3795.54</v>
      </c>
      <c r="O1024" s="227">
        <f t="shared" si="105"/>
        <v>7.2420885026205362E-3</v>
      </c>
      <c r="P1024" s="5">
        <f>O1024-O1278</f>
        <v>7.6078457035337081E-3</v>
      </c>
      <c r="Q1024" s="8">
        <f t="shared" si="108"/>
        <v>5.7879316248776304E-5</v>
      </c>
      <c r="X1024" t="s">
        <v>908</v>
      </c>
      <c r="Y1024">
        <v>50.438099999999999</v>
      </c>
      <c r="Z1024" s="48">
        <f t="shared" si="106"/>
        <v>-1.20596447454413E-3</v>
      </c>
      <c r="AA1024" s="5">
        <f>Z1024-Y1274</f>
        <v>-5.4232839438182641E-3</v>
      </c>
      <c r="AD1024" t="s">
        <v>908</v>
      </c>
      <c r="AE1024">
        <v>207.24</v>
      </c>
      <c r="AF1024" s="29">
        <f t="shared" si="107"/>
        <v>0.10734704782260218</v>
      </c>
    </row>
    <row r="1025" spans="1:32">
      <c r="A1025" s="220">
        <v>44409</v>
      </c>
      <c r="B1025" s="222">
        <v>53.28</v>
      </c>
      <c r="C1025" s="227">
        <f t="shared" si="103"/>
        <v>-2.399706906026744E-2</v>
      </c>
      <c r="D1025" s="5">
        <f>C1025-C1275</f>
        <v>-2.4075114629826328E-2</v>
      </c>
      <c r="F1025" s="8"/>
      <c r="H1025" s="1">
        <v>44501</v>
      </c>
      <c r="I1025">
        <v>48.37</v>
      </c>
      <c r="J1025" s="227">
        <f t="shared" si="104"/>
        <v>-4.5580110497237647E-2</v>
      </c>
      <c r="K1025" s="5">
        <f>J1025-J1276</f>
        <v>-4.7716066412847605E-2</v>
      </c>
      <c r="M1025" s="240" t="s">
        <v>909</v>
      </c>
      <c r="N1025">
        <v>3809.84</v>
      </c>
      <c r="O1025" s="227">
        <f t="shared" si="105"/>
        <v>3.7675798437113439E-3</v>
      </c>
      <c r="P1025" s="5">
        <f>O1025-O1278</f>
        <v>4.1333370446245158E-3</v>
      </c>
      <c r="Q1025" s="8">
        <f t="shared" si="108"/>
        <v>1.7084475124465326E-5</v>
      </c>
      <c r="X1025" t="s">
        <v>909</v>
      </c>
      <c r="Y1025">
        <v>50.762599999999999</v>
      </c>
      <c r="Z1025" s="48">
        <f t="shared" si="106"/>
        <v>6.4336285466739529E-3</v>
      </c>
      <c r="AA1025" s="5">
        <f>Z1025-Y1274</f>
        <v>2.2163090773998188E-3</v>
      </c>
      <c r="AD1025" t="s">
        <v>909</v>
      </c>
      <c r="AE1025">
        <v>198</v>
      </c>
      <c r="AF1025" s="29">
        <f t="shared" si="107"/>
        <v>-4.4585987261146487E-2</v>
      </c>
    </row>
    <row r="1026" spans="1:32">
      <c r="A1026" s="220">
        <v>44378</v>
      </c>
      <c r="B1026" s="222">
        <v>56.13</v>
      </c>
      <c r="C1026" s="227">
        <f t="shared" si="103"/>
        <v>5.3490990990991083E-2</v>
      </c>
      <c r="D1026" s="5">
        <f>C1026-C1275</f>
        <v>5.3412945421432191E-2</v>
      </c>
      <c r="F1026" s="8"/>
      <c r="H1026" s="1">
        <v>44409</v>
      </c>
      <c r="I1026">
        <v>47.5</v>
      </c>
      <c r="J1026" s="227">
        <f t="shared" si="104"/>
        <v>-1.7986355178829849E-2</v>
      </c>
      <c r="K1026" s="5">
        <f>J1026-J1276</f>
        <v>-2.0122311094439807E-2</v>
      </c>
      <c r="M1026" s="241">
        <v>44531</v>
      </c>
      <c r="N1026">
        <v>3801.19</v>
      </c>
      <c r="O1026" s="227">
        <f t="shared" si="105"/>
        <v>-2.2704365537660198E-3</v>
      </c>
      <c r="P1026" s="5">
        <f>O1026-O1278</f>
        <v>-1.9046793528528483E-3</v>
      </c>
      <c r="Q1026" s="8">
        <f t="shared" si="108"/>
        <v>3.627803437183945E-6</v>
      </c>
      <c r="X1026" s="1">
        <v>44531</v>
      </c>
      <c r="Y1026">
        <v>51.367699999999999</v>
      </c>
      <c r="Z1026" s="48">
        <f t="shared" si="106"/>
        <v>1.1920193213113661E-2</v>
      </c>
      <c r="AA1026" s="5">
        <f>Z1026-Y1274</f>
        <v>7.7028737438395271E-3</v>
      </c>
      <c r="AD1026" s="1">
        <v>44531</v>
      </c>
      <c r="AE1026">
        <v>191.99</v>
      </c>
      <c r="AF1026" s="29">
        <f t="shared" si="107"/>
        <v>-3.0353535353535355E-2</v>
      </c>
    </row>
    <row r="1027" spans="1:32">
      <c r="A1027" s="220">
        <v>44348</v>
      </c>
      <c r="B1027" s="222">
        <v>52.48</v>
      </c>
      <c r="C1027" s="227">
        <f t="shared" si="103"/>
        <v>-6.5027614466417361E-2</v>
      </c>
      <c r="D1027" s="5">
        <f>C1027-C1275</f>
        <v>-6.5105660035976246E-2</v>
      </c>
      <c r="F1027" s="8"/>
      <c r="H1027" s="1">
        <v>44378</v>
      </c>
      <c r="I1027">
        <v>48.84</v>
      </c>
      <c r="J1027" s="227">
        <f t="shared" si="104"/>
        <v>2.8210526315789464E-2</v>
      </c>
      <c r="K1027" s="5">
        <f>J1027-J1276</f>
        <v>2.6074570400179506E-2</v>
      </c>
      <c r="M1027" s="241">
        <v>44501</v>
      </c>
      <c r="N1027">
        <v>3799.61</v>
      </c>
      <c r="O1027" s="227">
        <f t="shared" si="105"/>
        <v>-4.1565930669074103E-4</v>
      </c>
      <c r="P1027" s="5">
        <f>O1027-O1278</f>
        <v>-4.9902105777569481E-5</v>
      </c>
      <c r="Q1027" s="8">
        <f t="shared" si="108"/>
        <v>2.4902201610357335E-9</v>
      </c>
      <c r="X1027" s="1">
        <v>44501</v>
      </c>
      <c r="Y1027">
        <v>50.627000000000002</v>
      </c>
      <c r="Z1027" s="48">
        <f t="shared" si="106"/>
        <v>-1.4419567159907776E-2</v>
      </c>
      <c r="AA1027" s="5">
        <f>Z1027-Y1274</f>
        <v>-1.863688662918191E-2</v>
      </c>
      <c r="AD1027" s="1">
        <v>44501</v>
      </c>
      <c r="AE1027">
        <v>167</v>
      </c>
      <c r="AF1027" s="29">
        <f t="shared" si="107"/>
        <v>-0.13016302932444401</v>
      </c>
    </row>
    <row r="1028" spans="1:32">
      <c r="A1028" s="220">
        <v>44317</v>
      </c>
      <c r="B1028" s="222">
        <v>54.01</v>
      </c>
      <c r="C1028" s="227">
        <f t="shared" si="103"/>
        <v>2.9153963414634276E-2</v>
      </c>
      <c r="D1028" s="5">
        <f>C1028-C1275</f>
        <v>2.9075917845075388E-2</v>
      </c>
      <c r="F1028" s="8"/>
      <c r="H1028" s="1">
        <v>44348</v>
      </c>
      <c r="I1028">
        <v>47.46</v>
      </c>
      <c r="J1028" s="227">
        <f t="shared" si="104"/>
        <v>-2.825552825552835E-2</v>
      </c>
      <c r="K1028" s="5">
        <f>J1028-J1276</f>
        <v>-3.0391484171138308E-2</v>
      </c>
      <c r="M1028" s="241">
        <v>44409</v>
      </c>
      <c r="N1028">
        <v>3824.68</v>
      </c>
      <c r="O1028" s="227">
        <f t="shared" si="105"/>
        <v>6.598045588889212E-3</v>
      </c>
      <c r="P1028" s="5">
        <f>O1028-O1278</f>
        <v>6.9638027898023839E-3</v>
      </c>
      <c r="Q1028" s="8">
        <f t="shared" si="108"/>
        <v>4.8494549295259465E-5</v>
      </c>
      <c r="X1028" s="1">
        <v>44409</v>
      </c>
      <c r="Y1028">
        <v>50.463799999999999</v>
      </c>
      <c r="Z1028" s="48">
        <f t="shared" si="106"/>
        <v>-3.2235763525392258E-3</v>
      </c>
      <c r="AA1028" s="5">
        <f>Z1028-Y1274</f>
        <v>-7.4408958218133599E-3</v>
      </c>
      <c r="AD1028" s="1">
        <v>44409</v>
      </c>
      <c r="AE1028">
        <v>156.09</v>
      </c>
      <c r="AF1028" s="29">
        <f t="shared" si="107"/>
        <v>-6.532934131736523E-2</v>
      </c>
    </row>
    <row r="1029" spans="1:32">
      <c r="A1029" s="220">
        <v>44287</v>
      </c>
      <c r="B1029" s="222">
        <v>51.14</v>
      </c>
      <c r="C1029" s="227">
        <f t="shared" si="103"/>
        <v>-5.3138307720792421E-2</v>
      </c>
      <c r="D1029" s="5">
        <f>C1029-C1275</f>
        <v>-5.3216353290351313E-2</v>
      </c>
      <c r="F1029" s="8"/>
      <c r="H1029" s="1">
        <v>44317</v>
      </c>
      <c r="I1029">
        <v>48.85</v>
      </c>
      <c r="J1029" s="227">
        <f t="shared" si="104"/>
        <v>2.9287821323219498E-2</v>
      </c>
      <c r="K1029" s="5">
        <f>J1029-J1276</f>
        <v>2.7151865407609541E-2</v>
      </c>
      <c r="M1029" s="241">
        <v>44378</v>
      </c>
      <c r="N1029">
        <v>3803.79</v>
      </c>
      <c r="O1029" s="227">
        <f t="shared" si="105"/>
        <v>-5.4618948513339705E-3</v>
      </c>
      <c r="P1029" s="5">
        <f>O1029-O1278</f>
        <v>-5.0961376504207985E-3</v>
      </c>
      <c r="Q1029" s="8">
        <f t="shared" si="108"/>
        <v>2.5970618952036417E-5</v>
      </c>
      <c r="X1029" s="1">
        <v>44378</v>
      </c>
      <c r="Y1029">
        <v>49.968600000000002</v>
      </c>
      <c r="Z1029" s="48">
        <f t="shared" si="106"/>
        <v>-9.81297484533461E-3</v>
      </c>
      <c r="AA1029" s="5">
        <f>Z1029-Y1274</f>
        <v>-1.4030294314608744E-2</v>
      </c>
      <c r="AD1029" s="1">
        <v>44378</v>
      </c>
      <c r="AE1029">
        <v>152.77000000000001</v>
      </c>
      <c r="AF1029" s="29">
        <f t="shared" si="107"/>
        <v>-2.1269780254981052E-2</v>
      </c>
    </row>
    <row r="1030" spans="1:32">
      <c r="A1030" s="3" t="s">
        <v>910</v>
      </c>
      <c r="B1030" s="222">
        <v>51</v>
      </c>
      <c r="C1030" s="227">
        <f t="shared" si="103"/>
        <v>-2.7375831052014465E-3</v>
      </c>
      <c r="D1030" s="5">
        <f>C1030-C1275</f>
        <v>-2.8156286747603359E-3</v>
      </c>
      <c r="F1030" s="8"/>
      <c r="H1030" s="1">
        <v>44287</v>
      </c>
      <c r="I1030">
        <v>47.28</v>
      </c>
      <c r="J1030" s="227">
        <f t="shared" si="104"/>
        <v>-3.213920163766637E-2</v>
      </c>
      <c r="K1030" s="5">
        <f>J1030-J1276</f>
        <v>-3.4275157553276328E-2</v>
      </c>
      <c r="M1030" s="241">
        <v>44348</v>
      </c>
      <c r="N1030">
        <v>3748.14</v>
      </c>
      <c r="O1030" s="227">
        <f t="shared" si="105"/>
        <v>-1.4630145197290112E-2</v>
      </c>
      <c r="P1030" s="5">
        <f>O1030-O1278</f>
        <v>-1.4264387996376941E-2</v>
      </c>
      <c r="Q1030" s="8">
        <f t="shared" si="108"/>
        <v>2.0347276491118255E-4</v>
      </c>
      <c r="X1030" s="1">
        <v>44348</v>
      </c>
      <c r="Y1030">
        <v>50.011200000000002</v>
      </c>
      <c r="Z1030" s="48">
        <f t="shared" si="106"/>
        <v>8.5253539222640562E-4</v>
      </c>
      <c r="AA1030" s="5">
        <f>Z1030-Y1274</f>
        <v>-3.3647840770477284E-3</v>
      </c>
      <c r="AD1030" s="1">
        <v>44348</v>
      </c>
      <c r="AE1030">
        <v>140.01</v>
      </c>
      <c r="AF1030" s="29">
        <f t="shared" si="107"/>
        <v>-8.3524252143745592E-2</v>
      </c>
    </row>
    <row r="1031" spans="1:32">
      <c r="A1031" s="3" t="s">
        <v>911</v>
      </c>
      <c r="B1031" s="222">
        <v>53.15</v>
      </c>
      <c r="C1031" s="227">
        <f t="shared" si="103"/>
        <v>4.2156862745098111E-2</v>
      </c>
      <c r="D1031" s="5">
        <f>C1031-C1275</f>
        <v>4.207881717553922E-2</v>
      </c>
      <c r="F1031" s="8"/>
      <c r="H1031" t="s">
        <v>910</v>
      </c>
      <c r="I1031">
        <v>49.13</v>
      </c>
      <c r="J1031" s="227">
        <f t="shared" si="104"/>
        <v>3.912859560067683E-2</v>
      </c>
      <c r="K1031" s="5">
        <f>J1031-J1276</f>
        <v>3.6992639685066872E-2</v>
      </c>
      <c r="M1031" s="241">
        <v>44317</v>
      </c>
      <c r="N1031">
        <v>3726.86</v>
      </c>
      <c r="O1031" s="227">
        <f t="shared" si="105"/>
        <v>-5.6774826980848792E-3</v>
      </c>
      <c r="P1031" s="5">
        <f>O1031-O1278</f>
        <v>-5.3117254971717072E-3</v>
      </c>
      <c r="Q1031" s="8">
        <f t="shared" si="108"/>
        <v>2.8214427757304019E-5</v>
      </c>
      <c r="X1031" s="1">
        <v>44317</v>
      </c>
      <c r="Y1031">
        <v>48.132899999999999</v>
      </c>
      <c r="Z1031" s="48">
        <f t="shared" si="106"/>
        <v>-3.7557587100489509E-2</v>
      </c>
      <c r="AA1031" s="5">
        <f>Z1031-Y1274</f>
        <v>-4.177490656976364E-2</v>
      </c>
      <c r="AD1031" s="1">
        <v>44317</v>
      </c>
      <c r="AE1031">
        <v>144.43</v>
      </c>
      <c r="AF1031" s="29">
        <f t="shared" si="107"/>
        <v>3.1569173630455083E-2</v>
      </c>
    </row>
    <row r="1032" spans="1:32">
      <c r="A1032" s="3" t="s">
        <v>912</v>
      </c>
      <c r="B1032" s="222">
        <v>52.27</v>
      </c>
      <c r="C1032" s="227">
        <f t="shared" si="103"/>
        <v>-1.6556914393226596E-2</v>
      </c>
      <c r="D1032" s="5">
        <f>C1032-C1275</f>
        <v>-1.6634959962785485E-2</v>
      </c>
      <c r="E1032" s="1"/>
      <c r="F1032" s="8"/>
      <c r="H1032" t="s">
        <v>911</v>
      </c>
      <c r="I1032">
        <v>50.34</v>
      </c>
      <c r="J1032" s="227">
        <f t="shared" si="104"/>
        <v>2.4628536535721501E-2</v>
      </c>
      <c r="K1032" s="5">
        <f>J1032-J1276</f>
        <v>2.2492580620111544E-2</v>
      </c>
      <c r="M1032" s="241">
        <v>44287</v>
      </c>
      <c r="N1032">
        <v>3700.65</v>
      </c>
      <c r="O1032" s="227">
        <f t="shared" si="105"/>
        <v>-7.032729965708362E-3</v>
      </c>
      <c r="P1032" s="5">
        <f>O1032-O1278</f>
        <v>-6.66697276479519E-3</v>
      </c>
      <c r="Q1032" s="8">
        <f t="shared" si="108"/>
        <v>4.4448525846520819E-5</v>
      </c>
      <c r="X1032" s="1">
        <v>44287</v>
      </c>
      <c r="Y1032">
        <v>47.460500000000003</v>
      </c>
      <c r="Z1032" s="48">
        <f t="shared" si="106"/>
        <v>-1.3969654851463287E-2</v>
      </c>
      <c r="AA1032" s="5">
        <f>Z1032-Y1274</f>
        <v>-1.8186974320737421E-2</v>
      </c>
      <c r="AD1032" s="1">
        <v>44287</v>
      </c>
      <c r="AE1032">
        <v>139.19</v>
      </c>
      <c r="AF1032" s="29">
        <f t="shared" si="107"/>
        <v>-3.6280551132036321E-2</v>
      </c>
    </row>
    <row r="1033" spans="1:32">
      <c r="A1033" s="3" t="s">
        <v>913</v>
      </c>
      <c r="B1033" s="222">
        <v>51.97</v>
      </c>
      <c r="C1033" s="227">
        <f t="shared" si="103"/>
        <v>-5.7394298832983415E-3</v>
      </c>
      <c r="D1033" s="5">
        <f>C1033-C1275</f>
        <v>-5.8174754528572308E-3</v>
      </c>
      <c r="E1033" s="1"/>
      <c r="F1033" s="8"/>
      <c r="H1033" t="s">
        <v>912</v>
      </c>
      <c r="I1033">
        <v>49.25</v>
      </c>
      <c r="J1033" s="227">
        <f t="shared" si="104"/>
        <v>-2.1652761223679096E-2</v>
      </c>
      <c r="K1033" s="5">
        <f>J1033-J1276</f>
        <v>-2.3788717139289053E-2</v>
      </c>
      <c r="M1033" s="240" t="s">
        <v>910</v>
      </c>
      <c r="N1033">
        <v>3756.07</v>
      </c>
      <c r="O1033" s="227">
        <f t="shared" si="105"/>
        <v>1.4975747503816805E-2</v>
      </c>
      <c r="P1033" s="5">
        <f>O1033-O1278</f>
        <v>1.5341504704729976E-2</v>
      </c>
      <c r="Q1033" s="8">
        <f t="shared" si="108"/>
        <v>2.35361766605252E-4</v>
      </c>
      <c r="X1033" t="s">
        <v>910</v>
      </c>
      <c r="Y1033">
        <v>48.448799999999999</v>
      </c>
      <c r="Z1033" s="48">
        <f t="shared" si="106"/>
        <v>2.0823632283688331E-2</v>
      </c>
      <c r="AA1033" s="5">
        <f>Z1033-Y1274</f>
        <v>1.6606312814414197E-2</v>
      </c>
      <c r="AD1033" t="s">
        <v>910</v>
      </c>
      <c r="AE1033">
        <v>142.75</v>
      </c>
      <c r="AF1033" s="29">
        <f t="shared" si="107"/>
        <v>2.5576550039514423E-2</v>
      </c>
    </row>
    <row r="1034" spans="1:32">
      <c r="A1034" s="3" t="s">
        <v>914</v>
      </c>
      <c r="B1034" s="222">
        <v>52.88</v>
      </c>
      <c r="C1034" s="227">
        <f t="shared" si="103"/>
        <v>1.7510101981912607E-2</v>
      </c>
      <c r="D1034" s="5">
        <f>C1034-C1275</f>
        <v>1.7432056412353718E-2</v>
      </c>
      <c r="E1034" s="1"/>
      <c r="F1034" s="8"/>
      <c r="H1034" t="s">
        <v>913</v>
      </c>
      <c r="I1034">
        <v>49.77</v>
      </c>
      <c r="J1034" s="227">
        <f t="shared" si="104"/>
        <v>1.055837563451778E-2</v>
      </c>
      <c r="K1034" s="5">
        <f>J1034-J1276</f>
        <v>8.4224197189078226E-3</v>
      </c>
      <c r="M1034" s="240" t="s">
        <v>911</v>
      </c>
      <c r="N1034">
        <v>3732.04</v>
      </c>
      <c r="O1034" s="227">
        <f t="shared" si="105"/>
        <v>-6.3976443463513721E-3</v>
      </c>
      <c r="P1034" s="5">
        <f>O1034-O1278</f>
        <v>-6.0318871454382002E-3</v>
      </c>
      <c r="Q1034" s="8">
        <f t="shared" si="108"/>
        <v>3.6383662535302601E-5</v>
      </c>
      <c r="X1034" t="s">
        <v>911</v>
      </c>
      <c r="Y1034">
        <v>48.381599999999999</v>
      </c>
      <c r="Z1034" s="48">
        <f t="shared" si="106"/>
        <v>-1.3870312577400901E-3</v>
      </c>
      <c r="AA1034" s="5">
        <f>Z1034-Y1274</f>
        <v>-5.6043507270142241E-3</v>
      </c>
      <c r="AD1034" t="s">
        <v>911</v>
      </c>
      <c r="AE1034">
        <v>140.19999999999999</v>
      </c>
      <c r="AF1034" s="29">
        <f t="shared" si="107"/>
        <v>-1.7863397548161242E-2</v>
      </c>
    </row>
    <row r="1035" spans="1:32">
      <c r="A1035" s="3" t="s">
        <v>915</v>
      </c>
      <c r="B1035" s="222">
        <v>53.71</v>
      </c>
      <c r="C1035" s="227">
        <f t="shared" si="103"/>
        <v>1.5695915279879014E-2</v>
      </c>
      <c r="D1035" s="5">
        <f>C1035-C1275</f>
        <v>1.5617869710320125E-2</v>
      </c>
      <c r="E1035" s="1"/>
      <c r="F1035" s="8"/>
      <c r="H1035" t="s">
        <v>914</v>
      </c>
      <c r="I1035">
        <v>48.86</v>
      </c>
      <c r="J1035" s="227">
        <f t="shared" si="104"/>
        <v>-1.8284106891701901E-2</v>
      </c>
      <c r="K1035" s="5">
        <f>J1035-J1276</f>
        <v>-2.0420062807311859E-2</v>
      </c>
      <c r="M1035" s="240" t="s">
        <v>912</v>
      </c>
      <c r="N1035">
        <v>3727.04</v>
      </c>
      <c r="O1035" s="227">
        <f t="shared" si="105"/>
        <v>-1.3397498419095433E-3</v>
      </c>
      <c r="P1035" s="5">
        <f>O1035-O1278</f>
        <v>-9.7399264099637178E-4</v>
      </c>
      <c r="Q1035" s="8">
        <f t="shared" si="108"/>
        <v>9.4866166471508721E-7</v>
      </c>
      <c r="X1035" t="s">
        <v>912</v>
      </c>
      <c r="Y1035">
        <v>47.779600000000002</v>
      </c>
      <c r="Z1035" s="48">
        <f t="shared" si="106"/>
        <v>-1.2442746829373075E-2</v>
      </c>
      <c r="AA1035" s="5">
        <f>Z1035-Y1274</f>
        <v>-1.6660066298647209E-2</v>
      </c>
      <c r="AD1035" t="s">
        <v>912</v>
      </c>
      <c r="AE1035">
        <v>141.27000000000001</v>
      </c>
      <c r="AF1035" s="29">
        <f t="shared" si="107"/>
        <v>7.6319543509273391E-3</v>
      </c>
    </row>
    <row r="1036" spans="1:32">
      <c r="A1036" s="3" t="s">
        <v>916</v>
      </c>
      <c r="B1036" s="222">
        <v>53.78</v>
      </c>
      <c r="C1036" s="227">
        <f t="shared" si="103"/>
        <v>1.3032954757028481E-3</v>
      </c>
      <c r="D1036" s="5">
        <f>C1036-C1275</f>
        <v>1.2252499061439588E-3</v>
      </c>
      <c r="E1036" s="1"/>
      <c r="F1036" s="8"/>
      <c r="H1036" t="s">
        <v>915</v>
      </c>
      <c r="I1036">
        <v>50.07</v>
      </c>
      <c r="J1036" s="227">
        <f t="shared" si="104"/>
        <v>2.4764633647155199E-2</v>
      </c>
      <c r="K1036" s="5">
        <f>J1036-J1276</f>
        <v>2.2628677731545241E-2</v>
      </c>
      <c r="M1036" s="240" t="s">
        <v>913</v>
      </c>
      <c r="N1036">
        <v>3735.36</v>
      </c>
      <c r="O1036" s="227">
        <f t="shared" si="105"/>
        <v>2.2323345067398748E-3</v>
      </c>
      <c r="P1036" s="5">
        <f>O1036-O1278</f>
        <v>2.5980917076530463E-3</v>
      </c>
      <c r="Q1036" s="8">
        <f t="shared" si="108"/>
        <v>6.7500805213755218E-6</v>
      </c>
      <c r="X1036" t="s">
        <v>913</v>
      </c>
      <c r="Y1036">
        <v>47.963200000000001</v>
      </c>
      <c r="Z1036" s="48">
        <f t="shared" si="106"/>
        <v>3.8426441410142065E-3</v>
      </c>
      <c r="AA1036" s="5">
        <f>Z1036-Y1274</f>
        <v>-3.7467532825992758E-4</v>
      </c>
      <c r="AD1036" t="s">
        <v>913</v>
      </c>
      <c r="AE1036">
        <v>147.88999999999999</v>
      </c>
      <c r="AF1036" s="29">
        <f t="shared" si="107"/>
        <v>4.6860621504919431E-2</v>
      </c>
    </row>
    <row r="1037" spans="1:32">
      <c r="A1037" s="3" t="s">
        <v>917</v>
      </c>
      <c r="B1037" s="222">
        <v>51.8</v>
      </c>
      <c r="C1037" s="227">
        <f t="shared" si="103"/>
        <v>-3.681666046857579E-2</v>
      </c>
      <c r="D1037" s="5">
        <f>C1037-C1275</f>
        <v>-3.6894706038134682E-2</v>
      </c>
      <c r="E1037" s="1"/>
      <c r="F1037" s="8"/>
      <c r="H1037" t="s">
        <v>916</v>
      </c>
      <c r="I1037">
        <v>49.51</v>
      </c>
      <c r="J1037" s="227">
        <f t="shared" si="104"/>
        <v>-1.1184341921310237E-2</v>
      </c>
      <c r="K1037" s="5">
        <f>J1037-J1276</f>
        <v>-1.3320297836920195E-2</v>
      </c>
      <c r="M1037" s="240" t="s">
        <v>914</v>
      </c>
      <c r="N1037">
        <v>3703.06</v>
      </c>
      <c r="O1037" s="227">
        <f t="shared" si="105"/>
        <v>-8.6470915788572356E-3</v>
      </c>
      <c r="P1037" s="5">
        <f>O1037-O1278</f>
        <v>-8.2813343779440645E-3</v>
      </c>
      <c r="Q1037" s="8">
        <f t="shared" si="108"/>
        <v>6.8580499079318207E-5</v>
      </c>
      <c r="X1037" t="s">
        <v>914</v>
      </c>
      <c r="Y1037">
        <v>47.801000000000002</v>
      </c>
      <c r="Z1037" s="48">
        <f t="shared" si="106"/>
        <v>-3.3817593488341124E-3</v>
      </c>
      <c r="AA1037" s="5">
        <f>Z1037-Y1274</f>
        <v>-7.5990788181082465E-3</v>
      </c>
      <c r="AD1037" t="s">
        <v>914</v>
      </c>
      <c r="AE1037">
        <v>158.46</v>
      </c>
      <c r="AF1037" s="29">
        <f t="shared" si="107"/>
        <v>7.1472040029751938E-2</v>
      </c>
    </row>
    <row r="1038" spans="1:32">
      <c r="A1038" s="3" t="s">
        <v>918</v>
      </c>
      <c r="B1038" s="222">
        <v>50.62</v>
      </c>
      <c r="C1038" s="227">
        <f t="shared" si="103"/>
        <v>-2.2779922779922801E-2</v>
      </c>
      <c r="D1038" s="5">
        <f>C1038-C1275</f>
        <v>-2.2857968349481689E-2</v>
      </c>
      <c r="E1038" s="1"/>
      <c r="F1038" s="8"/>
      <c r="H1038" t="s">
        <v>917</v>
      </c>
      <c r="I1038">
        <v>49.91</v>
      </c>
      <c r="J1038" s="227">
        <f t="shared" si="104"/>
        <v>8.0791759240557148E-3</v>
      </c>
      <c r="K1038" s="5">
        <f>J1038-J1276</f>
        <v>5.943220008445757E-3</v>
      </c>
      <c r="M1038" s="240" t="s">
        <v>915</v>
      </c>
      <c r="N1038">
        <v>3690.01</v>
      </c>
      <c r="O1038" s="227">
        <f t="shared" si="105"/>
        <v>-3.524112490750797E-3</v>
      </c>
      <c r="P1038" s="5">
        <f>O1038-O1278</f>
        <v>-3.1583552898376255E-3</v>
      </c>
      <c r="Q1038" s="8">
        <f t="shared" si="108"/>
        <v>9.9752081368453123E-6</v>
      </c>
      <c r="X1038" t="s">
        <v>915</v>
      </c>
      <c r="Y1038">
        <v>48.057099999999998</v>
      </c>
      <c r="Z1038" s="48">
        <f t="shared" si="106"/>
        <v>5.3576285014957925E-3</v>
      </c>
      <c r="AA1038" s="5">
        <f>Z1038-Y1274</f>
        <v>1.1403090322216584E-3</v>
      </c>
      <c r="AD1038" t="s">
        <v>915</v>
      </c>
      <c r="AE1038">
        <v>158.22</v>
      </c>
      <c r="AF1038" s="29">
        <f t="shared" si="107"/>
        <v>-1.5145778114351582E-3</v>
      </c>
    </row>
    <row r="1039" spans="1:32">
      <c r="A1039" s="3" t="s">
        <v>919</v>
      </c>
      <c r="B1039" s="222">
        <v>50.63</v>
      </c>
      <c r="C1039" s="227">
        <f t="shared" si="103"/>
        <v>1.9755037534574527E-4</v>
      </c>
      <c r="D1039" s="5">
        <f>C1039-C1275</f>
        <v>1.1950480578685605E-4</v>
      </c>
      <c r="E1039" s="1"/>
      <c r="F1039" s="8"/>
      <c r="H1039" t="s">
        <v>918</v>
      </c>
      <c r="I1039">
        <v>49.98</v>
      </c>
      <c r="J1039" s="227">
        <f t="shared" si="104"/>
        <v>1.4025245441795509E-3</v>
      </c>
      <c r="K1039" s="5">
        <f>J1039-J1276</f>
        <v>-7.3343137143040693E-4</v>
      </c>
      <c r="M1039" s="240" t="s">
        <v>916</v>
      </c>
      <c r="N1039">
        <v>3687.26</v>
      </c>
      <c r="O1039" s="227">
        <f t="shared" si="105"/>
        <v>-7.4525543291215079E-4</v>
      </c>
      <c r="P1039" s="5">
        <f>O1039-O1278</f>
        <v>-3.7949823199897925E-4</v>
      </c>
      <c r="Q1039" s="8">
        <f t="shared" si="108"/>
        <v>1.4401890809035107E-7</v>
      </c>
      <c r="X1039" t="s">
        <v>916</v>
      </c>
      <c r="Y1039">
        <v>48.348500000000001</v>
      </c>
      <c r="Z1039" s="48">
        <f t="shared" si="106"/>
        <v>6.0636201518611266E-3</v>
      </c>
      <c r="AA1039" s="5">
        <f>Z1039-Y1274</f>
        <v>1.8463006825869925E-3</v>
      </c>
      <c r="AD1039" t="s">
        <v>916</v>
      </c>
      <c r="AE1039">
        <v>156.79</v>
      </c>
      <c r="AF1039" s="29">
        <f t="shared" si="107"/>
        <v>-9.0380482871951218E-3</v>
      </c>
    </row>
    <row r="1040" spans="1:32">
      <c r="A1040" s="3" t="s">
        <v>920</v>
      </c>
      <c r="B1040" s="222">
        <v>50.49</v>
      </c>
      <c r="C1040" s="227">
        <f t="shared" si="103"/>
        <v>-2.765158996642314E-3</v>
      </c>
      <c r="D1040" s="5">
        <f>C1040-C1275</f>
        <v>-2.8432045662012033E-3</v>
      </c>
      <c r="E1040" s="1"/>
      <c r="F1040" s="8"/>
      <c r="H1040" t="s">
        <v>919</v>
      </c>
      <c r="I1040">
        <v>49.47</v>
      </c>
      <c r="J1040" s="227">
        <f t="shared" si="104"/>
        <v>-1.0204081632653073E-2</v>
      </c>
      <c r="K1040" s="5">
        <f>J1040-J1276</f>
        <v>-1.234003754826303E-2</v>
      </c>
      <c r="M1040" s="240" t="s">
        <v>917</v>
      </c>
      <c r="N1040">
        <v>3694.92</v>
      </c>
      <c r="O1040" s="227">
        <f t="shared" si="105"/>
        <v>2.0774233441633871E-3</v>
      </c>
      <c r="P1040" s="5">
        <f>O1040-O1278</f>
        <v>2.4431805450765586E-3</v>
      </c>
      <c r="Q1040" s="8">
        <f t="shared" si="108"/>
        <v>5.9691311758405898E-6</v>
      </c>
      <c r="X1040" t="s">
        <v>917</v>
      </c>
      <c r="Y1040">
        <v>47.584299999999999</v>
      </c>
      <c r="Z1040" s="48">
        <f t="shared" si="106"/>
        <v>-1.580607464554229E-2</v>
      </c>
      <c r="AA1040" s="5">
        <f>Z1040-Y1274</f>
        <v>-2.0023394114816424E-2</v>
      </c>
      <c r="AD1040" t="s">
        <v>917</v>
      </c>
      <c r="AE1040">
        <v>160.22999999999999</v>
      </c>
      <c r="AF1040" s="29">
        <f t="shared" si="107"/>
        <v>2.194017475604304E-2</v>
      </c>
    </row>
    <row r="1041" spans="1:32">
      <c r="A1041" s="3" t="s">
        <v>921</v>
      </c>
      <c r="B1041" s="222">
        <v>51</v>
      </c>
      <c r="C1041" s="227">
        <f t="shared" si="103"/>
        <v>1.0101010101010166E-2</v>
      </c>
      <c r="D1041" s="5">
        <f>C1041-C1275</f>
        <v>1.0022964531451278E-2</v>
      </c>
      <c r="F1041" s="8"/>
      <c r="H1041" t="s">
        <v>920</v>
      </c>
      <c r="I1041">
        <v>49.91</v>
      </c>
      <c r="J1041" s="227">
        <f t="shared" si="104"/>
        <v>8.8942793612289961E-3</v>
      </c>
      <c r="K1041" s="5">
        <f>J1041-J1276</f>
        <v>6.7583234456190383E-3</v>
      </c>
      <c r="M1041" s="240" t="s">
        <v>918</v>
      </c>
      <c r="N1041">
        <v>3709.41</v>
      </c>
      <c r="O1041" s="227">
        <f t="shared" si="105"/>
        <v>3.9216004676689842E-3</v>
      </c>
      <c r="P1041" s="5">
        <f>O1041-O1278</f>
        <v>4.2873576685821561E-3</v>
      </c>
      <c r="Q1041" s="8">
        <f t="shared" si="108"/>
        <v>1.8381435778350223E-5</v>
      </c>
      <c r="X1041" t="s">
        <v>918</v>
      </c>
      <c r="Y1041">
        <v>47.331400000000002</v>
      </c>
      <c r="Z1041" s="48">
        <f t="shared" si="106"/>
        <v>-5.3147781936477845E-3</v>
      </c>
      <c r="AA1041" s="5">
        <f>Z1041-Y1274</f>
        <v>-9.5320976629219185E-3</v>
      </c>
      <c r="AD1041" t="s">
        <v>918</v>
      </c>
      <c r="AE1041">
        <v>166.35</v>
      </c>
      <c r="AF1041" s="29">
        <f t="shared" si="107"/>
        <v>3.8195094551582098E-2</v>
      </c>
    </row>
    <row r="1042" spans="1:32">
      <c r="A1042" s="3" t="s">
        <v>922</v>
      </c>
      <c r="B1042" s="222">
        <v>51.46</v>
      </c>
      <c r="C1042" s="227">
        <f t="shared" ref="C1042:C1105" si="109">B1042/B1041-1</f>
        <v>9.0196078431372673E-3</v>
      </c>
      <c r="D1042" s="5">
        <f>C1042-C1275</f>
        <v>8.9415622735783788E-3</v>
      </c>
      <c r="F1042" s="8"/>
      <c r="H1042" t="s">
        <v>921</v>
      </c>
      <c r="I1042">
        <v>49.3</v>
      </c>
      <c r="J1042" s="227">
        <f t="shared" si="104"/>
        <v>-1.2221999599278721E-2</v>
      </c>
      <c r="K1042" s="5">
        <f>J1042-J1276</f>
        <v>-1.4357955514888679E-2</v>
      </c>
      <c r="M1042" s="240" t="s">
        <v>919</v>
      </c>
      <c r="N1042">
        <v>3722.48</v>
      </c>
      <c r="O1042" s="227">
        <f t="shared" si="105"/>
        <v>3.5234713876330925E-3</v>
      </c>
      <c r="P1042" s="5">
        <f>O1042-O1278</f>
        <v>3.889228588546264E-3</v>
      </c>
      <c r="Q1042" s="8">
        <f t="shared" si="108"/>
        <v>1.5126099013965565E-5</v>
      </c>
      <c r="X1042" t="s">
        <v>919</v>
      </c>
      <c r="Y1042">
        <v>47.850099999999998</v>
      </c>
      <c r="Z1042" s="48">
        <f t="shared" si="106"/>
        <v>1.0958898321199007E-2</v>
      </c>
      <c r="AA1042" s="5">
        <f>Z1042-Y1274</f>
        <v>6.7415788519248725E-3</v>
      </c>
      <c r="AD1042" t="s">
        <v>919</v>
      </c>
      <c r="AE1042">
        <v>154.21</v>
      </c>
      <c r="AF1042" s="29">
        <f t="shared" si="107"/>
        <v>-7.2978659452960559E-2</v>
      </c>
    </row>
    <row r="1043" spans="1:32">
      <c r="A1043" s="220">
        <v>44147</v>
      </c>
      <c r="B1043" s="222">
        <v>52.63</v>
      </c>
      <c r="C1043" s="227">
        <f t="shared" si="109"/>
        <v>2.2736105713175414E-2</v>
      </c>
      <c r="D1043" s="5">
        <f>C1043-C1275</f>
        <v>2.2658060143616526E-2</v>
      </c>
      <c r="F1043" s="8"/>
      <c r="H1043" t="s">
        <v>922</v>
      </c>
      <c r="I1043">
        <v>46.77</v>
      </c>
      <c r="J1043" s="227">
        <f t="shared" si="104"/>
        <v>-5.1318458417849766E-2</v>
      </c>
      <c r="K1043" s="5">
        <f>J1043-J1276</f>
        <v>-5.3454414333459724E-2</v>
      </c>
      <c r="M1043" s="240" t="s">
        <v>920</v>
      </c>
      <c r="N1043">
        <v>3701.17</v>
      </c>
      <c r="O1043" s="227">
        <f t="shared" si="105"/>
        <v>-5.7246781715415418E-3</v>
      </c>
      <c r="P1043" s="5">
        <f>O1043-O1278</f>
        <v>-5.3589209706283699E-3</v>
      </c>
      <c r="Q1043" s="8">
        <f t="shared" si="108"/>
        <v>2.871803396944051E-5</v>
      </c>
      <c r="X1043" t="s">
        <v>920</v>
      </c>
      <c r="Y1043">
        <v>45.701700000000002</v>
      </c>
      <c r="Z1043" s="48">
        <f t="shared" si="106"/>
        <v>-4.4898547756430873E-2</v>
      </c>
      <c r="AA1043" s="5">
        <f>Z1043-Y1274</f>
        <v>-4.9115867225705004E-2</v>
      </c>
      <c r="AD1043" t="s">
        <v>920</v>
      </c>
      <c r="AE1043">
        <v>158.05000000000001</v>
      </c>
      <c r="AF1043" s="29">
        <f t="shared" si="107"/>
        <v>2.490110887750463E-2</v>
      </c>
    </row>
    <row r="1044" spans="1:32">
      <c r="A1044" s="220">
        <v>44116</v>
      </c>
      <c r="B1044" s="222">
        <v>54.35</v>
      </c>
      <c r="C1044" s="227">
        <f t="shared" si="109"/>
        <v>3.2680980429412809E-2</v>
      </c>
      <c r="D1044" s="5">
        <f>C1044-C1275</f>
        <v>3.2602934859853917E-2</v>
      </c>
      <c r="F1044" s="8"/>
      <c r="H1044" s="1">
        <v>44147</v>
      </c>
      <c r="I1044">
        <v>46.87</v>
      </c>
      <c r="J1044" s="227">
        <f t="shared" ref="J1044:J1107" si="110">I1044/I1043-1</f>
        <v>2.1381227282444293E-3</v>
      </c>
      <c r="K1044" s="5">
        <f>J1044-J1276</f>
        <v>2.1668126344714933E-6</v>
      </c>
      <c r="M1044" s="240" t="s">
        <v>921</v>
      </c>
      <c r="N1044">
        <v>3694.62</v>
      </c>
      <c r="O1044" s="227">
        <f t="shared" si="105"/>
        <v>-1.7697106590619516E-3</v>
      </c>
      <c r="P1044" s="5">
        <f>O1044-O1278</f>
        <v>-1.4039534581487801E-3</v>
      </c>
      <c r="Q1044" s="8">
        <f t="shared" si="108"/>
        <v>1.9710853126479185E-6</v>
      </c>
      <c r="X1044" t="s">
        <v>921</v>
      </c>
      <c r="Y1044">
        <v>45.621699999999997</v>
      </c>
      <c r="Z1044" s="48">
        <f t="shared" si="106"/>
        <v>-1.7504819295564022E-3</v>
      </c>
      <c r="AA1044" s="5">
        <f>Z1044-Y1274</f>
        <v>-5.9678013988305363E-3</v>
      </c>
      <c r="AD1044" t="s">
        <v>921</v>
      </c>
      <c r="AE1044">
        <v>158.88999999999999</v>
      </c>
      <c r="AF1044" s="29">
        <f t="shared" si="107"/>
        <v>5.3147738057575111E-3</v>
      </c>
    </row>
    <row r="1045" spans="1:32">
      <c r="A1045" s="220">
        <v>44086</v>
      </c>
      <c r="B1045" s="222">
        <v>53.79</v>
      </c>
      <c r="C1045" s="227">
        <f t="shared" si="109"/>
        <v>-1.0303587856485774E-2</v>
      </c>
      <c r="D1045" s="5">
        <f>C1045-C1275</f>
        <v>-1.0381633426044663E-2</v>
      </c>
      <c r="F1045" s="8"/>
      <c r="H1045" s="1">
        <v>44116</v>
      </c>
      <c r="I1045">
        <v>48.11</v>
      </c>
      <c r="J1045" s="227">
        <f t="shared" si="110"/>
        <v>2.6456155323234531E-2</v>
      </c>
      <c r="K1045" s="5">
        <f>J1045-J1276</f>
        <v>2.4320199407624574E-2</v>
      </c>
      <c r="M1045" s="240" t="s">
        <v>922</v>
      </c>
      <c r="N1045">
        <v>3647.49</v>
      </c>
      <c r="O1045" s="227">
        <f t="shared" si="105"/>
        <v>-1.2756386313071522E-2</v>
      </c>
      <c r="P1045" s="5">
        <f>O1045-O1278</f>
        <v>-1.2390629112158351E-2</v>
      </c>
      <c r="Q1045" s="8">
        <f t="shared" si="108"/>
        <v>1.5352768979506605E-4</v>
      </c>
      <c r="X1045" t="s">
        <v>922</v>
      </c>
      <c r="Y1045">
        <v>45.7956</v>
      </c>
      <c r="Z1045" s="48">
        <f t="shared" si="106"/>
        <v>3.8117825508476866E-3</v>
      </c>
      <c r="AA1045" s="5">
        <f>Z1045-Y1274</f>
        <v>-4.0553691842644748E-4</v>
      </c>
      <c r="AD1045" t="s">
        <v>922</v>
      </c>
      <c r="AE1045">
        <v>160</v>
      </c>
      <c r="AF1045" s="29">
        <f t="shared" si="107"/>
        <v>6.9859651331110051E-3</v>
      </c>
    </row>
    <row r="1046" spans="1:32">
      <c r="A1046" s="220">
        <v>44055</v>
      </c>
      <c r="B1046" s="222">
        <v>53.01</v>
      </c>
      <c r="C1046" s="227">
        <f t="shared" si="109"/>
        <v>-1.4500836586726185E-2</v>
      </c>
      <c r="D1046" s="5">
        <f>C1046-C1275</f>
        <v>-1.4578882156285073E-2</v>
      </c>
      <c r="F1046" s="8"/>
      <c r="H1046" s="1">
        <v>44086</v>
      </c>
      <c r="I1046">
        <v>47.53</v>
      </c>
      <c r="J1046" s="227">
        <f t="shared" si="110"/>
        <v>-1.2055705674495876E-2</v>
      </c>
      <c r="K1046" s="5">
        <f>J1046-J1276</f>
        <v>-1.4191661590105834E-2</v>
      </c>
      <c r="M1046" s="241">
        <v>44147</v>
      </c>
      <c r="N1046">
        <v>3663.46</v>
      </c>
      <c r="O1046" s="227">
        <f t="shared" ref="O1046:O1109" si="111">N1046/N1045-1</f>
        <v>4.3783533333883184E-3</v>
      </c>
      <c r="P1046" s="5">
        <f>O1046-O1278</f>
        <v>4.7441105343014904E-3</v>
      </c>
      <c r="Q1046" s="8">
        <f t="shared" si="108"/>
        <v>2.2506584761670371E-5</v>
      </c>
      <c r="X1046" s="1">
        <v>44147</v>
      </c>
      <c r="Y1046">
        <v>45.983400000000003</v>
      </c>
      <c r="Z1046" s="48">
        <f t="shared" ref="Z1046:Z1109" si="112">Y1046/Y1045-1</f>
        <v>4.100830647485898E-3</v>
      </c>
      <c r="AA1046" s="5">
        <f>Z1046-Y1274</f>
        <v>-1.1648882178823608E-4</v>
      </c>
      <c r="AD1046" s="1">
        <v>44147</v>
      </c>
      <c r="AE1046">
        <v>175</v>
      </c>
      <c r="AF1046" s="29">
        <f t="shared" ref="AF1046:AF1048" si="113">AE1046/AE1045-1</f>
        <v>9.375E-2</v>
      </c>
    </row>
    <row r="1047" spans="1:32">
      <c r="A1047" s="220">
        <v>44024</v>
      </c>
      <c r="B1047" s="222">
        <v>53.8</v>
      </c>
      <c r="C1047" s="227">
        <f t="shared" si="109"/>
        <v>1.490284851914736E-2</v>
      </c>
      <c r="D1047" s="5">
        <f>C1047-C1275</f>
        <v>1.4824802949588472E-2</v>
      </c>
      <c r="F1047" s="8"/>
      <c r="H1047" s="1">
        <v>44055</v>
      </c>
      <c r="I1047">
        <v>46.52</v>
      </c>
      <c r="J1047" s="227">
        <f t="shared" si="110"/>
        <v>-2.1249737008205316E-2</v>
      </c>
      <c r="K1047" s="5">
        <f>J1047-J1276</f>
        <v>-2.3385692923815274E-2</v>
      </c>
      <c r="M1047" s="241">
        <v>44116</v>
      </c>
      <c r="N1047">
        <v>3668.1</v>
      </c>
      <c r="O1047" s="227">
        <f t="shared" si="111"/>
        <v>1.2665622116796449E-3</v>
      </c>
      <c r="P1047" s="5">
        <f>O1047-O1278</f>
        <v>1.6323194125928164E-3</v>
      </c>
      <c r="Q1047" s="8">
        <f t="shared" ref="Q1047:Q1110" si="114">P1047*P1047</f>
        <v>2.6644666647273572E-6</v>
      </c>
      <c r="X1047" s="1">
        <v>44116</v>
      </c>
      <c r="Y1047">
        <v>46.012300000000003</v>
      </c>
      <c r="Z1047" s="48">
        <f t="shared" si="112"/>
        <v>6.2848767163803387E-4</v>
      </c>
      <c r="AA1047" s="5">
        <f>Z1047-Y1274</f>
        <v>-3.5888317976361002E-3</v>
      </c>
      <c r="AD1047" s="1">
        <v>44116</v>
      </c>
      <c r="AE1047">
        <v>186</v>
      </c>
      <c r="AF1047" s="29">
        <f t="shared" si="113"/>
        <v>6.2857142857142945E-2</v>
      </c>
    </row>
    <row r="1048" spans="1:32">
      <c r="A1048" s="220">
        <v>43933</v>
      </c>
      <c r="B1048" s="222">
        <v>54.86</v>
      </c>
      <c r="C1048" s="227">
        <f t="shared" si="109"/>
        <v>1.9702602230483368E-2</v>
      </c>
      <c r="D1048" s="5">
        <f>C1048-C1275</f>
        <v>1.962455666092448E-2</v>
      </c>
      <c r="F1048" s="8"/>
      <c r="H1048" s="1">
        <v>44024</v>
      </c>
      <c r="I1048">
        <v>46.555</v>
      </c>
      <c r="J1048" s="227">
        <f t="shared" si="110"/>
        <v>7.5236457437655169E-4</v>
      </c>
      <c r="K1048" s="5">
        <f>J1048-J1276</f>
        <v>-1.3835913412334061E-3</v>
      </c>
      <c r="M1048" s="241">
        <v>44086</v>
      </c>
      <c r="N1048">
        <v>3672.82</v>
      </c>
      <c r="O1048" s="227">
        <f t="shared" si="111"/>
        <v>1.2867697172924686E-3</v>
      </c>
      <c r="P1048" s="5">
        <f>O1048-O1278</f>
        <v>1.6525269182056401E-3</v>
      </c>
      <c r="Q1048" s="8">
        <f t="shared" si="114"/>
        <v>2.7308452153942303E-6</v>
      </c>
      <c r="X1048" s="1">
        <v>44086</v>
      </c>
      <c r="Y1048">
        <v>46.101900000000001</v>
      </c>
      <c r="Z1048" s="48">
        <f t="shared" si="112"/>
        <v>1.9473053944270013E-3</v>
      </c>
      <c r="AA1048" s="5">
        <f>Z1048-Y1274</f>
        <v>-2.2700140748471327E-3</v>
      </c>
      <c r="AD1048" s="1">
        <v>44086</v>
      </c>
      <c r="AE1048">
        <v>189.51</v>
      </c>
      <c r="AF1048" s="29">
        <f t="shared" si="113"/>
        <v>1.8870967741935418E-2</v>
      </c>
    </row>
    <row r="1049" spans="1:32">
      <c r="A1049" s="220">
        <v>43902</v>
      </c>
      <c r="B1049" s="222">
        <v>52.52</v>
      </c>
      <c r="C1049" s="227">
        <f t="shared" si="109"/>
        <v>-4.2654028436018843E-2</v>
      </c>
      <c r="D1049" s="5">
        <f>C1049-C1275</f>
        <v>-4.2732074005577735E-2</v>
      </c>
      <c r="F1049" s="8"/>
      <c r="H1049" s="1">
        <v>43933</v>
      </c>
      <c r="I1049">
        <v>46.1</v>
      </c>
      <c r="J1049" s="227">
        <f t="shared" si="110"/>
        <v>-9.7733863172591029E-3</v>
      </c>
      <c r="K1049" s="5">
        <f>J1049-J1276</f>
        <v>-1.1909342232869061E-2</v>
      </c>
      <c r="M1049" s="241">
        <v>44055</v>
      </c>
      <c r="N1049">
        <v>3702.25</v>
      </c>
      <c r="O1049" s="227">
        <f t="shared" si="111"/>
        <v>8.012916505573342E-3</v>
      </c>
      <c r="P1049" s="5">
        <f>O1049-O1278</f>
        <v>8.3786737064865131E-3</v>
      </c>
      <c r="Q1049" s="8">
        <f t="shared" si="114"/>
        <v>7.0202173079768443E-5</v>
      </c>
      <c r="X1049" s="1">
        <v>44055</v>
      </c>
      <c r="Y1049">
        <v>46.04</v>
      </c>
      <c r="Z1049" s="48">
        <f t="shared" si="112"/>
        <v>-1.3426778505875037E-3</v>
      </c>
      <c r="AA1049" s="5">
        <f>Z1049-Y1274</f>
        <v>-5.5599973198616377E-3</v>
      </c>
    </row>
    <row r="1050" spans="1:32">
      <c r="A1050" s="220">
        <v>43873</v>
      </c>
      <c r="B1050" s="222">
        <v>53.09</v>
      </c>
      <c r="C1050" s="227">
        <f t="shared" si="109"/>
        <v>1.0853008377760931E-2</v>
      </c>
      <c r="D1050" s="5">
        <f>C1050-C1275</f>
        <v>1.0774962808202043E-2</v>
      </c>
      <c r="F1050" s="8"/>
      <c r="H1050" s="1">
        <v>43902</v>
      </c>
      <c r="I1050">
        <v>43.1</v>
      </c>
      <c r="J1050" s="227">
        <f t="shared" si="110"/>
        <v>-6.5075921908893664E-2</v>
      </c>
      <c r="K1050" s="5">
        <f>J1050-J1276</f>
        <v>-6.7211877824503621E-2</v>
      </c>
      <c r="M1050" s="241">
        <v>44024</v>
      </c>
      <c r="N1050">
        <v>3691.96</v>
      </c>
      <c r="O1050" s="227">
        <f t="shared" si="111"/>
        <v>-2.7793909109324888E-3</v>
      </c>
      <c r="P1050" s="5">
        <f>O1050-O1278</f>
        <v>-2.4136337100193173E-3</v>
      </c>
      <c r="Q1050" s="8">
        <f t="shared" si="114"/>
        <v>5.8256276861416142E-6</v>
      </c>
      <c r="X1050" s="1">
        <v>44024</v>
      </c>
      <c r="Y1050">
        <v>45.651499999999999</v>
      </c>
      <c r="Z1050" s="48">
        <f t="shared" si="112"/>
        <v>-8.4383145091224687E-3</v>
      </c>
      <c r="AA1050" s="5">
        <f>Z1050-Y1274</f>
        <v>-1.2655633978396603E-2</v>
      </c>
    </row>
    <row r="1051" spans="1:32">
      <c r="A1051" s="220">
        <v>43842</v>
      </c>
      <c r="B1051" s="222">
        <v>49.63</v>
      </c>
      <c r="C1051" s="227">
        <f t="shared" si="109"/>
        <v>-6.5172348841589733E-2</v>
      </c>
      <c r="D1051" s="5">
        <f>C1051-C1275</f>
        <v>-6.5250394411148618E-2</v>
      </c>
      <c r="F1051" s="8"/>
      <c r="H1051" s="1">
        <v>43873</v>
      </c>
      <c r="I1051">
        <v>43.4</v>
      </c>
      <c r="J1051" s="227">
        <f t="shared" si="110"/>
        <v>6.9605568445474386E-3</v>
      </c>
      <c r="K1051" s="5">
        <f>J1051-J1276</f>
        <v>4.8246009289374808E-3</v>
      </c>
      <c r="M1051" s="241">
        <v>43933</v>
      </c>
      <c r="N1051">
        <v>3699.12</v>
      </c>
      <c r="O1051" s="227">
        <f t="shared" si="111"/>
        <v>1.9393492887247454E-3</v>
      </c>
      <c r="P1051" s="5">
        <f>O1051-O1278</f>
        <v>2.3051064896379169E-3</v>
      </c>
      <c r="Q1051" s="8">
        <f t="shared" si="114"/>
        <v>5.3135159285708403E-6</v>
      </c>
      <c r="X1051" s="1">
        <v>43933</v>
      </c>
      <c r="Y1051">
        <v>46.298299999999998</v>
      </c>
      <c r="Z1051" s="48">
        <f t="shared" si="112"/>
        <v>1.4168209149754141E-2</v>
      </c>
      <c r="AA1051" s="5">
        <f>Z1051-Y1274</f>
        <v>9.9508896804800066E-3</v>
      </c>
    </row>
    <row r="1052" spans="1:32">
      <c r="A1052" s="3" t="s">
        <v>923</v>
      </c>
      <c r="B1052" s="222">
        <v>49.66</v>
      </c>
      <c r="C1052" s="227">
        <f t="shared" si="109"/>
        <v>6.0447310094691176E-4</v>
      </c>
      <c r="D1052" s="5">
        <f>C1052-C1275</f>
        <v>5.2642753138802255E-4</v>
      </c>
      <c r="E1052" s="1"/>
      <c r="F1052" s="8"/>
      <c r="H1052" s="1">
        <v>43842</v>
      </c>
      <c r="I1052">
        <v>39.61</v>
      </c>
      <c r="J1052" s="227">
        <f t="shared" si="110"/>
        <v>-8.7327188940092171E-2</v>
      </c>
      <c r="K1052" s="5">
        <f>J1052-J1276</f>
        <v>-8.9463144855702129E-2</v>
      </c>
      <c r="M1052" s="241">
        <v>43902</v>
      </c>
      <c r="N1052">
        <v>3666.72</v>
      </c>
      <c r="O1052" s="227">
        <f t="shared" si="111"/>
        <v>-8.7588399403101258E-3</v>
      </c>
      <c r="P1052" s="5">
        <f>O1052-O1278</f>
        <v>-8.3930827393969547E-3</v>
      </c>
      <c r="Q1052" s="8">
        <f t="shared" si="114"/>
        <v>7.0443837870363087E-5</v>
      </c>
      <c r="X1052" s="1">
        <v>43902</v>
      </c>
      <c r="Y1052">
        <v>45.508499999999998</v>
      </c>
      <c r="Z1052" s="48">
        <f t="shared" si="112"/>
        <v>-1.7058941689003682E-2</v>
      </c>
      <c r="AA1052" s="5">
        <f>Z1052-Y1274</f>
        <v>-2.1276261158277816E-2</v>
      </c>
    </row>
    <row r="1053" spans="1:32">
      <c r="A1053" s="3" t="s">
        <v>924</v>
      </c>
      <c r="B1053" s="222">
        <v>50.72</v>
      </c>
      <c r="C1053" s="227">
        <f t="shared" si="109"/>
        <v>2.1345146999597331E-2</v>
      </c>
      <c r="D1053" s="5">
        <f>C1053-C1275</f>
        <v>2.1267101430038442E-2</v>
      </c>
      <c r="E1053" s="1"/>
      <c r="F1053" s="8"/>
      <c r="H1053" t="s">
        <v>923</v>
      </c>
      <c r="I1053">
        <v>38.17</v>
      </c>
      <c r="J1053" s="227">
        <f t="shared" si="110"/>
        <v>-3.6354455945468267E-2</v>
      </c>
      <c r="K1053" s="5">
        <f>J1053-J1276</f>
        <v>-3.8490411861078225E-2</v>
      </c>
      <c r="M1053" s="241">
        <v>43873</v>
      </c>
      <c r="N1053">
        <v>3669.01</v>
      </c>
      <c r="O1053" s="227">
        <f t="shared" si="111"/>
        <v>6.2453637038029086E-4</v>
      </c>
      <c r="P1053" s="5">
        <f>O1053-O1278</f>
        <v>9.9029357129346235E-4</v>
      </c>
      <c r="Q1053" s="8">
        <f t="shared" si="114"/>
        <v>9.806813573451598E-7</v>
      </c>
      <c r="X1053" s="1">
        <v>43873</v>
      </c>
      <c r="Y1053">
        <v>45.356999999999999</v>
      </c>
      <c r="Z1053" s="48">
        <f t="shared" si="112"/>
        <v>-3.3290484195259706E-3</v>
      </c>
      <c r="AA1053" s="5">
        <f>Z1053-Y1274</f>
        <v>-7.5463678888001047E-3</v>
      </c>
    </row>
    <row r="1054" spans="1:32">
      <c r="A1054" s="3" t="s">
        <v>925</v>
      </c>
      <c r="B1054" s="222">
        <v>50.8</v>
      </c>
      <c r="C1054" s="227">
        <f t="shared" si="109"/>
        <v>1.577287066246047E-3</v>
      </c>
      <c r="D1054" s="5">
        <f>C1054-C1275</f>
        <v>1.4992414966871577E-3</v>
      </c>
      <c r="E1054" s="1"/>
      <c r="F1054" s="8"/>
      <c r="H1054" t="s">
        <v>924</v>
      </c>
      <c r="I1054">
        <v>39.04</v>
      </c>
      <c r="J1054" s="227">
        <f t="shared" si="110"/>
        <v>2.2792769190463691E-2</v>
      </c>
      <c r="K1054" s="5">
        <f>J1054-J1276</f>
        <v>2.0656813274853733E-2</v>
      </c>
      <c r="M1054" s="241">
        <v>43842</v>
      </c>
      <c r="N1054">
        <v>3662.45</v>
      </c>
      <c r="O1054" s="227">
        <f t="shared" si="111"/>
        <v>-1.7879482476200748E-3</v>
      </c>
      <c r="P1054" s="5">
        <f>O1054-O1278</f>
        <v>-1.4221910467069033E-3</v>
      </c>
      <c r="Q1054" s="8">
        <f t="shared" si="114"/>
        <v>2.022627373333277E-6</v>
      </c>
      <c r="X1054" s="1">
        <v>43842</v>
      </c>
      <c r="Y1054">
        <v>44.984499999999997</v>
      </c>
      <c r="Z1054" s="48">
        <f t="shared" si="112"/>
        <v>-8.2126242917300862E-3</v>
      </c>
      <c r="AA1054" s="5">
        <f>Z1054-Y1274</f>
        <v>-1.242994376100422E-2</v>
      </c>
    </row>
    <row r="1055" spans="1:32">
      <c r="A1055" s="3" t="s">
        <v>926</v>
      </c>
      <c r="B1055" s="222">
        <v>51.26</v>
      </c>
      <c r="C1055" s="227">
        <f t="shared" si="109"/>
        <v>9.0551181102362932E-3</v>
      </c>
      <c r="D1055" s="5">
        <f>C1055-C1275</f>
        <v>8.9770725406774048E-3</v>
      </c>
      <c r="E1055" s="1"/>
      <c r="F1055" s="8"/>
      <c r="H1055" t="s">
        <v>925</v>
      </c>
      <c r="I1055">
        <v>39.520000000000003</v>
      </c>
      <c r="J1055" s="227">
        <f t="shared" si="110"/>
        <v>1.2295081967213184E-2</v>
      </c>
      <c r="K1055" s="5">
        <f>J1055-J1276</f>
        <v>1.0159126051603226E-2</v>
      </c>
      <c r="M1055" s="240" t="s">
        <v>923</v>
      </c>
      <c r="N1055">
        <v>3621.63</v>
      </c>
      <c r="O1055" s="227">
        <f t="shared" si="111"/>
        <v>-1.114554464907358E-2</v>
      </c>
      <c r="P1055" s="5">
        <f>O1055-O1278</f>
        <v>-1.0779787448160409E-2</v>
      </c>
      <c r="Q1055" s="8">
        <f t="shared" si="114"/>
        <v>1.1620381742751671E-4</v>
      </c>
      <c r="X1055" t="s">
        <v>923</v>
      </c>
      <c r="Y1055">
        <v>44.208599999999997</v>
      </c>
      <c r="Z1055" s="48">
        <f t="shared" si="112"/>
        <v>-1.7248163256232685E-2</v>
      </c>
      <c r="AA1055" s="5">
        <f>Z1055-Y1274</f>
        <v>-2.1465482725506819E-2</v>
      </c>
    </row>
    <row r="1056" spans="1:32">
      <c r="A1056" s="3" t="s">
        <v>927</v>
      </c>
      <c r="B1056" s="222">
        <v>50.04</v>
      </c>
      <c r="C1056" s="227">
        <f t="shared" si="109"/>
        <v>-2.3800234100663231E-2</v>
      </c>
      <c r="D1056" s="5">
        <f>C1056-C1275</f>
        <v>-2.387827967022212E-2</v>
      </c>
      <c r="E1056" s="1"/>
      <c r="F1056" s="8"/>
      <c r="H1056" t="s">
        <v>926</v>
      </c>
      <c r="I1056">
        <v>39.49</v>
      </c>
      <c r="J1056" s="227">
        <f t="shared" si="110"/>
        <v>-7.5910931174094642E-4</v>
      </c>
      <c r="K1056" s="5">
        <f>J1056-J1276</f>
        <v>-2.8950652273509042E-3</v>
      </c>
      <c r="M1056" s="240" t="s">
        <v>924</v>
      </c>
      <c r="N1056">
        <v>3638.35</v>
      </c>
      <c r="O1056" s="227">
        <f t="shared" si="111"/>
        <v>4.6167057374717491E-3</v>
      </c>
      <c r="P1056" s="5">
        <f>O1056-O1278</f>
        <v>4.982462938384921E-3</v>
      </c>
      <c r="Q1056" s="8">
        <f t="shared" si="114"/>
        <v>2.4824936932379301E-5</v>
      </c>
      <c r="X1056" t="s">
        <v>924</v>
      </c>
      <c r="Y1056">
        <v>43.484000000000002</v>
      </c>
      <c r="Z1056" s="48">
        <f t="shared" si="112"/>
        <v>-1.6390476061218795E-2</v>
      </c>
      <c r="AA1056" s="5">
        <f>Z1056-Y1274</f>
        <v>-2.0607795530492929E-2</v>
      </c>
    </row>
    <row r="1057" spans="1:27">
      <c r="A1057" s="3" t="s">
        <v>928</v>
      </c>
      <c r="B1057" s="222">
        <v>48.43</v>
      </c>
      <c r="C1057" s="227">
        <f t="shared" si="109"/>
        <v>-3.2174260591526727E-2</v>
      </c>
      <c r="D1057" s="5">
        <f>C1057-C1275</f>
        <v>-3.2252306161085618E-2</v>
      </c>
      <c r="E1057" s="1"/>
      <c r="F1057" s="8"/>
      <c r="H1057" t="s">
        <v>927</v>
      </c>
      <c r="I1057">
        <v>39.35</v>
      </c>
      <c r="J1057" s="227">
        <f t="shared" si="110"/>
        <v>-3.5452013167890373E-3</v>
      </c>
      <c r="K1057" s="5">
        <f>J1057-J1276</f>
        <v>-5.6811572323989951E-3</v>
      </c>
      <c r="M1057" s="240" t="s">
        <v>925</v>
      </c>
      <c r="N1057">
        <v>3629.65</v>
      </c>
      <c r="O1057" s="227">
        <f t="shared" si="111"/>
        <v>-2.3911938103809982E-3</v>
      </c>
      <c r="P1057" s="5">
        <f>O1057-O1278</f>
        <v>-2.0254366094678267E-3</v>
      </c>
      <c r="Q1057" s="8">
        <f t="shared" si="114"/>
        <v>4.1023934589725256E-6</v>
      </c>
      <c r="X1057" t="s">
        <v>925</v>
      </c>
      <c r="Y1057">
        <v>44.184100000000001</v>
      </c>
      <c r="Z1057" s="48">
        <f t="shared" si="112"/>
        <v>1.6100174776929377E-2</v>
      </c>
      <c r="AA1057" s="5">
        <f>Z1057-Y1274</f>
        <v>1.1882855307655243E-2</v>
      </c>
    </row>
    <row r="1058" spans="1:27">
      <c r="A1058" s="3" t="s">
        <v>929</v>
      </c>
      <c r="B1058" s="222">
        <v>49.26</v>
      </c>
      <c r="C1058" s="227">
        <f t="shared" si="109"/>
        <v>1.7138137518067253E-2</v>
      </c>
      <c r="D1058" s="5">
        <f>C1058-C1275</f>
        <v>1.7060091948508365E-2</v>
      </c>
      <c r="E1058" s="1"/>
      <c r="F1058" s="8"/>
      <c r="H1058" t="s">
        <v>928</v>
      </c>
      <c r="I1058">
        <v>38.1</v>
      </c>
      <c r="J1058" s="227">
        <f t="shared" si="110"/>
        <v>-3.1766200762388785E-2</v>
      </c>
      <c r="K1058" s="5">
        <f>J1058-J1276</f>
        <v>-3.3902156677998743E-2</v>
      </c>
      <c r="M1058" s="240" t="s">
        <v>926</v>
      </c>
      <c r="N1058">
        <v>3635.41</v>
      </c>
      <c r="O1058" s="227">
        <f t="shared" si="111"/>
        <v>1.5869298692710032E-3</v>
      </c>
      <c r="P1058" s="5">
        <f>O1058-O1278</f>
        <v>1.9526870701841747E-3</v>
      </c>
      <c r="Q1058" s="8">
        <f t="shared" si="114"/>
        <v>3.8129867940644562E-6</v>
      </c>
      <c r="X1058" t="s">
        <v>926</v>
      </c>
      <c r="Y1058">
        <v>44.320700000000002</v>
      </c>
      <c r="Z1058" s="48">
        <f t="shared" si="112"/>
        <v>3.0916098777615808E-3</v>
      </c>
      <c r="AA1058" s="5">
        <f>Z1058-Y1274</f>
        <v>-1.1257095915125533E-3</v>
      </c>
    </row>
    <row r="1059" spans="1:27">
      <c r="A1059" s="3" t="s">
        <v>930</v>
      </c>
      <c r="B1059" s="222">
        <v>49.11</v>
      </c>
      <c r="C1059" s="227">
        <f t="shared" si="109"/>
        <v>-3.0450669914737771E-3</v>
      </c>
      <c r="D1059" s="5">
        <f>C1059-C1275</f>
        <v>-3.1231125610326664E-3</v>
      </c>
      <c r="E1059" s="1"/>
      <c r="F1059" s="8"/>
      <c r="H1059" t="s">
        <v>929</v>
      </c>
      <c r="I1059">
        <v>40.11</v>
      </c>
      <c r="J1059" s="227">
        <f t="shared" si="110"/>
        <v>5.2755905511810974E-2</v>
      </c>
      <c r="K1059" s="5">
        <f>J1059-J1276</f>
        <v>5.0619949596201017E-2</v>
      </c>
      <c r="M1059" s="240" t="s">
        <v>927</v>
      </c>
      <c r="N1059">
        <v>3577.59</v>
      </c>
      <c r="O1059" s="227">
        <f t="shared" si="111"/>
        <v>-1.5904670999969617E-2</v>
      </c>
      <c r="P1059" s="5">
        <f>O1059-O1278</f>
        <v>-1.5538913799056446E-2</v>
      </c>
      <c r="Q1059" s="8">
        <f t="shared" si="114"/>
        <v>2.4145784205450681E-4</v>
      </c>
      <c r="X1059" t="s">
        <v>927</v>
      </c>
      <c r="Y1059">
        <v>43.39</v>
      </c>
      <c r="Z1059" s="48">
        <f t="shared" si="112"/>
        <v>-2.0999217070127529E-2</v>
      </c>
      <c r="AA1059" s="5">
        <f>Z1059-Y1274</f>
        <v>-2.5216536539401663E-2</v>
      </c>
    </row>
    <row r="1060" spans="1:27">
      <c r="A1060" s="3" t="s">
        <v>931</v>
      </c>
      <c r="B1060" s="222">
        <v>48.89</v>
      </c>
      <c r="C1060" s="227">
        <f t="shared" si="109"/>
        <v>-4.4797393606189617E-3</v>
      </c>
      <c r="D1060" s="5">
        <f>C1060-C1275</f>
        <v>-4.557784930177851E-3</v>
      </c>
      <c r="E1060" s="1"/>
      <c r="F1060" s="8"/>
      <c r="H1060" t="s">
        <v>930</v>
      </c>
      <c r="I1060">
        <v>39.770000000000003</v>
      </c>
      <c r="J1060" s="227">
        <f t="shared" si="110"/>
        <v>-8.4766891049612436E-3</v>
      </c>
      <c r="K1060" s="5">
        <f>J1060-J1276</f>
        <v>-1.0612645020571201E-2</v>
      </c>
      <c r="M1060" s="240" t="s">
        <v>928</v>
      </c>
      <c r="N1060">
        <v>3557.54</v>
      </c>
      <c r="O1060" s="227">
        <f t="shared" si="111"/>
        <v>-5.6043314074558648E-3</v>
      </c>
      <c r="P1060" s="5">
        <f>O1060-O1278</f>
        <v>-5.2385742065426929E-3</v>
      </c>
      <c r="Q1060" s="8">
        <f t="shared" si="114"/>
        <v>2.7442659717454405E-5</v>
      </c>
      <c r="X1060" t="s">
        <v>928</v>
      </c>
      <c r="Y1060">
        <v>42.797699999999999</v>
      </c>
      <c r="Z1060" s="48">
        <f t="shared" si="112"/>
        <v>-1.3650610739801783E-2</v>
      </c>
      <c r="AA1060" s="5">
        <f>Z1060-Y1274</f>
        <v>-1.7867930209075917E-2</v>
      </c>
    </row>
    <row r="1061" spans="1:27">
      <c r="A1061" s="3" t="s">
        <v>932</v>
      </c>
      <c r="B1061" s="222">
        <v>49.21</v>
      </c>
      <c r="C1061" s="227">
        <f t="shared" si="109"/>
        <v>6.5453057885047627E-3</v>
      </c>
      <c r="D1061" s="5">
        <f>C1061-C1275</f>
        <v>6.4672602189458734E-3</v>
      </c>
      <c r="F1061" s="8"/>
      <c r="H1061" t="s">
        <v>931</v>
      </c>
      <c r="I1061">
        <v>39.42</v>
      </c>
      <c r="J1061" s="227">
        <f t="shared" si="110"/>
        <v>-8.8006034699522617E-3</v>
      </c>
      <c r="K1061" s="5">
        <f>J1061-J1276</f>
        <v>-1.093655938556222E-2</v>
      </c>
      <c r="M1061" s="240" t="s">
        <v>929</v>
      </c>
      <c r="N1061">
        <v>3581.87</v>
      </c>
      <c r="O1061" s="227">
        <f t="shared" si="111"/>
        <v>6.8389954856444835E-3</v>
      </c>
      <c r="P1061" s="5">
        <f>O1061-O1278</f>
        <v>7.2047526865576554E-3</v>
      </c>
      <c r="Q1061" s="8">
        <f t="shared" si="114"/>
        <v>5.1908461274459755E-5</v>
      </c>
      <c r="X1061" t="s">
        <v>929</v>
      </c>
      <c r="Y1061">
        <v>43.162700000000001</v>
      </c>
      <c r="Z1061" s="48">
        <f t="shared" si="112"/>
        <v>8.5284956901889863E-3</v>
      </c>
      <c r="AA1061" s="5">
        <f>Z1061-Y1274</f>
        <v>4.3111762209148523E-3</v>
      </c>
    </row>
    <row r="1062" spans="1:27">
      <c r="A1062" s="3" t="s">
        <v>933</v>
      </c>
      <c r="B1062" s="222">
        <v>47.61</v>
      </c>
      <c r="C1062" s="227">
        <f t="shared" si="109"/>
        <v>-3.251371672424308E-2</v>
      </c>
      <c r="D1062" s="5">
        <f>C1062-C1275</f>
        <v>-3.2591762293801972E-2</v>
      </c>
      <c r="F1062" s="8"/>
      <c r="H1062" t="s">
        <v>932</v>
      </c>
      <c r="I1062">
        <v>39.92</v>
      </c>
      <c r="J1062" s="227">
        <f t="shared" si="110"/>
        <v>1.2683916793505778E-2</v>
      </c>
      <c r="K1062" s="5">
        <f>J1062-J1276</f>
        <v>1.0547960877895821E-2</v>
      </c>
      <c r="M1062" s="240" t="s">
        <v>930</v>
      </c>
      <c r="N1062">
        <v>3567.79</v>
      </c>
      <c r="O1062" s="227">
        <f t="shared" si="111"/>
        <v>-3.9309075985448638E-3</v>
      </c>
      <c r="P1062" s="5">
        <f>O1062-O1278</f>
        <v>-3.5651503976316923E-3</v>
      </c>
      <c r="Q1062" s="8">
        <f t="shared" si="114"/>
        <v>1.2710297357733414E-5</v>
      </c>
      <c r="X1062" t="s">
        <v>930</v>
      </c>
      <c r="Y1062">
        <v>43.735799999999998</v>
      </c>
      <c r="Z1062" s="48">
        <f t="shared" si="112"/>
        <v>1.3277667986479003E-2</v>
      </c>
      <c r="AA1062" s="5">
        <f>Z1062-Y1274</f>
        <v>9.0603485172048685E-3</v>
      </c>
    </row>
    <row r="1063" spans="1:27">
      <c r="A1063" s="220">
        <v>44176</v>
      </c>
      <c r="B1063" s="222">
        <v>46.4</v>
      </c>
      <c r="C1063" s="227">
        <f t="shared" si="109"/>
        <v>-2.5414828817475366E-2</v>
      </c>
      <c r="D1063" s="5">
        <f>C1063-C1275</f>
        <v>-2.5492874387034254E-2</v>
      </c>
      <c r="F1063" s="8"/>
      <c r="H1063" t="s">
        <v>933</v>
      </c>
      <c r="I1063">
        <v>37.54</v>
      </c>
      <c r="J1063" s="227">
        <f t="shared" si="110"/>
        <v>-5.961923847695394E-2</v>
      </c>
      <c r="K1063" s="5">
        <f>J1063-J1276</f>
        <v>-6.1755194392563897E-2</v>
      </c>
      <c r="M1063" s="240" t="s">
        <v>931</v>
      </c>
      <c r="N1063">
        <v>3609.53</v>
      </c>
      <c r="O1063" s="227">
        <f t="shared" si="111"/>
        <v>1.1699119062500873E-2</v>
      </c>
      <c r="P1063" s="5">
        <f>O1063-O1278</f>
        <v>1.2064876263414044E-2</v>
      </c>
      <c r="Q1063" s="8">
        <f t="shared" si="114"/>
        <v>1.4556123925149164E-4</v>
      </c>
      <c r="X1063" t="s">
        <v>931</v>
      </c>
      <c r="Y1063">
        <v>43.610999999999997</v>
      </c>
      <c r="Z1063" s="48">
        <f t="shared" si="112"/>
        <v>-2.8534975923614203E-3</v>
      </c>
      <c r="AA1063" s="5">
        <f>Z1063-Y1274</f>
        <v>-7.0708170616355544E-3</v>
      </c>
    </row>
    <row r="1064" spans="1:27">
      <c r="A1064" s="220">
        <v>44146</v>
      </c>
      <c r="B1064" s="222">
        <v>46.23</v>
      </c>
      <c r="C1064" s="227">
        <f t="shared" si="109"/>
        <v>-3.6637931034483318E-3</v>
      </c>
      <c r="D1064" s="5">
        <f>C1064-C1275</f>
        <v>-3.7418386730072211E-3</v>
      </c>
      <c r="F1064" s="8"/>
      <c r="H1064" s="1">
        <v>44176</v>
      </c>
      <c r="I1064">
        <v>36.46</v>
      </c>
      <c r="J1064" s="227">
        <f t="shared" si="110"/>
        <v>-2.8769312733084695E-2</v>
      </c>
      <c r="K1064" s="5">
        <f>J1064-J1276</f>
        <v>-3.0905268648694653E-2</v>
      </c>
      <c r="M1064" s="240" t="s">
        <v>932</v>
      </c>
      <c r="N1064">
        <v>3626.91</v>
      </c>
      <c r="O1064" s="227">
        <f t="shared" si="111"/>
        <v>4.8150313198669359E-3</v>
      </c>
      <c r="P1064" s="5">
        <f>O1064-O1278</f>
        <v>5.1807885207801078E-3</v>
      </c>
      <c r="Q1064" s="8">
        <f t="shared" si="114"/>
        <v>2.6840569697046936E-5</v>
      </c>
      <c r="X1064" t="s">
        <v>932</v>
      </c>
      <c r="Y1064">
        <v>43.7316</v>
      </c>
      <c r="Z1064" s="48">
        <f t="shared" si="112"/>
        <v>2.7653573639678797E-3</v>
      </c>
      <c r="AA1064" s="5">
        <f>Z1064-Y1274</f>
        <v>-1.4519621053062544E-3</v>
      </c>
    </row>
    <row r="1065" spans="1:27">
      <c r="A1065" s="220">
        <v>44115</v>
      </c>
      <c r="B1065" s="222">
        <v>47</v>
      </c>
      <c r="C1065" s="227">
        <f t="shared" si="109"/>
        <v>1.6655851178888126E-2</v>
      </c>
      <c r="D1065" s="5">
        <f>C1065-C1275</f>
        <v>1.6577805609329237E-2</v>
      </c>
      <c r="F1065" s="8"/>
      <c r="H1065" s="1">
        <v>44146</v>
      </c>
      <c r="I1065">
        <v>36.409999999999997</v>
      </c>
      <c r="J1065" s="227">
        <f t="shared" si="110"/>
        <v>-1.3713658804169748E-3</v>
      </c>
      <c r="K1065" s="5">
        <f>J1065-J1276</f>
        <v>-3.5073217960269326E-3</v>
      </c>
      <c r="M1065" s="240" t="s">
        <v>933</v>
      </c>
      <c r="N1065">
        <v>3585.15</v>
      </c>
      <c r="O1065" s="227">
        <f t="shared" si="111"/>
        <v>-1.1513933348221927E-2</v>
      </c>
      <c r="P1065" s="5">
        <f>O1065-O1278</f>
        <v>-1.1148176147308756E-2</v>
      </c>
      <c r="Q1065" s="8">
        <f t="shared" si="114"/>
        <v>1.242818314114239E-4</v>
      </c>
      <c r="X1065" t="s">
        <v>933</v>
      </c>
      <c r="Y1065">
        <v>42.889499999999998</v>
      </c>
      <c r="Z1065" s="48">
        <f t="shared" si="112"/>
        <v>-1.9256098564882196E-2</v>
      </c>
      <c r="AA1065" s="5">
        <f>Z1065-Y1274</f>
        <v>-2.347341803415633E-2</v>
      </c>
    </row>
    <row r="1066" spans="1:27">
      <c r="A1066" s="220">
        <v>44085</v>
      </c>
      <c r="B1066" s="222">
        <v>48.18</v>
      </c>
      <c r="C1066" s="227">
        <f t="shared" si="109"/>
        <v>2.5106382978723474E-2</v>
      </c>
      <c r="D1066" s="5">
        <f>C1066-C1275</f>
        <v>2.5028337409164585E-2</v>
      </c>
      <c r="F1066" s="8"/>
      <c r="H1066" s="1">
        <v>44115</v>
      </c>
      <c r="I1066">
        <v>36.049999999999997</v>
      </c>
      <c r="J1066" s="227">
        <f t="shared" si="110"/>
        <v>-9.8873935731941254E-3</v>
      </c>
      <c r="K1066" s="5">
        <f>J1066-J1276</f>
        <v>-1.2023349488804083E-2</v>
      </c>
      <c r="M1066" s="241">
        <v>44176</v>
      </c>
      <c r="N1066">
        <v>3537.01</v>
      </c>
      <c r="O1066" s="227">
        <f t="shared" si="111"/>
        <v>-1.3427611118084326E-2</v>
      </c>
      <c r="P1066" s="5">
        <f>O1066-O1278</f>
        <v>-1.3061853917171155E-2</v>
      </c>
      <c r="Q1066" s="8">
        <f t="shared" si="114"/>
        <v>1.7061202775351945E-4</v>
      </c>
      <c r="X1066" s="1">
        <v>44176</v>
      </c>
      <c r="Y1066">
        <v>42.301400000000001</v>
      </c>
      <c r="Z1066" s="48">
        <f t="shared" si="112"/>
        <v>-1.3711980787838418E-2</v>
      </c>
      <c r="AA1066" s="5">
        <f>Z1066-Y1274</f>
        <v>-1.7929300257112552E-2</v>
      </c>
    </row>
    <row r="1067" spans="1:27">
      <c r="A1067" s="220">
        <v>43993</v>
      </c>
      <c r="B1067" s="222">
        <v>44.87</v>
      </c>
      <c r="C1067" s="227">
        <f t="shared" si="109"/>
        <v>-6.8700705687007146E-2</v>
      </c>
      <c r="D1067" s="5">
        <f>C1067-C1275</f>
        <v>-6.8778751256566031E-2</v>
      </c>
      <c r="F1067" s="8"/>
      <c r="H1067" s="1">
        <v>44085</v>
      </c>
      <c r="I1067">
        <v>37.69</v>
      </c>
      <c r="J1067" s="227">
        <f t="shared" si="110"/>
        <v>4.5492371705963874E-2</v>
      </c>
      <c r="K1067" s="5">
        <f>J1067-J1276</f>
        <v>4.3356415790353917E-2</v>
      </c>
      <c r="M1067" s="241">
        <v>44146</v>
      </c>
      <c r="N1067">
        <v>3572.66</v>
      </c>
      <c r="O1067" s="227">
        <f t="shared" si="111"/>
        <v>1.0079134636316933E-2</v>
      </c>
      <c r="P1067" s="5">
        <f>O1067-O1278</f>
        <v>1.0444891837230104E-2</v>
      </c>
      <c r="Q1067" s="8">
        <f t="shared" si="114"/>
        <v>1.0909576549143607E-4</v>
      </c>
      <c r="X1067" s="1">
        <v>44146</v>
      </c>
      <c r="Y1067">
        <v>43.116799999999998</v>
      </c>
      <c r="Z1067" s="48">
        <f t="shared" si="112"/>
        <v>1.9275957769719021E-2</v>
      </c>
      <c r="AA1067" s="5">
        <f>Z1067-Y1274</f>
        <v>1.5058638300444887E-2</v>
      </c>
    </row>
    <row r="1068" spans="1:27">
      <c r="A1068" s="220">
        <v>43962</v>
      </c>
      <c r="B1068" s="222">
        <v>41.96</v>
      </c>
      <c r="C1068" s="227">
        <f t="shared" si="109"/>
        <v>-6.4854022732337757E-2</v>
      </c>
      <c r="D1068" s="5">
        <f>C1068-C1275</f>
        <v>-6.4932068301896642E-2</v>
      </c>
      <c r="F1068" s="8"/>
      <c r="H1068" s="1">
        <v>43993</v>
      </c>
      <c r="I1068">
        <v>29.84</v>
      </c>
      <c r="J1068" s="227">
        <f t="shared" si="110"/>
        <v>-0.20827805784027587</v>
      </c>
      <c r="K1068" s="5">
        <f>J1068-J1276</f>
        <v>-0.21041401375588581</v>
      </c>
      <c r="M1068" s="241">
        <v>44115</v>
      </c>
      <c r="N1068">
        <v>3545.53</v>
      </c>
      <c r="O1068" s="227">
        <f t="shared" si="111"/>
        <v>-7.5937816640820888E-3</v>
      </c>
      <c r="P1068" s="5">
        <f>O1068-O1278</f>
        <v>-7.2280244631689168E-3</v>
      </c>
      <c r="Q1068" s="8">
        <f t="shared" si="114"/>
        <v>5.224433764016831E-5</v>
      </c>
      <c r="X1068" s="1">
        <v>44115</v>
      </c>
      <c r="Y1068">
        <v>42.903399999999998</v>
      </c>
      <c r="Z1068" s="48">
        <f t="shared" si="112"/>
        <v>-4.949346890307238E-3</v>
      </c>
      <c r="AA1068" s="5">
        <f>Z1068-Y1274</f>
        <v>-9.166666359581372E-3</v>
      </c>
    </row>
    <row r="1069" spans="1:27">
      <c r="A1069" s="220">
        <v>43932</v>
      </c>
      <c r="B1069" s="222">
        <v>40.99</v>
      </c>
      <c r="C1069" s="227">
        <f t="shared" si="109"/>
        <v>-2.3117254528121967E-2</v>
      </c>
      <c r="D1069" s="5">
        <f>C1069-C1275</f>
        <v>-2.3195300097680855E-2</v>
      </c>
      <c r="F1069" s="8"/>
      <c r="H1069" s="1">
        <v>43962</v>
      </c>
      <c r="I1069">
        <v>29.03</v>
      </c>
      <c r="J1069" s="227">
        <f t="shared" si="110"/>
        <v>-2.7144772117962401E-2</v>
      </c>
      <c r="K1069" s="5">
        <f>J1069-J1276</f>
        <v>-2.9280728033572359E-2</v>
      </c>
      <c r="M1069" s="241">
        <v>44085</v>
      </c>
      <c r="N1069">
        <v>3550.5</v>
      </c>
      <c r="O1069" s="227">
        <f t="shared" si="111"/>
        <v>1.4017650393594039E-3</v>
      </c>
      <c r="P1069" s="5">
        <f>O1069-O1278</f>
        <v>1.7675222402725754E-3</v>
      </c>
      <c r="Q1069" s="8">
        <f t="shared" si="114"/>
        <v>3.1241348698581838E-6</v>
      </c>
      <c r="X1069" s="1">
        <v>44085</v>
      </c>
      <c r="Y1069">
        <v>41.484999999999999</v>
      </c>
      <c r="Z1069" s="48">
        <f t="shared" si="112"/>
        <v>-3.3060316897961406E-2</v>
      </c>
      <c r="AA1069" s="5">
        <f>Z1069-Y1274</f>
        <v>-3.7277636367235537E-2</v>
      </c>
    </row>
    <row r="1070" spans="1:27">
      <c r="A1070" s="220">
        <v>43901</v>
      </c>
      <c r="B1070" s="222">
        <v>35.770000000000003</v>
      </c>
      <c r="C1070" s="227">
        <f t="shared" si="109"/>
        <v>-0.12734813369114417</v>
      </c>
      <c r="D1070" s="5">
        <f>C1070-C1275</f>
        <v>-0.12742617926070307</v>
      </c>
      <c r="F1070" s="8"/>
      <c r="H1070" s="1">
        <v>43932</v>
      </c>
      <c r="I1070">
        <v>29.19</v>
      </c>
      <c r="J1070" s="227">
        <f t="shared" si="110"/>
        <v>5.5115397864278215E-3</v>
      </c>
      <c r="K1070" s="5">
        <f>J1070-J1276</f>
        <v>3.3755838708178637E-3</v>
      </c>
      <c r="M1070" s="241">
        <v>43993</v>
      </c>
      <c r="N1070">
        <v>3509.44</v>
      </c>
      <c r="O1070" s="227">
        <f t="shared" si="111"/>
        <v>-1.1564568370652006E-2</v>
      </c>
      <c r="P1070" s="5">
        <f>O1070-O1278</f>
        <v>-1.1198811169738835E-2</v>
      </c>
      <c r="Q1070" s="8">
        <f t="shared" si="114"/>
        <v>1.2541337161546729E-4</v>
      </c>
      <c r="X1070" s="1">
        <v>43993</v>
      </c>
      <c r="Y1070">
        <v>41.084800000000001</v>
      </c>
      <c r="Z1070" s="48">
        <f t="shared" si="112"/>
        <v>-9.6468603109557405E-3</v>
      </c>
      <c r="AA1070" s="5">
        <f>Z1070-Y1274</f>
        <v>-1.3864179780229875E-2</v>
      </c>
    </row>
    <row r="1071" spans="1:27">
      <c r="A1071" s="220">
        <v>43872</v>
      </c>
      <c r="B1071" s="222">
        <v>34.81</v>
      </c>
      <c r="C1071" s="227">
        <f t="shared" si="109"/>
        <v>-2.6838132513279267E-2</v>
      </c>
      <c r="D1071" s="5">
        <f>C1071-C1275</f>
        <v>-2.6916178082838155E-2</v>
      </c>
      <c r="F1071" s="8"/>
      <c r="H1071" s="1">
        <v>43901</v>
      </c>
      <c r="I1071">
        <v>26.23</v>
      </c>
      <c r="J1071" s="227">
        <f t="shared" si="110"/>
        <v>-0.10140459061322371</v>
      </c>
      <c r="K1071" s="5">
        <f>J1071-J1276</f>
        <v>-0.10354054652883367</v>
      </c>
      <c r="M1071" s="241">
        <v>43962</v>
      </c>
      <c r="N1071">
        <v>3510.45</v>
      </c>
      <c r="O1071" s="227">
        <f t="shared" si="111"/>
        <v>2.8779520379318413E-4</v>
      </c>
      <c r="P1071" s="5">
        <f>O1071-O1278</f>
        <v>6.5355240470635562E-4</v>
      </c>
      <c r="Q1071" s="8">
        <f t="shared" si="114"/>
        <v>4.2713074569746005E-7</v>
      </c>
      <c r="X1071" s="1">
        <v>43962</v>
      </c>
      <c r="Y1071">
        <v>42.6995</v>
      </c>
      <c r="Z1071" s="48">
        <f t="shared" si="112"/>
        <v>3.9301639535789468E-2</v>
      </c>
      <c r="AA1071" s="5">
        <f>Z1071-Y1274</f>
        <v>3.5084320066515337E-2</v>
      </c>
    </row>
    <row r="1072" spans="1:27">
      <c r="A1072" s="3" t="s">
        <v>934</v>
      </c>
      <c r="B1072" s="222">
        <v>33.409999999999997</v>
      </c>
      <c r="C1072" s="227">
        <f t="shared" si="109"/>
        <v>-4.0218328066647713E-2</v>
      </c>
      <c r="D1072" s="5">
        <f>C1072-C1275</f>
        <v>-4.0296373636206605E-2</v>
      </c>
      <c r="F1072" s="8"/>
      <c r="H1072" s="1">
        <v>43872</v>
      </c>
      <c r="I1072">
        <v>24.5</v>
      </c>
      <c r="J1072" s="227">
        <f t="shared" si="110"/>
        <v>-6.5955013343499846E-2</v>
      </c>
      <c r="K1072" s="5">
        <f>J1072-J1276</f>
        <v>-6.8090969259109804E-2</v>
      </c>
      <c r="M1072" s="241">
        <v>43932</v>
      </c>
      <c r="N1072">
        <v>3443.44</v>
      </c>
      <c r="O1072" s="227">
        <f t="shared" si="111"/>
        <v>-1.9088720819268157E-2</v>
      </c>
      <c r="P1072" s="5">
        <f>O1072-O1278</f>
        <v>-1.8722963618354984E-2</v>
      </c>
      <c r="Q1072" s="8">
        <f t="shared" si="114"/>
        <v>3.5054936665424437E-4</v>
      </c>
      <c r="X1072" s="1">
        <v>43932</v>
      </c>
      <c r="Y1072">
        <v>39.014299999999999</v>
      </c>
      <c r="Z1072" s="48">
        <f t="shared" si="112"/>
        <v>-8.6305460251291044E-2</v>
      </c>
      <c r="AA1072" s="5">
        <f>Z1072-Y1274</f>
        <v>-9.0522779720565175E-2</v>
      </c>
    </row>
    <row r="1073" spans="1:27">
      <c r="A1073" s="3" t="s">
        <v>935</v>
      </c>
      <c r="B1073" s="222">
        <v>34.06</v>
      </c>
      <c r="C1073" s="227">
        <f t="shared" si="109"/>
        <v>1.9455252918288091E-2</v>
      </c>
      <c r="D1073" s="5">
        <f>C1073-C1275</f>
        <v>1.9377207348729202E-2</v>
      </c>
      <c r="F1073" s="8"/>
      <c r="H1073" t="s">
        <v>934</v>
      </c>
      <c r="I1073">
        <v>22.83</v>
      </c>
      <c r="J1073" s="227">
        <f t="shared" si="110"/>
        <v>-6.8163265306122489E-2</v>
      </c>
      <c r="K1073" s="5">
        <f>J1073-J1276</f>
        <v>-7.0299221221732447E-2</v>
      </c>
      <c r="M1073" s="241">
        <v>43901</v>
      </c>
      <c r="N1073">
        <v>3369.02</v>
      </c>
      <c r="O1073" s="227">
        <f t="shared" si="111"/>
        <v>-2.161210882141118E-2</v>
      </c>
      <c r="P1073" s="5">
        <f>O1073-O1278</f>
        <v>-2.1246351620498007E-2</v>
      </c>
      <c r="Q1073" s="8">
        <f t="shared" si="114"/>
        <v>4.5140745718183831E-4</v>
      </c>
      <c r="X1073" s="1">
        <v>43901</v>
      </c>
      <c r="Y1073">
        <v>38.286499999999997</v>
      </c>
      <c r="Z1073" s="48">
        <f t="shared" si="112"/>
        <v>-1.8654698405456527E-2</v>
      </c>
      <c r="AA1073" s="5">
        <f>Z1073-Y1274</f>
        <v>-2.2872017874730661E-2</v>
      </c>
    </row>
    <row r="1074" spans="1:27">
      <c r="A1074" s="3" t="s">
        <v>936</v>
      </c>
      <c r="B1074" s="222">
        <v>33.65</v>
      </c>
      <c r="C1074" s="227">
        <f t="shared" si="109"/>
        <v>-1.2037580739870934E-2</v>
      </c>
      <c r="D1074" s="5">
        <f>C1074-C1275</f>
        <v>-1.2115626309429823E-2</v>
      </c>
      <c r="F1074" s="8"/>
      <c r="H1074" t="s">
        <v>935</v>
      </c>
      <c r="I1074">
        <v>22.93</v>
      </c>
      <c r="J1074" s="227">
        <f t="shared" si="110"/>
        <v>4.3802014892686536E-3</v>
      </c>
      <c r="K1074" s="5">
        <f>J1074-J1276</f>
        <v>2.2442455736586958E-3</v>
      </c>
      <c r="M1074" s="241">
        <v>43872</v>
      </c>
      <c r="N1074">
        <v>3310.24</v>
      </c>
      <c r="O1074" s="227">
        <f t="shared" si="111"/>
        <v>-1.744721016794204E-2</v>
      </c>
      <c r="P1074" s="5">
        <f>O1074-O1278</f>
        <v>-1.7081452967028867E-2</v>
      </c>
      <c r="Q1074" s="8">
        <f t="shared" si="114"/>
        <v>2.9177603546481928E-4</v>
      </c>
      <c r="X1074" s="1">
        <v>43872</v>
      </c>
      <c r="Y1074">
        <v>37.508400000000002</v>
      </c>
      <c r="Z1074" s="48">
        <f t="shared" si="112"/>
        <v>-2.0323090384338993E-2</v>
      </c>
      <c r="AA1074" s="5">
        <f>Z1074-Y1274</f>
        <v>-2.4540409853613127E-2</v>
      </c>
    </row>
    <row r="1075" spans="1:27">
      <c r="A1075" s="3" t="s">
        <v>937</v>
      </c>
      <c r="B1075" s="222">
        <v>34.159999999999997</v>
      </c>
      <c r="C1075" s="227">
        <f t="shared" si="109"/>
        <v>1.5156017830609159E-2</v>
      </c>
      <c r="D1075" s="5">
        <f>C1075-C1275</f>
        <v>1.507797226105027E-2</v>
      </c>
      <c r="E1075" s="1"/>
      <c r="F1075" s="8"/>
      <c r="H1075" t="s">
        <v>936</v>
      </c>
      <c r="I1075">
        <v>22.23</v>
      </c>
      <c r="J1075" s="227">
        <f t="shared" si="110"/>
        <v>-3.0527692978630561E-2</v>
      </c>
      <c r="K1075" s="5">
        <f>J1075-J1276</f>
        <v>-3.2663648894240518E-2</v>
      </c>
      <c r="M1075" s="240" t="s">
        <v>934</v>
      </c>
      <c r="N1075">
        <v>3269.96</v>
      </c>
      <c r="O1075" s="227">
        <f t="shared" si="111"/>
        <v>-1.2168301996229758E-2</v>
      </c>
      <c r="P1075" s="5">
        <f>O1075-O1278</f>
        <v>-1.1802544795316587E-2</v>
      </c>
      <c r="Q1075" s="8">
        <f t="shared" si="114"/>
        <v>1.3930006364545465E-4</v>
      </c>
      <c r="X1075" t="s">
        <v>934</v>
      </c>
      <c r="Y1075">
        <v>37.050600000000003</v>
      </c>
      <c r="Z1075" s="48">
        <f t="shared" si="112"/>
        <v>-1.2205266020411387E-2</v>
      </c>
      <c r="AA1075" s="5">
        <f>Z1075-Y1274</f>
        <v>-1.6422585489685521E-2</v>
      </c>
    </row>
    <row r="1076" spans="1:27">
      <c r="A1076" s="3" t="s">
        <v>938</v>
      </c>
      <c r="B1076" s="222">
        <v>35.49</v>
      </c>
      <c r="C1076" s="227">
        <f t="shared" si="109"/>
        <v>3.8934426229508379E-2</v>
      </c>
      <c r="D1076" s="5">
        <f>C1076-C1275</f>
        <v>3.8856380659949487E-2</v>
      </c>
      <c r="E1076" s="1"/>
      <c r="F1076" s="8"/>
      <c r="H1076" t="s">
        <v>937</v>
      </c>
      <c r="I1076">
        <v>22.94</v>
      </c>
      <c r="J1076" s="227">
        <f t="shared" si="110"/>
        <v>3.1938821412505591E-2</v>
      </c>
      <c r="K1076" s="5">
        <f>J1076-J1276</f>
        <v>2.9802865496895634E-2</v>
      </c>
      <c r="M1076" s="240" t="s">
        <v>935</v>
      </c>
      <c r="N1076">
        <v>3310.11</v>
      </c>
      <c r="O1076" s="227">
        <f t="shared" si="111"/>
        <v>1.2278437656729757E-2</v>
      </c>
      <c r="P1076" s="5">
        <f>O1076-O1278</f>
        <v>1.2644194857642928E-2</v>
      </c>
      <c r="Q1076" s="8">
        <f t="shared" si="114"/>
        <v>1.5987566359804386E-4</v>
      </c>
      <c r="X1076" t="s">
        <v>935</v>
      </c>
      <c r="Y1076">
        <v>37.313099999999999</v>
      </c>
      <c r="Z1076" s="48">
        <f t="shared" si="112"/>
        <v>7.0849055076029899E-3</v>
      </c>
      <c r="AA1076" s="5">
        <f>Z1076-Y1274</f>
        <v>2.8675860383288558E-3</v>
      </c>
    </row>
    <row r="1077" spans="1:27">
      <c r="A1077" s="3" t="s">
        <v>939</v>
      </c>
      <c r="B1077" s="222">
        <v>36.75</v>
      </c>
      <c r="C1077" s="227">
        <f t="shared" si="109"/>
        <v>3.5502958579881616E-2</v>
      </c>
      <c r="D1077" s="5">
        <f>C1077-C1275</f>
        <v>3.5424913010322724E-2</v>
      </c>
      <c r="E1077" s="1"/>
      <c r="F1077" s="8"/>
      <c r="H1077" t="s">
        <v>938</v>
      </c>
      <c r="I1077">
        <v>24.84</v>
      </c>
      <c r="J1077" s="227">
        <f t="shared" si="110"/>
        <v>8.2824760244115003E-2</v>
      </c>
      <c r="K1077" s="5">
        <f>J1077-J1276</f>
        <v>8.0688804328505045E-2</v>
      </c>
      <c r="M1077" s="240" t="s">
        <v>936</v>
      </c>
      <c r="N1077">
        <v>3271.03</v>
      </c>
      <c r="O1077" s="227">
        <f t="shared" si="111"/>
        <v>-1.1806254172821995E-2</v>
      </c>
      <c r="P1077" s="5">
        <f>O1077-O1278</f>
        <v>-1.1440496971908824E-2</v>
      </c>
      <c r="Q1077" s="8">
        <f t="shared" si="114"/>
        <v>1.3088497096425496E-4</v>
      </c>
      <c r="X1077" t="s">
        <v>936</v>
      </c>
      <c r="Y1077">
        <v>36.879800000000003</v>
      </c>
      <c r="Z1077" s="48">
        <f t="shared" si="112"/>
        <v>-1.1612543583888635E-2</v>
      </c>
      <c r="AA1077" s="5">
        <f>Z1077-Y1274</f>
        <v>-1.5829863053162769E-2</v>
      </c>
    </row>
    <row r="1078" spans="1:27">
      <c r="A1078" s="3" t="s">
        <v>940</v>
      </c>
      <c r="B1078" s="222">
        <v>36.700000000000003</v>
      </c>
      <c r="C1078" s="227">
        <f t="shared" si="109"/>
        <v>-1.3605442176869431E-3</v>
      </c>
      <c r="D1078" s="5">
        <f>C1078-C1275</f>
        <v>-1.4385897872458324E-3</v>
      </c>
      <c r="E1078" s="1"/>
      <c r="F1078" s="8"/>
      <c r="H1078" t="s">
        <v>939</v>
      </c>
      <c r="I1078">
        <v>26.02</v>
      </c>
      <c r="J1078" s="227">
        <f t="shared" si="110"/>
        <v>4.7504025764895319E-2</v>
      </c>
      <c r="K1078" s="5">
        <f>J1078-J1276</f>
        <v>4.5368069849285361E-2</v>
      </c>
      <c r="M1078" s="240" t="s">
        <v>937</v>
      </c>
      <c r="N1078">
        <v>3390.68</v>
      </c>
      <c r="O1078" s="227">
        <f t="shared" si="111"/>
        <v>3.6578692338498753E-2</v>
      </c>
      <c r="P1078" s="5">
        <f>O1078-O1278</f>
        <v>3.6944449539411922E-2</v>
      </c>
      <c r="Q1078" s="8">
        <f t="shared" si="114"/>
        <v>1.3648923517701537E-3</v>
      </c>
      <c r="X1078" t="s">
        <v>937</v>
      </c>
      <c r="Y1078">
        <v>38.124200000000002</v>
      </c>
      <c r="Z1078" s="48">
        <f t="shared" si="112"/>
        <v>3.3742048492670706E-2</v>
      </c>
      <c r="AA1078" s="5">
        <f>Z1078-Y1274</f>
        <v>2.9524729023396572E-2</v>
      </c>
    </row>
    <row r="1079" spans="1:27">
      <c r="A1079" s="3" t="s">
        <v>941</v>
      </c>
      <c r="B1079" s="222">
        <v>35.200000000000003</v>
      </c>
      <c r="C1079" s="227">
        <f t="shared" si="109"/>
        <v>-4.0871934604904681E-2</v>
      </c>
      <c r="D1079" s="5">
        <f>C1079-C1275</f>
        <v>-4.0949980174463572E-2</v>
      </c>
      <c r="E1079" s="1"/>
      <c r="F1079" s="8"/>
      <c r="H1079" t="s">
        <v>940</v>
      </c>
      <c r="I1079">
        <v>25.58</v>
      </c>
      <c r="J1079" s="227">
        <f t="shared" si="110"/>
        <v>-1.6910069177555775E-2</v>
      </c>
      <c r="K1079" s="5">
        <f>J1079-J1276</f>
        <v>-1.9046025093165733E-2</v>
      </c>
      <c r="M1079" s="240" t="s">
        <v>938</v>
      </c>
      <c r="N1079">
        <v>3400.97</v>
      </c>
      <c r="O1079" s="227">
        <f t="shared" si="111"/>
        <v>3.0347894817559506E-3</v>
      </c>
      <c r="P1079" s="5">
        <f>O1079-O1278</f>
        <v>3.4005466826691221E-3</v>
      </c>
      <c r="Q1079" s="8">
        <f t="shared" si="114"/>
        <v>1.1563717741011972E-5</v>
      </c>
      <c r="X1079" t="s">
        <v>938</v>
      </c>
      <c r="Y1079">
        <v>38.612000000000002</v>
      </c>
      <c r="Z1079" s="48">
        <f t="shared" si="112"/>
        <v>1.2795022584080495E-2</v>
      </c>
      <c r="AA1079" s="5">
        <f>Z1079-Y1274</f>
        <v>8.5777031148063614E-3</v>
      </c>
    </row>
    <row r="1080" spans="1:27">
      <c r="A1080" s="3" t="s">
        <v>942</v>
      </c>
      <c r="B1080" s="222">
        <v>36.31</v>
      </c>
      <c r="C1080" s="227">
        <f t="shared" si="109"/>
        <v>3.1534090909090873E-2</v>
      </c>
      <c r="D1080" s="5">
        <f>C1080-C1275</f>
        <v>3.1456045339531981E-2</v>
      </c>
      <c r="E1080" s="1"/>
      <c r="F1080" s="8"/>
      <c r="H1080" t="s">
        <v>941</v>
      </c>
      <c r="I1080">
        <v>24.66</v>
      </c>
      <c r="J1080" s="227">
        <f t="shared" si="110"/>
        <v>-3.5965598123533948E-2</v>
      </c>
      <c r="K1080" s="5">
        <f>J1080-J1276</f>
        <v>-3.8101554039143906E-2</v>
      </c>
      <c r="M1080" s="240" t="s">
        <v>939</v>
      </c>
      <c r="N1080">
        <v>3465.39</v>
      </c>
      <c r="O1080" s="227">
        <f t="shared" si="111"/>
        <v>1.8941654880813452E-2</v>
      </c>
      <c r="P1080" s="5">
        <f>O1080-O1278</f>
        <v>1.9307412081726625E-2</v>
      </c>
      <c r="Q1080" s="8">
        <f t="shared" si="114"/>
        <v>3.7277616129360327E-4</v>
      </c>
      <c r="X1080" t="s">
        <v>939</v>
      </c>
      <c r="Y1080">
        <v>39.359000000000002</v>
      </c>
      <c r="Z1080" s="48">
        <f t="shared" si="112"/>
        <v>1.9346317207085795E-2</v>
      </c>
      <c r="AA1080" s="5">
        <f>Z1080-Y1274</f>
        <v>1.5128997737811661E-2</v>
      </c>
    </row>
    <row r="1081" spans="1:27">
      <c r="A1081" s="3" t="s">
        <v>943</v>
      </c>
      <c r="B1081" s="222">
        <v>34.22</v>
      </c>
      <c r="C1081" s="227">
        <f t="shared" si="109"/>
        <v>-5.7559900853759394E-2</v>
      </c>
      <c r="D1081" s="5">
        <f>C1081-C1275</f>
        <v>-5.7637946423318286E-2</v>
      </c>
      <c r="E1081" s="1"/>
      <c r="F1081" s="8"/>
      <c r="H1081" t="s">
        <v>942</v>
      </c>
      <c r="I1081">
        <v>25.13</v>
      </c>
      <c r="J1081" s="227">
        <f t="shared" si="110"/>
        <v>1.905920519059201E-2</v>
      </c>
      <c r="K1081" s="5">
        <f>J1081-J1276</f>
        <v>1.6923249274982052E-2</v>
      </c>
      <c r="M1081" s="240" t="s">
        <v>940</v>
      </c>
      <c r="N1081">
        <v>3453.49</v>
      </c>
      <c r="O1081" s="227">
        <f t="shared" si="111"/>
        <v>-3.4339569283687865E-3</v>
      </c>
      <c r="P1081" s="5">
        <f>O1081-O1278</f>
        <v>-3.068199727455615E-3</v>
      </c>
      <c r="Q1081" s="8">
        <f t="shared" si="114"/>
        <v>9.4138495675587109E-6</v>
      </c>
      <c r="X1081" t="s">
        <v>940</v>
      </c>
      <c r="Y1081">
        <v>39.732599999999998</v>
      </c>
      <c r="Z1081" s="48">
        <f t="shared" si="112"/>
        <v>9.4921110800578745E-3</v>
      </c>
      <c r="AA1081" s="5">
        <f>Z1081-Y1274</f>
        <v>5.2747916107837405E-3</v>
      </c>
    </row>
    <row r="1082" spans="1:27">
      <c r="A1082" s="3" t="s">
        <v>944</v>
      </c>
      <c r="B1082" s="222">
        <v>33.72</v>
      </c>
      <c r="C1082" s="227">
        <f t="shared" si="109"/>
        <v>-1.4611338398597296E-2</v>
      </c>
      <c r="D1082" s="5">
        <f>C1082-C1275</f>
        <v>-1.4689383968156184E-2</v>
      </c>
      <c r="E1082" s="1"/>
      <c r="F1082" s="8"/>
      <c r="H1082" t="s">
        <v>943</v>
      </c>
      <c r="I1082">
        <v>24.63</v>
      </c>
      <c r="J1082" s="227">
        <f t="shared" si="110"/>
        <v>-1.9896538002387554E-2</v>
      </c>
      <c r="K1082" s="5">
        <f>J1082-J1276</f>
        <v>-2.2032493917997512E-2</v>
      </c>
      <c r="M1082" s="240" t="s">
        <v>941</v>
      </c>
      <c r="N1082">
        <v>3435.56</v>
      </c>
      <c r="O1082" s="227">
        <f t="shared" si="111"/>
        <v>-5.1918494045153363E-3</v>
      </c>
      <c r="P1082" s="5">
        <f>O1082-O1278</f>
        <v>-4.8260922036021644E-3</v>
      </c>
      <c r="Q1082" s="8">
        <f t="shared" si="114"/>
        <v>2.3291165957669595E-5</v>
      </c>
      <c r="X1082" t="s">
        <v>941</v>
      </c>
      <c r="Y1082">
        <v>39.204300000000003</v>
      </c>
      <c r="Z1082" s="48">
        <f t="shared" si="112"/>
        <v>-1.3296386342700806E-2</v>
      </c>
      <c r="AA1082" s="5">
        <f>Z1082-Y1274</f>
        <v>-1.751370581197494E-2</v>
      </c>
    </row>
    <row r="1083" spans="1:27">
      <c r="A1083" s="3" t="s">
        <v>945</v>
      </c>
      <c r="B1083" s="222">
        <v>34.26</v>
      </c>
      <c r="C1083" s="227">
        <f t="shared" si="109"/>
        <v>1.6014234875444844E-2</v>
      </c>
      <c r="D1083" s="5">
        <f>C1083-C1275</f>
        <v>1.5936189305885955E-2</v>
      </c>
      <c r="F1083" s="8"/>
      <c r="H1083" t="s">
        <v>944</v>
      </c>
      <c r="I1083">
        <v>25.53</v>
      </c>
      <c r="J1083" s="227">
        <f t="shared" si="110"/>
        <v>3.654080389768577E-2</v>
      </c>
      <c r="K1083" s="5">
        <f>J1083-J1276</f>
        <v>3.4404847982075812E-2</v>
      </c>
      <c r="M1083" s="240" t="s">
        <v>942</v>
      </c>
      <c r="N1083">
        <v>3443.12</v>
      </c>
      <c r="O1083" s="227">
        <f t="shared" si="111"/>
        <v>2.2005146177042079E-3</v>
      </c>
      <c r="P1083" s="5">
        <f>O1083-O1278</f>
        <v>2.5662718186173794E-3</v>
      </c>
      <c r="Q1083" s="8">
        <f t="shared" si="114"/>
        <v>6.5857510470297517E-6</v>
      </c>
      <c r="X1083" t="s">
        <v>942</v>
      </c>
      <c r="Y1083">
        <v>38.663200000000003</v>
      </c>
      <c r="Z1083" s="48">
        <f t="shared" si="112"/>
        <v>-1.3802057427374059E-2</v>
      </c>
      <c r="AA1083" s="5">
        <f>Z1083-Y1274</f>
        <v>-1.8019376896648193E-2</v>
      </c>
    </row>
    <row r="1084" spans="1:27">
      <c r="A1084" s="3" t="s">
        <v>946</v>
      </c>
      <c r="B1084" s="222">
        <v>35.11</v>
      </c>
      <c r="C1084" s="227">
        <f t="shared" si="109"/>
        <v>2.4810274372446095E-2</v>
      </c>
      <c r="D1084" s="5">
        <f>C1084-C1275</f>
        <v>2.4732228802887207E-2</v>
      </c>
      <c r="F1084" s="8"/>
      <c r="H1084" t="s">
        <v>945</v>
      </c>
      <c r="I1084">
        <v>25.6</v>
      </c>
      <c r="J1084" s="227">
        <f t="shared" si="110"/>
        <v>2.7418723070897766E-3</v>
      </c>
      <c r="K1084" s="5">
        <f>J1084-J1276</f>
        <v>6.0591639147981879E-4</v>
      </c>
      <c r="M1084" s="240" t="s">
        <v>943</v>
      </c>
      <c r="N1084">
        <v>3426.92</v>
      </c>
      <c r="O1084" s="227">
        <f t="shared" si="111"/>
        <v>-4.7050349682845605E-3</v>
      </c>
      <c r="P1084" s="5">
        <f>O1084-O1278</f>
        <v>-4.3392777673713885E-3</v>
      </c>
      <c r="Q1084" s="8">
        <f t="shared" si="114"/>
        <v>1.8829331542403624E-5</v>
      </c>
      <c r="X1084" t="s">
        <v>943</v>
      </c>
      <c r="Y1084">
        <v>37.871299999999998</v>
      </c>
      <c r="Z1084" s="48">
        <f t="shared" si="112"/>
        <v>-2.0482008731817491E-2</v>
      </c>
      <c r="AA1084" s="5">
        <f>Z1084-Y1274</f>
        <v>-2.4699328201091626E-2</v>
      </c>
    </row>
    <row r="1085" spans="1:27">
      <c r="A1085" s="3" t="s">
        <v>947</v>
      </c>
      <c r="B1085" s="222">
        <v>35.56</v>
      </c>
      <c r="C1085" s="227">
        <f t="shared" si="109"/>
        <v>1.2816861293079018E-2</v>
      </c>
      <c r="D1085" s="5">
        <f>C1085-C1275</f>
        <v>1.273881572352013E-2</v>
      </c>
      <c r="F1085" s="8"/>
      <c r="H1085" t="s">
        <v>946</v>
      </c>
      <c r="I1085">
        <v>26.75</v>
      </c>
      <c r="J1085" s="227">
        <f t="shared" si="110"/>
        <v>4.4921875E-2</v>
      </c>
      <c r="K1085" s="5">
        <f>J1085-J1276</f>
        <v>4.2785919084390042E-2</v>
      </c>
      <c r="M1085" s="240" t="s">
        <v>944</v>
      </c>
      <c r="N1085">
        <v>3483.81</v>
      </c>
      <c r="O1085" s="227">
        <f t="shared" si="111"/>
        <v>1.6600912772985588E-2</v>
      </c>
      <c r="P1085" s="5">
        <f>O1085-O1278</f>
        <v>1.696666997389876E-2</v>
      </c>
      <c r="Q1085" s="8">
        <f t="shared" si="114"/>
        <v>2.8786789000319774E-4</v>
      </c>
      <c r="X1085" t="s">
        <v>944</v>
      </c>
      <c r="Y1085">
        <v>38.286499999999997</v>
      </c>
      <c r="Z1085" s="48">
        <f t="shared" si="112"/>
        <v>1.0963447254253245E-2</v>
      </c>
      <c r="AA1085" s="5">
        <f>Z1085-Y1274</f>
        <v>6.7461277849791106E-3</v>
      </c>
    </row>
    <row r="1086" spans="1:27">
      <c r="A1086" s="220">
        <v>44175</v>
      </c>
      <c r="B1086" s="222">
        <v>36.26</v>
      </c>
      <c r="C1086" s="227">
        <f t="shared" si="109"/>
        <v>1.9685039370078705E-2</v>
      </c>
      <c r="D1086" s="5">
        <f>C1086-C1275</f>
        <v>1.9606993800519817E-2</v>
      </c>
      <c r="F1086" s="8"/>
      <c r="H1086" t="s">
        <v>947</v>
      </c>
      <c r="I1086">
        <v>26.33</v>
      </c>
      <c r="J1086" s="227">
        <f t="shared" si="110"/>
        <v>-1.570093457943933E-2</v>
      </c>
      <c r="K1086" s="5">
        <f>J1086-J1276</f>
        <v>-1.7836890495049287E-2</v>
      </c>
      <c r="M1086" s="240" t="s">
        <v>945</v>
      </c>
      <c r="N1086">
        <v>3483.34</v>
      </c>
      <c r="O1086" s="227">
        <f t="shared" si="111"/>
        <v>-1.3490976832830626E-4</v>
      </c>
      <c r="P1086" s="5">
        <f>O1086-O1278</f>
        <v>2.3084743258486529E-4</v>
      </c>
      <c r="Q1086" s="8">
        <f t="shared" si="114"/>
        <v>5.3290537131023925E-8</v>
      </c>
      <c r="X1086" t="s">
        <v>945</v>
      </c>
      <c r="Y1086">
        <v>38.461500000000001</v>
      </c>
      <c r="Z1086" s="48">
        <f t="shared" si="112"/>
        <v>4.5708017186214533E-3</v>
      </c>
      <c r="AA1086" s="5">
        <f>Z1086-Y1274</f>
        <v>3.5348224934731928E-4</v>
      </c>
    </row>
    <row r="1087" spans="1:27">
      <c r="A1087" s="220">
        <v>44084</v>
      </c>
      <c r="B1087" s="222">
        <v>37.270000000000003</v>
      </c>
      <c r="C1087" s="227">
        <f t="shared" si="109"/>
        <v>2.7854384997242354E-2</v>
      </c>
      <c r="D1087" s="5">
        <f>C1087-C1275</f>
        <v>2.7776339427683466E-2</v>
      </c>
      <c r="F1087" s="8"/>
      <c r="H1087" s="1">
        <v>44175</v>
      </c>
      <c r="I1087">
        <v>27.24</v>
      </c>
      <c r="J1087" s="227">
        <f t="shared" si="110"/>
        <v>3.4561336878085935E-2</v>
      </c>
      <c r="K1087" s="5">
        <f>J1087-J1276</f>
        <v>3.2425380962475978E-2</v>
      </c>
      <c r="M1087" s="240" t="s">
        <v>946</v>
      </c>
      <c r="N1087">
        <v>3488.67</v>
      </c>
      <c r="O1087" s="227">
        <f t="shared" si="111"/>
        <v>1.5301406121710492E-3</v>
      </c>
      <c r="P1087" s="5">
        <f>O1087-O1278</f>
        <v>1.8958978130842207E-3</v>
      </c>
      <c r="Q1087" s="8">
        <f t="shared" si="114"/>
        <v>3.5944285176575308E-6</v>
      </c>
      <c r="X1087" t="s">
        <v>946</v>
      </c>
      <c r="Y1087">
        <v>38.533000000000001</v>
      </c>
      <c r="Z1087" s="48">
        <f t="shared" si="112"/>
        <v>1.8590018590018964E-3</v>
      </c>
      <c r="AA1087" s="5">
        <f>Z1087-Y1274</f>
        <v>-2.3583176102722377E-3</v>
      </c>
    </row>
    <row r="1088" spans="1:27">
      <c r="A1088" s="220">
        <v>44053</v>
      </c>
      <c r="B1088" s="222">
        <v>37.340000000000003</v>
      </c>
      <c r="C1088" s="227">
        <f t="shared" si="109"/>
        <v>1.8781862087469126E-3</v>
      </c>
      <c r="D1088" s="5">
        <f>C1088-C1275</f>
        <v>1.8001406391880232E-3</v>
      </c>
      <c r="F1088" s="8"/>
      <c r="H1088" s="1">
        <v>44084</v>
      </c>
      <c r="I1088">
        <v>27.8</v>
      </c>
      <c r="J1088" s="227">
        <f t="shared" si="110"/>
        <v>2.0558002936857722E-2</v>
      </c>
      <c r="K1088" s="5">
        <f>J1088-J1276</f>
        <v>1.8422047021247764E-2</v>
      </c>
      <c r="M1088" s="240" t="s">
        <v>947</v>
      </c>
      <c r="N1088">
        <v>3511.93</v>
      </c>
      <c r="O1088" s="227">
        <f t="shared" si="111"/>
        <v>6.667297279479012E-3</v>
      </c>
      <c r="P1088" s="5">
        <f>O1088-O1278</f>
        <v>7.0330544803921839E-3</v>
      </c>
      <c r="Q1088" s="8">
        <f t="shared" si="114"/>
        <v>4.9463855324164574E-5</v>
      </c>
      <c r="X1088" t="s">
        <v>947</v>
      </c>
      <c r="Y1088">
        <v>38.235199999999999</v>
      </c>
      <c r="Z1088" s="48">
        <f t="shared" si="112"/>
        <v>-7.7284405574443715E-3</v>
      </c>
      <c r="AA1088" s="5">
        <f>Z1088-Y1274</f>
        <v>-1.1945760026718506E-2</v>
      </c>
    </row>
    <row r="1089" spans="1:27">
      <c r="A1089" s="220">
        <v>44022</v>
      </c>
      <c r="B1089" s="222">
        <v>36.78</v>
      </c>
      <c r="C1089" s="227">
        <f t="shared" si="109"/>
        <v>-1.4997321906802363E-2</v>
      </c>
      <c r="D1089" s="5">
        <f>C1089-C1275</f>
        <v>-1.5075367476361252E-2</v>
      </c>
      <c r="F1089" s="8"/>
      <c r="H1089" s="1">
        <v>44053</v>
      </c>
      <c r="I1089">
        <v>27.21</v>
      </c>
      <c r="J1089" s="227">
        <f t="shared" si="110"/>
        <v>-2.1223021582733814E-2</v>
      </c>
      <c r="K1089" s="5">
        <f>J1089-J1276</f>
        <v>-2.3358977498343772E-2</v>
      </c>
      <c r="M1089" s="241">
        <v>44175</v>
      </c>
      <c r="N1089">
        <v>3534.22</v>
      </c>
      <c r="O1089" s="227">
        <f t="shared" si="111"/>
        <v>6.346937438957978E-3</v>
      </c>
      <c r="P1089" s="5">
        <f>O1089-O1278</f>
        <v>6.7126946398711499E-3</v>
      </c>
      <c r="Q1089" s="8">
        <f t="shared" si="114"/>
        <v>4.506026932815487E-5</v>
      </c>
      <c r="X1089" s="1">
        <v>44175</v>
      </c>
      <c r="Y1089">
        <v>38.6205</v>
      </c>
      <c r="Z1089" s="48">
        <f t="shared" si="112"/>
        <v>1.0077101728250382E-2</v>
      </c>
      <c r="AA1089" s="5">
        <f>Z1089-Y1274</f>
        <v>5.8597822589762476E-3</v>
      </c>
    </row>
    <row r="1090" spans="1:27">
      <c r="A1090" s="220">
        <v>43992</v>
      </c>
      <c r="B1090" s="222">
        <v>36.26</v>
      </c>
      <c r="C1090" s="227">
        <f t="shared" si="109"/>
        <v>-1.4138118542686318E-2</v>
      </c>
      <c r="D1090" s="5">
        <f>C1090-C1275</f>
        <v>-1.4216164112245206E-2</v>
      </c>
      <c r="F1090" s="8"/>
      <c r="H1090" s="1">
        <v>44022</v>
      </c>
      <c r="I1090">
        <v>26.27</v>
      </c>
      <c r="J1090" s="227">
        <f t="shared" si="110"/>
        <v>-3.4546122748989383E-2</v>
      </c>
      <c r="K1090" s="5">
        <f>J1090-J1276</f>
        <v>-3.6682078664599341E-2</v>
      </c>
      <c r="M1090" s="241">
        <v>44084</v>
      </c>
      <c r="N1090">
        <v>3477.13</v>
      </c>
      <c r="O1090" s="227">
        <f t="shared" si="111"/>
        <v>-1.6153493557277021E-2</v>
      </c>
      <c r="P1090" s="5">
        <f>O1090-O1278</f>
        <v>-1.5787736356363848E-2</v>
      </c>
      <c r="Q1090" s="8">
        <f t="shared" si="114"/>
        <v>2.4925261925805281E-4</v>
      </c>
      <c r="X1090" s="1">
        <v>44084</v>
      </c>
      <c r="Y1090">
        <v>38.438000000000002</v>
      </c>
      <c r="Z1090" s="48">
        <f t="shared" si="112"/>
        <v>-4.7254696340025548E-3</v>
      </c>
      <c r="AA1090" s="5">
        <f>Z1090-Y1274</f>
        <v>-8.9427891032766889E-3</v>
      </c>
    </row>
    <row r="1091" spans="1:27">
      <c r="A1091" s="220">
        <v>43961</v>
      </c>
      <c r="B1091" s="222">
        <v>37.14</v>
      </c>
      <c r="C1091" s="227">
        <f t="shared" si="109"/>
        <v>2.4269167126309998E-2</v>
      </c>
      <c r="D1091" s="5">
        <f>C1091-C1275</f>
        <v>2.419112155675111E-2</v>
      </c>
      <c r="F1091" s="8"/>
      <c r="H1091" s="1">
        <v>43992</v>
      </c>
      <c r="I1091">
        <v>26.41</v>
      </c>
      <c r="J1091" s="227">
        <f t="shared" si="110"/>
        <v>5.3292729349068146E-3</v>
      </c>
      <c r="K1091" s="5">
        <f>J1091-J1276</f>
        <v>3.1933170192968569E-3</v>
      </c>
      <c r="M1091" s="241">
        <v>44053</v>
      </c>
      <c r="N1091">
        <v>3446.83</v>
      </c>
      <c r="O1091" s="227">
        <f t="shared" si="111"/>
        <v>-8.7140831662895213E-3</v>
      </c>
      <c r="P1091" s="5">
        <f>O1091-O1278</f>
        <v>-8.3483259653763502E-3</v>
      </c>
      <c r="Q1091" s="8">
        <f t="shared" si="114"/>
        <v>6.969454642417697E-5</v>
      </c>
      <c r="X1091" s="1">
        <v>44053</v>
      </c>
      <c r="Y1091">
        <v>38.648299999999999</v>
      </c>
      <c r="Z1091" s="48">
        <f t="shared" si="112"/>
        <v>5.4711483427856145E-3</v>
      </c>
      <c r="AA1091" s="5">
        <f>Z1091-Y1274</f>
        <v>1.2538288735114804E-3</v>
      </c>
    </row>
    <row r="1092" spans="1:27">
      <c r="A1092" s="220">
        <v>43871</v>
      </c>
      <c r="B1092" s="222">
        <v>37.72</v>
      </c>
      <c r="C1092" s="227">
        <f t="shared" si="109"/>
        <v>1.5616585891222279E-2</v>
      </c>
      <c r="D1092" s="5">
        <f>C1092-C1275</f>
        <v>1.553854032166339E-2</v>
      </c>
      <c r="F1092" s="8"/>
      <c r="H1092" s="1">
        <v>43961</v>
      </c>
      <c r="I1092">
        <v>26.69</v>
      </c>
      <c r="J1092" s="227">
        <f t="shared" si="110"/>
        <v>1.0602044680045442E-2</v>
      </c>
      <c r="K1092" s="5">
        <f>J1092-J1276</f>
        <v>8.4660887644354837E-3</v>
      </c>
      <c r="M1092" s="241">
        <v>44022</v>
      </c>
      <c r="N1092">
        <v>3419.45</v>
      </c>
      <c r="O1092" s="227">
        <f t="shared" si="111"/>
        <v>-7.943530722431924E-3</v>
      </c>
      <c r="P1092" s="5">
        <f>O1092-O1278</f>
        <v>-7.5777735215187521E-3</v>
      </c>
      <c r="Q1092" s="8">
        <f t="shared" si="114"/>
        <v>5.7422651543430712E-5</v>
      </c>
      <c r="X1092" s="1">
        <v>44022</v>
      </c>
      <c r="Y1092">
        <v>38.837200000000003</v>
      </c>
      <c r="Z1092" s="48">
        <f t="shared" si="112"/>
        <v>4.8876664691590577E-3</v>
      </c>
      <c r="AA1092" s="5">
        <f>Z1092-Y1274</f>
        <v>6.7034699988492361E-4</v>
      </c>
    </row>
    <row r="1093" spans="1:27">
      <c r="A1093" s="220">
        <v>43840</v>
      </c>
      <c r="B1093" s="222">
        <v>37.14</v>
      </c>
      <c r="C1093" s="227">
        <f t="shared" si="109"/>
        <v>-1.5376458112407176E-2</v>
      </c>
      <c r="D1093" s="5">
        <f>C1093-C1275</f>
        <v>-1.5454503681966065E-2</v>
      </c>
      <c r="F1093" s="8"/>
      <c r="H1093" s="1">
        <v>43871</v>
      </c>
      <c r="I1093">
        <v>27.63</v>
      </c>
      <c r="J1093" s="227">
        <f t="shared" si="110"/>
        <v>3.5219183214687089E-2</v>
      </c>
      <c r="K1093" s="5">
        <f>J1093-J1276</f>
        <v>3.3083227299077131E-2</v>
      </c>
      <c r="M1093" s="241">
        <v>43992</v>
      </c>
      <c r="N1093">
        <v>3360.95</v>
      </c>
      <c r="O1093" s="227">
        <f t="shared" si="111"/>
        <v>-1.7108014446767794E-2</v>
      </c>
      <c r="P1093" s="5">
        <f>O1093-O1278</f>
        <v>-1.6742257245854621E-2</v>
      </c>
      <c r="Q1093" s="8">
        <f t="shared" si="114"/>
        <v>2.8030317768637156E-4</v>
      </c>
      <c r="X1093" s="1">
        <v>43992</v>
      </c>
      <c r="Y1093">
        <v>38.810499999999998</v>
      </c>
      <c r="Z1093" s="48">
        <f t="shared" si="112"/>
        <v>-6.8748519460737345E-4</v>
      </c>
      <c r="AA1093" s="5">
        <f>Z1093-Y1274</f>
        <v>-4.9048046638815075E-3</v>
      </c>
    </row>
    <row r="1094" spans="1:27">
      <c r="A1094" s="3" t="s">
        <v>948</v>
      </c>
      <c r="B1094" s="222">
        <v>36.479999999999997</v>
      </c>
      <c r="C1094" s="227">
        <f t="shared" si="109"/>
        <v>-1.7770597738287708E-2</v>
      </c>
      <c r="D1094" s="5">
        <f>C1094-C1275</f>
        <v>-1.7848643307846596E-2</v>
      </c>
      <c r="F1094" s="8"/>
      <c r="H1094" s="1">
        <v>43840</v>
      </c>
      <c r="I1094">
        <v>27.81</v>
      </c>
      <c r="J1094" s="227">
        <f t="shared" si="110"/>
        <v>6.514657980456029E-3</v>
      </c>
      <c r="K1094" s="5">
        <f>J1094-J1276</f>
        <v>4.3787020648460712E-3</v>
      </c>
      <c r="M1094" s="241">
        <v>43961</v>
      </c>
      <c r="N1094">
        <v>3408.63</v>
      </c>
      <c r="O1094" s="227">
        <f t="shared" si="111"/>
        <v>1.4186465136345472E-2</v>
      </c>
      <c r="P1094" s="5">
        <f>O1094-O1278</f>
        <v>1.4552222337258643E-2</v>
      </c>
      <c r="Q1094" s="8">
        <f t="shared" si="114"/>
        <v>2.117671749530094E-4</v>
      </c>
      <c r="X1094" s="1">
        <v>43961</v>
      </c>
      <c r="Y1094">
        <v>38.593800000000002</v>
      </c>
      <c r="Z1094" s="48">
        <f t="shared" si="112"/>
        <v>-5.5835405367102853E-3</v>
      </c>
      <c r="AA1094" s="5">
        <f>Z1094-Y1274</f>
        <v>-9.8008600059844193E-3</v>
      </c>
    </row>
    <row r="1095" spans="1:27">
      <c r="A1095" s="3" t="s">
        <v>949</v>
      </c>
      <c r="B1095" s="222">
        <v>35.43</v>
      </c>
      <c r="C1095" s="227">
        <f t="shared" si="109"/>
        <v>-2.8782894736842035E-2</v>
      </c>
      <c r="D1095" s="5">
        <f>C1095-C1275</f>
        <v>-2.8860940306400924E-2</v>
      </c>
      <c r="F1095" s="8"/>
      <c r="H1095" t="s">
        <v>948</v>
      </c>
      <c r="I1095">
        <v>27.55</v>
      </c>
      <c r="J1095" s="227">
        <f t="shared" si="110"/>
        <v>-9.349154980222818E-3</v>
      </c>
      <c r="K1095" s="5">
        <f>J1095-J1276</f>
        <v>-1.1485110895832776E-2</v>
      </c>
      <c r="M1095" s="241">
        <v>43871</v>
      </c>
      <c r="N1095">
        <v>3348.44</v>
      </c>
      <c r="O1095" s="227">
        <f t="shared" si="111"/>
        <v>-1.76581207112535E-2</v>
      </c>
      <c r="P1095" s="5">
        <f>O1095-O1278</f>
        <v>-1.7292363510340327E-2</v>
      </c>
      <c r="Q1095" s="8">
        <f t="shared" si="114"/>
        <v>2.9902583577374965E-4</v>
      </c>
      <c r="X1095" s="1">
        <v>43871</v>
      </c>
      <c r="Y1095">
        <v>38.628999999999998</v>
      </c>
      <c r="Z1095" s="48">
        <f t="shared" si="112"/>
        <v>9.1206359570694673E-4</v>
      </c>
      <c r="AA1095" s="5">
        <f>Z1095-Y1274</f>
        <v>-3.3052558735671873E-3</v>
      </c>
    </row>
    <row r="1096" spans="1:27">
      <c r="A1096" s="3" t="s">
        <v>950</v>
      </c>
      <c r="B1096" s="222">
        <v>35.56</v>
      </c>
      <c r="C1096" s="227">
        <f t="shared" si="109"/>
        <v>3.6692068868191541E-3</v>
      </c>
      <c r="D1096" s="5">
        <f>C1096-C1275</f>
        <v>3.5911613172602648E-3</v>
      </c>
      <c r="E1096" s="1"/>
      <c r="F1096" s="8"/>
      <c r="H1096" t="s">
        <v>949</v>
      </c>
      <c r="I1096">
        <v>27.14</v>
      </c>
      <c r="J1096" s="227">
        <f t="shared" si="110"/>
        <v>-1.4882032667876577E-2</v>
      </c>
      <c r="K1096" s="5">
        <f>J1096-J1276</f>
        <v>-1.7017988583486535E-2</v>
      </c>
      <c r="M1096" s="241">
        <v>43840</v>
      </c>
      <c r="N1096">
        <v>3380.8</v>
      </c>
      <c r="O1096" s="227">
        <f t="shared" si="111"/>
        <v>9.6642018372734562E-3</v>
      </c>
      <c r="P1096" s="5">
        <f>O1096-O1278</f>
        <v>1.0029959038186627E-2</v>
      </c>
      <c r="Q1096" s="8">
        <f t="shared" si="114"/>
        <v>1.0060007830770161E-4</v>
      </c>
      <c r="X1096" s="1">
        <v>43840</v>
      </c>
      <c r="Y1096">
        <v>37.922499999999999</v>
      </c>
      <c r="Z1096" s="48">
        <f t="shared" si="112"/>
        <v>-1.8289368091330305E-2</v>
      </c>
      <c r="AA1096" s="5">
        <f>Z1096-Y1274</f>
        <v>-2.2506687560604439E-2</v>
      </c>
    </row>
    <row r="1097" spans="1:27">
      <c r="A1097" s="3" t="s">
        <v>951</v>
      </c>
      <c r="B1097" s="222">
        <v>34.46</v>
      </c>
      <c r="C1097" s="227">
        <f t="shared" si="109"/>
        <v>-3.0933633295838092E-2</v>
      </c>
      <c r="D1097" s="5">
        <f>C1097-C1275</f>
        <v>-3.1011678865396981E-2</v>
      </c>
      <c r="E1097" s="1"/>
      <c r="F1097" s="8"/>
      <c r="H1097" t="s">
        <v>950</v>
      </c>
      <c r="I1097">
        <v>28.05</v>
      </c>
      <c r="J1097" s="227">
        <f t="shared" si="110"/>
        <v>3.3529845246868195E-2</v>
      </c>
      <c r="K1097" s="5">
        <f>J1097-J1276</f>
        <v>3.1393889331258237E-2</v>
      </c>
      <c r="M1097" s="240" t="s">
        <v>948</v>
      </c>
      <c r="N1097">
        <v>3363</v>
      </c>
      <c r="O1097" s="227">
        <f t="shared" si="111"/>
        <v>-5.2650260293422013E-3</v>
      </c>
      <c r="P1097" s="5">
        <f>O1097-O1278</f>
        <v>-4.8992688284290294E-3</v>
      </c>
      <c r="Q1097" s="8">
        <f t="shared" si="114"/>
        <v>2.4002835053216355E-5</v>
      </c>
      <c r="X1097" t="s">
        <v>948</v>
      </c>
      <c r="Y1097">
        <v>37.991900000000001</v>
      </c>
      <c r="Z1097" s="48">
        <f t="shared" si="112"/>
        <v>1.8300481244644118E-3</v>
      </c>
      <c r="AA1097" s="5">
        <f>Z1097-Y1274</f>
        <v>-2.3872713448097223E-3</v>
      </c>
    </row>
    <row r="1098" spans="1:27">
      <c r="A1098" s="3" t="s">
        <v>952</v>
      </c>
      <c r="B1098" s="222">
        <v>33.35</v>
      </c>
      <c r="C1098" s="227">
        <f t="shared" si="109"/>
        <v>-3.2211259431224604E-2</v>
      </c>
      <c r="D1098" s="5">
        <f>C1098-C1275</f>
        <v>-3.2289305000783496E-2</v>
      </c>
      <c r="E1098" s="1"/>
      <c r="F1098" s="8"/>
      <c r="H1098" t="s">
        <v>951</v>
      </c>
      <c r="I1098">
        <v>27.53</v>
      </c>
      <c r="J1098" s="227">
        <f t="shared" si="110"/>
        <v>-1.8538324420677377E-2</v>
      </c>
      <c r="K1098" s="5">
        <f>J1098-J1276</f>
        <v>-2.0674280336287335E-2</v>
      </c>
      <c r="M1098" s="240" t="s">
        <v>949</v>
      </c>
      <c r="N1098">
        <v>3335.47</v>
      </c>
      <c r="O1098" s="227">
        <f t="shared" si="111"/>
        <v>-8.186143324412809E-3</v>
      </c>
      <c r="P1098" s="5">
        <f>O1098-O1278</f>
        <v>-7.820386123499638E-3</v>
      </c>
      <c r="Q1098" s="8">
        <f t="shared" si="114"/>
        <v>6.1158439120625698E-5</v>
      </c>
      <c r="X1098" t="s">
        <v>949</v>
      </c>
      <c r="Y1098">
        <v>37.564999999999998</v>
      </c>
      <c r="Z1098" s="48">
        <f t="shared" si="112"/>
        <v>-1.1236605697530377E-2</v>
      </c>
      <c r="AA1098" s="5">
        <f>Z1098-Y1274</f>
        <v>-1.5453925166804511E-2</v>
      </c>
    </row>
    <row r="1099" spans="1:27">
      <c r="A1099" s="3" t="s">
        <v>953</v>
      </c>
      <c r="B1099" s="222">
        <v>33.549999999999997</v>
      </c>
      <c r="C1099" s="227">
        <f t="shared" si="109"/>
        <v>5.9970014992503096E-3</v>
      </c>
      <c r="D1099" s="5">
        <f>C1099-C1275</f>
        <v>5.9189559296914203E-3</v>
      </c>
      <c r="E1099" s="1"/>
      <c r="F1099" s="8"/>
      <c r="H1099" t="s">
        <v>952</v>
      </c>
      <c r="I1099">
        <v>26.77</v>
      </c>
      <c r="J1099" s="227">
        <f t="shared" si="110"/>
        <v>-2.76062477297494E-2</v>
      </c>
      <c r="K1099" s="5">
        <f>J1099-J1276</f>
        <v>-2.9742203645359358E-2</v>
      </c>
      <c r="M1099" s="240" t="s">
        <v>950</v>
      </c>
      <c r="N1099">
        <v>3351.6</v>
      </c>
      <c r="O1099" s="227">
        <f t="shared" si="111"/>
        <v>4.8359001879796359E-3</v>
      </c>
      <c r="P1099" s="5">
        <f>O1099-O1278</f>
        <v>5.2016573888928079E-3</v>
      </c>
      <c r="Q1099" s="8">
        <f t="shared" si="114"/>
        <v>2.7057239591423143E-5</v>
      </c>
      <c r="X1099" t="s">
        <v>950</v>
      </c>
      <c r="Y1099">
        <v>38.098599999999998</v>
      </c>
      <c r="Z1099" s="48">
        <f t="shared" si="112"/>
        <v>1.4204711832823014E-2</v>
      </c>
      <c r="AA1099" s="5">
        <f>Z1099-Y1274</f>
        <v>9.9873923635488797E-3</v>
      </c>
    </row>
    <row r="1100" spans="1:27">
      <c r="A1100" s="3" t="s">
        <v>954</v>
      </c>
      <c r="B1100" s="222">
        <v>34.4</v>
      </c>
      <c r="C1100" s="227">
        <f t="shared" si="109"/>
        <v>2.5335320417287699E-2</v>
      </c>
      <c r="D1100" s="5">
        <f>C1100-C1275</f>
        <v>2.525727484772881E-2</v>
      </c>
      <c r="E1100" s="1"/>
      <c r="F1100" s="8"/>
      <c r="H1100" t="s">
        <v>953</v>
      </c>
      <c r="I1100">
        <v>26.97</v>
      </c>
      <c r="J1100" s="227">
        <f t="shared" si="110"/>
        <v>7.4710496824803574E-3</v>
      </c>
      <c r="K1100" s="5">
        <f>J1100-J1276</f>
        <v>5.3350937668703996E-3</v>
      </c>
      <c r="M1100" s="240" t="s">
        <v>951</v>
      </c>
      <c r="N1100">
        <v>3298.46</v>
      </c>
      <c r="O1100" s="227">
        <f t="shared" si="111"/>
        <v>-1.5855113975414725E-2</v>
      </c>
      <c r="P1100" s="5">
        <f>O1100-O1278</f>
        <v>-1.5489356774501554E-2</v>
      </c>
      <c r="Q1100" s="8">
        <f t="shared" si="114"/>
        <v>2.3992017328779719E-4</v>
      </c>
      <c r="X1100" t="s">
        <v>951</v>
      </c>
      <c r="Y1100">
        <v>37.826500000000003</v>
      </c>
      <c r="Z1100" s="48">
        <f t="shared" si="112"/>
        <v>-7.1419947189659272E-3</v>
      </c>
      <c r="AA1100" s="5">
        <f>Z1100-Y1274</f>
        <v>-1.1359314188240061E-2</v>
      </c>
    </row>
    <row r="1101" spans="1:27">
      <c r="A1101" s="3" t="s">
        <v>955</v>
      </c>
      <c r="B1101" s="222">
        <v>36.49</v>
      </c>
      <c r="C1101" s="227">
        <f t="shared" si="109"/>
        <v>6.0755813953488502E-2</v>
      </c>
      <c r="D1101" s="5">
        <f>C1101-C1275</f>
        <v>6.067776838392961E-2</v>
      </c>
      <c r="E1101" s="1"/>
      <c r="F1101" s="8"/>
      <c r="H1101" t="s">
        <v>954</v>
      </c>
      <c r="I1101">
        <v>28.31</v>
      </c>
      <c r="J1101" s="227">
        <f t="shared" si="110"/>
        <v>4.9684835001853944E-2</v>
      </c>
      <c r="K1101" s="5">
        <f>J1101-J1276</f>
        <v>4.7548879086243986E-2</v>
      </c>
      <c r="M1101" s="240" t="s">
        <v>952</v>
      </c>
      <c r="N1101">
        <v>3246.59</v>
      </c>
      <c r="O1101" s="227">
        <f t="shared" si="111"/>
        <v>-1.5725520394365811E-2</v>
      </c>
      <c r="P1101" s="5">
        <f>O1101-O1278</f>
        <v>-1.535976319345264E-2</v>
      </c>
      <c r="Q1101" s="8">
        <f t="shared" si="114"/>
        <v>2.3592232535894243E-4</v>
      </c>
      <c r="X1101" t="s">
        <v>952</v>
      </c>
      <c r="Y1101">
        <v>38.099699999999999</v>
      </c>
      <c r="Z1101" s="48">
        <f t="shared" si="112"/>
        <v>7.2224498698001405E-3</v>
      </c>
      <c r="AA1101" s="5">
        <f>Z1101-Y1274</f>
        <v>3.0051304005260064E-3</v>
      </c>
    </row>
    <row r="1102" spans="1:27">
      <c r="A1102" s="3" t="s">
        <v>956</v>
      </c>
      <c r="B1102" s="222">
        <v>37.119999999999997</v>
      </c>
      <c r="C1102" s="227">
        <f t="shared" si="109"/>
        <v>1.7265004110715187E-2</v>
      </c>
      <c r="D1102" s="5">
        <f>C1102-C1275</f>
        <v>1.7186958541156299E-2</v>
      </c>
      <c r="E1102" s="1"/>
      <c r="F1102" s="8"/>
      <c r="H1102" t="s">
        <v>955</v>
      </c>
      <c r="I1102">
        <v>28.9</v>
      </c>
      <c r="J1102" s="227">
        <f t="shared" si="110"/>
        <v>2.0840692334864075E-2</v>
      </c>
      <c r="K1102" s="5">
        <f>J1102-J1276</f>
        <v>1.8704736419254117E-2</v>
      </c>
      <c r="M1102" s="240" t="s">
        <v>953</v>
      </c>
      <c r="N1102">
        <v>3236.92</v>
      </c>
      <c r="O1102" s="227">
        <f t="shared" si="111"/>
        <v>-2.9785097594707821E-3</v>
      </c>
      <c r="P1102" s="5">
        <f>O1102-O1278</f>
        <v>-2.6127525585576106E-3</v>
      </c>
      <c r="Q1102" s="8">
        <f t="shared" si="114"/>
        <v>6.8264759322493404E-6</v>
      </c>
      <c r="X1102" t="s">
        <v>953</v>
      </c>
      <c r="Y1102">
        <v>38.173299999999998</v>
      </c>
      <c r="Z1102" s="48">
        <f t="shared" si="112"/>
        <v>1.9317737410005087E-3</v>
      </c>
      <c r="AA1102" s="5">
        <f>Z1102-Y1274</f>
        <v>-2.2855457282736254E-3</v>
      </c>
    </row>
    <row r="1103" spans="1:27">
      <c r="A1103" s="3" t="s">
        <v>957</v>
      </c>
      <c r="B1103" s="222">
        <v>37.06</v>
      </c>
      <c r="C1103" s="227">
        <f t="shared" si="109"/>
        <v>-1.616379310344751E-3</v>
      </c>
      <c r="D1103" s="5">
        <f>C1103-C1275</f>
        <v>-1.6944248799036403E-3</v>
      </c>
      <c r="E1103" s="1"/>
      <c r="F1103" s="8"/>
      <c r="H1103" t="s">
        <v>956</v>
      </c>
      <c r="I1103">
        <v>30.59</v>
      </c>
      <c r="J1103" s="227">
        <f t="shared" si="110"/>
        <v>5.847750865051915E-2</v>
      </c>
      <c r="K1103" s="5">
        <f>J1103-J1276</f>
        <v>5.6341552734909192E-2</v>
      </c>
      <c r="M1103" s="240" t="s">
        <v>954</v>
      </c>
      <c r="N1103">
        <v>3315.57</v>
      </c>
      <c r="O1103" s="227">
        <f t="shared" si="111"/>
        <v>2.4297789256453761E-2</v>
      </c>
      <c r="P1103" s="5">
        <f>O1103-O1278</f>
        <v>2.4663546457366934E-2</v>
      </c>
      <c r="Q1103" s="8">
        <f t="shared" si="114"/>
        <v>6.0829052385469708E-4</v>
      </c>
      <c r="X1103" t="s">
        <v>954</v>
      </c>
      <c r="Y1103">
        <v>39.071899999999999</v>
      </c>
      <c r="Z1103" s="48">
        <f t="shared" si="112"/>
        <v>2.3540013569694151E-2</v>
      </c>
      <c r="AA1103" s="5">
        <f>Z1103-Y1274</f>
        <v>1.9322694100420017E-2</v>
      </c>
    </row>
    <row r="1104" spans="1:27">
      <c r="A1104" s="3" t="s">
        <v>958</v>
      </c>
      <c r="B1104" s="222">
        <v>37.659999999999997</v>
      </c>
      <c r="C1104" s="227">
        <f t="shared" si="109"/>
        <v>1.6189962223421395E-2</v>
      </c>
      <c r="D1104" s="5">
        <f>C1104-C1275</f>
        <v>1.6111916653862506E-2</v>
      </c>
      <c r="F1104" s="8"/>
      <c r="H1104" t="s">
        <v>957</v>
      </c>
      <c r="I1104">
        <v>31.24</v>
      </c>
      <c r="J1104" s="227">
        <f t="shared" si="110"/>
        <v>2.1248774109186019E-2</v>
      </c>
      <c r="K1104" s="5">
        <f>J1104-J1276</f>
        <v>1.9112818193576062E-2</v>
      </c>
      <c r="M1104" s="240" t="s">
        <v>955</v>
      </c>
      <c r="N1104">
        <v>3281.06</v>
      </c>
      <c r="O1104" s="227">
        <f t="shared" si="111"/>
        <v>-1.0408466719146414E-2</v>
      </c>
      <c r="P1104" s="5">
        <f>O1104-O1278</f>
        <v>-1.0042709518233243E-2</v>
      </c>
      <c r="Q1104" s="8">
        <f t="shared" si="114"/>
        <v>1.0085601446761258E-4</v>
      </c>
      <c r="X1104" t="s">
        <v>955</v>
      </c>
      <c r="Y1104">
        <v>38.932099999999998</v>
      </c>
      <c r="Z1104" s="48">
        <f t="shared" si="112"/>
        <v>-3.5780189855113553E-3</v>
      </c>
      <c r="AA1104" s="5">
        <f>Z1104-Y1274</f>
        <v>-7.7953384547854894E-3</v>
      </c>
    </row>
    <row r="1105" spans="1:27">
      <c r="A1105" s="3" t="s">
        <v>959</v>
      </c>
      <c r="B1105" s="222">
        <v>37.47</v>
      </c>
      <c r="C1105" s="227">
        <f t="shared" si="109"/>
        <v>-5.045140732872988E-3</v>
      </c>
      <c r="D1105" s="5">
        <f>C1105-C1275</f>
        <v>-5.1231863024318773E-3</v>
      </c>
      <c r="F1105" s="8"/>
      <c r="H1105" t="s">
        <v>958</v>
      </c>
      <c r="I1105">
        <v>30.7</v>
      </c>
      <c r="J1105" s="227">
        <f t="shared" si="110"/>
        <v>-1.7285531370038409E-2</v>
      </c>
      <c r="K1105" s="5">
        <f>J1105-J1276</f>
        <v>-1.9421487285648367E-2</v>
      </c>
      <c r="M1105" s="240" t="s">
        <v>956</v>
      </c>
      <c r="N1105">
        <v>3319.47</v>
      </c>
      <c r="O1105" s="227">
        <f t="shared" si="111"/>
        <v>1.1706582628784545E-2</v>
      </c>
      <c r="P1105" s="5">
        <f>O1105-O1278</f>
        <v>1.2072339829697716E-2</v>
      </c>
      <c r="Q1105" s="8">
        <f t="shared" si="114"/>
        <v>1.457413889637059E-4</v>
      </c>
      <c r="X1105" t="s">
        <v>956</v>
      </c>
      <c r="Y1105">
        <v>40.245899999999999</v>
      </c>
      <c r="Z1105" s="48">
        <f t="shared" si="112"/>
        <v>3.3745932020106784E-2</v>
      </c>
      <c r="AA1105" s="5">
        <f>Z1105-Y1274</f>
        <v>2.952861255083265E-2</v>
      </c>
    </row>
    <row r="1106" spans="1:27">
      <c r="A1106" s="3" t="s">
        <v>960</v>
      </c>
      <c r="B1106" s="222">
        <v>37.950000000000003</v>
      </c>
      <c r="C1106" s="227">
        <f t="shared" ref="C1106:C1169" si="115">B1106/B1105-1</f>
        <v>1.2810248198559027E-2</v>
      </c>
      <c r="D1106" s="5">
        <f>C1106-C1275</f>
        <v>1.2732202629000138E-2</v>
      </c>
      <c r="F1106" s="8"/>
      <c r="H1106" t="s">
        <v>959</v>
      </c>
      <c r="I1106">
        <v>30.23</v>
      </c>
      <c r="J1106" s="227">
        <f t="shared" si="110"/>
        <v>-1.5309446254071601E-2</v>
      </c>
      <c r="K1106" s="5">
        <f>J1106-J1276</f>
        <v>-1.7445402169681559E-2</v>
      </c>
      <c r="M1106" s="240" t="s">
        <v>957</v>
      </c>
      <c r="N1106">
        <v>3357.01</v>
      </c>
      <c r="O1106" s="227">
        <f t="shared" si="111"/>
        <v>1.1309034273543794E-2</v>
      </c>
      <c r="P1106" s="5">
        <f>O1106-O1278</f>
        <v>1.1674791474456965E-2</v>
      </c>
      <c r="Q1106" s="8">
        <f t="shared" si="114"/>
        <v>1.3630075597205306E-4</v>
      </c>
      <c r="X1106" t="s">
        <v>957</v>
      </c>
      <c r="Y1106">
        <v>40.218200000000003</v>
      </c>
      <c r="Z1106" s="48">
        <f t="shared" si="112"/>
        <v>-6.8826886713913016E-4</v>
      </c>
      <c r="AA1106" s="5">
        <f>Z1106-Y1274</f>
        <v>-4.9055883364132642E-3</v>
      </c>
    </row>
    <row r="1107" spans="1:27">
      <c r="A1107" s="220">
        <v>44144</v>
      </c>
      <c r="B1107" s="222">
        <v>36.979999999999997</v>
      </c>
      <c r="C1107" s="227">
        <f t="shared" si="115"/>
        <v>-2.5559947299077845E-2</v>
      </c>
      <c r="D1107" s="5">
        <f>C1107-C1275</f>
        <v>-2.5637992868636734E-2</v>
      </c>
      <c r="F1107" s="8"/>
      <c r="H1107" t="s">
        <v>960</v>
      </c>
      <c r="I1107">
        <v>31.97</v>
      </c>
      <c r="J1107" s="227">
        <f t="shared" si="110"/>
        <v>5.7558716506781238E-2</v>
      </c>
      <c r="K1107" s="5">
        <f>J1107-J1276</f>
        <v>5.542276059117128E-2</v>
      </c>
      <c r="M1107" s="240" t="s">
        <v>958</v>
      </c>
      <c r="N1107">
        <v>3385.49</v>
      </c>
      <c r="O1107" s="227">
        <f t="shared" si="111"/>
        <v>8.4837399948167747E-3</v>
      </c>
      <c r="P1107" s="5">
        <f>O1107-O1278</f>
        <v>8.8494971957299457E-3</v>
      </c>
      <c r="Q1107" s="8">
        <f t="shared" si="114"/>
        <v>7.8313600617232172E-5</v>
      </c>
      <c r="X1107" t="s">
        <v>958</v>
      </c>
      <c r="Y1107">
        <v>40.333399999999997</v>
      </c>
      <c r="Z1107" s="48">
        <f t="shared" si="112"/>
        <v>2.8643748352734644E-3</v>
      </c>
      <c r="AA1107" s="5">
        <f>Z1107-Y1274</f>
        <v>-1.3529446340006697E-3</v>
      </c>
    </row>
    <row r="1108" spans="1:27">
      <c r="A1108" s="220">
        <v>44113</v>
      </c>
      <c r="B1108" s="222">
        <v>35.979999999999997</v>
      </c>
      <c r="C1108" s="227">
        <f t="shared" si="115"/>
        <v>-2.7041644131963194E-2</v>
      </c>
      <c r="D1108" s="5">
        <f>C1108-C1275</f>
        <v>-2.7119689701522082E-2</v>
      </c>
      <c r="F1108" s="8"/>
      <c r="H1108" s="1">
        <v>44144</v>
      </c>
      <c r="I1108">
        <v>30.76</v>
      </c>
      <c r="J1108" s="227">
        <f t="shared" ref="J1108:J1171" si="116">I1108/I1107-1</f>
        <v>-3.7847982483578235E-2</v>
      </c>
      <c r="K1108" s="5">
        <f>J1108-J1276</f>
        <v>-3.9983938399188193E-2</v>
      </c>
      <c r="M1108" s="240" t="s">
        <v>959</v>
      </c>
      <c r="N1108">
        <v>3401.2</v>
      </c>
      <c r="O1108" s="227">
        <f t="shared" si="111"/>
        <v>4.640391789667131E-3</v>
      </c>
      <c r="P1108" s="5">
        <f>O1108-O1278</f>
        <v>5.0061489905803029E-3</v>
      </c>
      <c r="Q1108" s="8">
        <f t="shared" si="114"/>
        <v>2.5061527715888186E-5</v>
      </c>
      <c r="X1108" t="s">
        <v>959</v>
      </c>
      <c r="Y1108">
        <v>40.374000000000002</v>
      </c>
      <c r="Z1108" s="48">
        <f t="shared" si="112"/>
        <v>1.0066099064300893E-3</v>
      </c>
      <c r="AA1108" s="5">
        <f>Z1108-Y1274</f>
        <v>-3.2107095628440448E-3</v>
      </c>
    </row>
    <row r="1109" spans="1:27">
      <c r="A1109" s="220">
        <v>44083</v>
      </c>
      <c r="B1109" s="222">
        <v>35.01</v>
      </c>
      <c r="C1109" s="227">
        <f t="shared" si="115"/>
        <v>-2.6959421901056158E-2</v>
      </c>
      <c r="D1109" s="5">
        <f>C1109-C1275</f>
        <v>-2.7037467470615046E-2</v>
      </c>
      <c r="F1109" s="8"/>
      <c r="H1109" s="1">
        <v>44113</v>
      </c>
      <c r="I1109">
        <v>29.51</v>
      </c>
      <c r="J1109" s="227">
        <f t="shared" si="116"/>
        <v>-4.0637191157347208E-2</v>
      </c>
      <c r="K1109" s="5">
        <f>J1109-J1276</f>
        <v>-4.2773147072957166E-2</v>
      </c>
      <c r="M1109" s="240" t="s">
        <v>960</v>
      </c>
      <c r="N1109">
        <v>3383.54</v>
      </c>
      <c r="O1109" s="227">
        <f t="shared" si="111"/>
        <v>-5.1922850758555628E-3</v>
      </c>
      <c r="P1109" s="5">
        <f>O1109-O1278</f>
        <v>-4.8265278749423908E-3</v>
      </c>
      <c r="Q1109" s="8">
        <f t="shared" si="114"/>
        <v>2.3295371327595913E-5</v>
      </c>
      <c r="X1109" t="s">
        <v>960</v>
      </c>
      <c r="Y1109">
        <v>39.887300000000003</v>
      </c>
      <c r="Z1109" s="48">
        <f t="shared" si="112"/>
        <v>-1.2054787734680716E-2</v>
      </c>
      <c r="AA1109" s="5">
        <f>Z1109-Y1274</f>
        <v>-1.627210720395485E-2</v>
      </c>
    </row>
    <row r="1110" spans="1:27">
      <c r="A1110" s="220">
        <v>44052</v>
      </c>
      <c r="B1110" s="222">
        <v>34.32</v>
      </c>
      <c r="C1110" s="227">
        <f t="shared" si="115"/>
        <v>-1.9708654670094194E-2</v>
      </c>
      <c r="D1110" s="5">
        <f>C1110-C1275</f>
        <v>-1.9786700239653083E-2</v>
      </c>
      <c r="F1110" s="8"/>
      <c r="H1110" s="1">
        <v>44083</v>
      </c>
      <c r="I1110">
        <v>29.87</v>
      </c>
      <c r="J1110" s="227">
        <f t="shared" si="116"/>
        <v>1.2199254490003364E-2</v>
      </c>
      <c r="K1110" s="5">
        <f>J1110-J1276</f>
        <v>1.0063298574393406E-2</v>
      </c>
      <c r="M1110" s="241">
        <v>44144</v>
      </c>
      <c r="N1110">
        <v>3340.97</v>
      </c>
      <c r="O1110" s="227">
        <f t="shared" ref="O1110:O1173" si="117">N1110/N1109-1</f>
        <v>-1.2581497484882798E-2</v>
      </c>
      <c r="P1110" s="5">
        <f>O1110-O1278</f>
        <v>-1.2215740283969627E-2</v>
      </c>
      <c r="Q1110" s="8">
        <f t="shared" si="114"/>
        <v>1.4922431068539833E-4</v>
      </c>
      <c r="X1110" s="1">
        <v>44144</v>
      </c>
      <c r="Y1110">
        <v>39.5426</v>
      </c>
      <c r="Z1110" s="48">
        <f t="shared" ref="Z1110:Z1173" si="118">Y1110/Y1109-1</f>
        <v>-8.6418484078892854E-3</v>
      </c>
      <c r="AA1110" s="5">
        <f>Z1110-Y1274</f>
        <v>-1.2859167877163419E-2</v>
      </c>
    </row>
    <row r="1111" spans="1:27">
      <c r="A1111" s="220">
        <v>43930</v>
      </c>
      <c r="B1111" s="222">
        <v>33.24</v>
      </c>
      <c r="C1111" s="227">
        <f t="shared" si="115"/>
        <v>-3.1468531468531458E-2</v>
      </c>
      <c r="D1111" s="5">
        <f>C1111-C1275</f>
        <v>-3.154657703809035E-2</v>
      </c>
      <c r="F1111" s="8"/>
      <c r="H1111" s="1">
        <v>44052</v>
      </c>
      <c r="I1111">
        <v>30.1</v>
      </c>
      <c r="J1111" s="227">
        <f t="shared" si="116"/>
        <v>7.7000334784065316E-3</v>
      </c>
      <c r="K1111" s="5">
        <f>J1111-J1276</f>
        <v>5.5640775627965738E-3</v>
      </c>
      <c r="M1111" s="241">
        <v>44113</v>
      </c>
      <c r="N1111">
        <v>3339.19</v>
      </c>
      <c r="O1111" s="227">
        <f t="shared" si="117"/>
        <v>-5.3277940238904975E-4</v>
      </c>
      <c r="P1111" s="5">
        <f>O1111-O1278</f>
        <v>-1.670222014758782E-4</v>
      </c>
      <c r="Q1111" s="8">
        <f t="shared" ref="Q1111:Q1174" si="119">P1111*P1111</f>
        <v>2.7896415785848853E-8</v>
      </c>
      <c r="X1111" s="1">
        <v>44113</v>
      </c>
      <c r="Y1111">
        <v>39.756100000000004</v>
      </c>
      <c r="Z1111" s="48">
        <f t="shared" si="118"/>
        <v>5.3992403129790034E-3</v>
      </c>
      <c r="AA1111" s="5">
        <f>Z1111-Y1274</f>
        <v>1.1819208437048694E-3</v>
      </c>
    </row>
    <row r="1112" spans="1:27">
      <c r="A1112" s="220">
        <v>43899</v>
      </c>
      <c r="B1112" s="222">
        <v>33.409999999999997</v>
      </c>
      <c r="C1112" s="227">
        <f t="shared" si="115"/>
        <v>5.1143200962693314E-3</v>
      </c>
      <c r="D1112" s="5">
        <f>C1112-C1275</f>
        <v>5.0362745267104421E-3</v>
      </c>
      <c r="F1112" s="8"/>
      <c r="H1112" s="1">
        <v>43930</v>
      </c>
      <c r="I1112">
        <v>28.97</v>
      </c>
      <c r="J1112" s="227">
        <f t="shared" si="116"/>
        <v>-3.7541528239202759E-2</v>
      </c>
      <c r="K1112" s="5">
        <f>J1112-J1276</f>
        <v>-3.9677484154812717E-2</v>
      </c>
      <c r="M1112" s="241">
        <v>44083</v>
      </c>
      <c r="N1112">
        <v>3398.96</v>
      </c>
      <c r="O1112" s="227">
        <f t="shared" si="117"/>
        <v>1.7899550489789418E-2</v>
      </c>
      <c r="P1112" s="5">
        <f>O1112-O1278</f>
        <v>1.826530769070259E-2</v>
      </c>
      <c r="Q1112" s="8">
        <f t="shared" si="119"/>
        <v>3.3362146503603917E-4</v>
      </c>
      <c r="X1112" s="1">
        <v>44083</v>
      </c>
      <c r="Y1112">
        <v>40.301400000000001</v>
      </c>
      <c r="Z1112" s="48">
        <f t="shared" si="118"/>
        <v>1.3716134127844448E-2</v>
      </c>
      <c r="AA1112" s="5">
        <f>Z1112-Y1274</f>
        <v>9.4988146585703141E-3</v>
      </c>
    </row>
    <row r="1113" spans="1:27">
      <c r="A1113" s="220">
        <v>43870</v>
      </c>
      <c r="B1113" s="222">
        <v>34.369999999999997</v>
      </c>
      <c r="C1113" s="227">
        <f t="shared" si="115"/>
        <v>2.8733912002394613E-2</v>
      </c>
      <c r="D1113" s="5">
        <f>C1113-C1275</f>
        <v>2.8655866432835724E-2</v>
      </c>
      <c r="F1113" s="8"/>
      <c r="H1113" s="1">
        <v>43899</v>
      </c>
      <c r="I1113">
        <v>28.56</v>
      </c>
      <c r="J1113" s="227">
        <f t="shared" si="116"/>
        <v>-1.4152571625819843E-2</v>
      </c>
      <c r="K1113" s="5">
        <f>J1113-J1276</f>
        <v>-1.6288527541429801E-2</v>
      </c>
      <c r="M1113" s="241">
        <v>44052</v>
      </c>
      <c r="N1113">
        <v>3331.84</v>
      </c>
      <c r="O1113" s="227">
        <f t="shared" si="117"/>
        <v>-1.9747216795725664E-2</v>
      </c>
      <c r="P1113" s="5">
        <f>O1113-O1278</f>
        <v>-1.9381459594812491E-2</v>
      </c>
      <c r="Q1113" s="8">
        <f t="shared" si="119"/>
        <v>3.7564097602534919E-4</v>
      </c>
      <c r="X1113" s="1">
        <v>44052</v>
      </c>
      <c r="Y1113">
        <v>38.7774</v>
      </c>
      <c r="Z1113" s="48">
        <f t="shared" si="118"/>
        <v>-3.7815063496553503E-2</v>
      </c>
      <c r="AA1113" s="5">
        <f>Z1113-Y1274</f>
        <v>-4.2032382965827633E-2</v>
      </c>
    </row>
    <row r="1114" spans="1:27">
      <c r="A1114" s="220">
        <v>43839</v>
      </c>
      <c r="B1114" s="222">
        <v>34.299999999999997</v>
      </c>
      <c r="C1114" s="227">
        <f t="shared" si="115"/>
        <v>-2.0366598778004397E-3</v>
      </c>
      <c r="D1114" s="5">
        <f>C1114-C1275</f>
        <v>-2.114705447359329E-3</v>
      </c>
      <c r="F1114" s="8"/>
      <c r="H1114" s="1">
        <v>43870</v>
      </c>
      <c r="I1114">
        <v>28.61</v>
      </c>
      <c r="J1114" s="227">
        <f t="shared" si="116"/>
        <v>1.7507002801120386E-3</v>
      </c>
      <c r="K1114" s="5">
        <f>J1114-J1276</f>
        <v>-3.8525563549791919E-4</v>
      </c>
      <c r="M1114" s="241">
        <v>43930</v>
      </c>
      <c r="N1114">
        <v>3426.96</v>
      </c>
      <c r="O1114" s="227">
        <f t="shared" si="117"/>
        <v>2.8548789857856249E-2</v>
      </c>
      <c r="P1114" s="5">
        <f>O1114-O1278</f>
        <v>2.8914547058769422E-2</v>
      </c>
      <c r="Q1114" s="8">
        <f t="shared" si="119"/>
        <v>8.3605103161379143E-4</v>
      </c>
      <c r="X1114" s="1">
        <v>43930</v>
      </c>
      <c r="Y1114">
        <v>38.746400000000001</v>
      </c>
      <c r="Z1114" s="48">
        <f t="shared" si="118"/>
        <v>-7.9943472228660717E-4</v>
      </c>
      <c r="AA1114" s="5">
        <f>Z1114-Y1274</f>
        <v>-5.0167541915607412E-3</v>
      </c>
    </row>
    <row r="1115" spans="1:27">
      <c r="A1115" s="3" t="s">
        <v>961</v>
      </c>
      <c r="B1115" s="222">
        <v>33.630000000000003</v>
      </c>
      <c r="C1115" s="227">
        <f t="shared" si="115"/>
        <v>-1.9533527696792841E-2</v>
      </c>
      <c r="D1115" s="5">
        <f>C1115-C1275</f>
        <v>-1.9611573266351729E-2</v>
      </c>
      <c r="F1115" s="8"/>
      <c r="H1115" s="1">
        <v>43839</v>
      </c>
      <c r="I1115">
        <v>29.43</v>
      </c>
      <c r="J1115" s="227">
        <f t="shared" si="116"/>
        <v>2.8661307235232414E-2</v>
      </c>
      <c r="K1115" s="5">
        <f>J1115-J1276</f>
        <v>2.6525351319622456E-2</v>
      </c>
      <c r="M1115" s="241">
        <v>43899</v>
      </c>
      <c r="N1115">
        <v>3455.06</v>
      </c>
      <c r="O1115" s="227">
        <f t="shared" si="117"/>
        <v>8.1996871863108112E-3</v>
      </c>
      <c r="P1115" s="5">
        <f>O1115-O1278</f>
        <v>8.5654443872239822E-3</v>
      </c>
      <c r="Q1115" s="8">
        <f t="shared" si="119"/>
        <v>7.3366837550626823E-5</v>
      </c>
      <c r="X1115" s="1">
        <v>43899</v>
      </c>
      <c r="Y1115">
        <v>39.285400000000003</v>
      </c>
      <c r="Z1115" s="48">
        <f t="shared" si="118"/>
        <v>1.3910969793322847E-2</v>
      </c>
      <c r="AA1115" s="5">
        <f>Z1115-Y1274</f>
        <v>9.693650324048713E-3</v>
      </c>
    </row>
    <row r="1116" spans="1:27">
      <c r="A1116" s="3" t="s">
        <v>962</v>
      </c>
      <c r="B1116" s="222">
        <v>33.799999999999997</v>
      </c>
      <c r="C1116" s="227">
        <f t="shared" si="115"/>
        <v>5.0550104073741053E-3</v>
      </c>
      <c r="D1116" s="5">
        <f>C1116-C1275</f>
        <v>4.976964837815216E-3</v>
      </c>
      <c r="F1116" s="8"/>
      <c r="H1116" t="s">
        <v>961</v>
      </c>
      <c r="I1116">
        <v>29.67</v>
      </c>
      <c r="J1116" s="227">
        <f t="shared" si="116"/>
        <v>8.1549439347605723E-3</v>
      </c>
      <c r="K1116" s="5">
        <f>J1116-J1276</f>
        <v>6.0189880191506145E-3</v>
      </c>
      <c r="M1116" s="241">
        <v>43870</v>
      </c>
      <c r="N1116">
        <v>3580.84</v>
      </c>
      <c r="O1116" s="227">
        <f t="shared" si="117"/>
        <v>3.6404577633962987E-2</v>
      </c>
      <c r="P1116" s="5">
        <f>O1116-O1278</f>
        <v>3.6770334834876156E-2</v>
      </c>
      <c r="Q1116" s="8">
        <f t="shared" si="119"/>
        <v>1.3520575238689068E-3</v>
      </c>
      <c r="X1116" s="1">
        <v>43870</v>
      </c>
      <c r="Y1116">
        <v>40.139200000000002</v>
      </c>
      <c r="Z1116" s="48">
        <f t="shared" si="118"/>
        <v>2.1733264775209094E-2</v>
      </c>
      <c r="AA1116" s="5">
        <f>Z1116-Y1274</f>
        <v>1.7515945305934959E-2</v>
      </c>
    </row>
    <row r="1117" spans="1:27">
      <c r="A1117" s="3" t="s">
        <v>963</v>
      </c>
      <c r="B1117" s="222">
        <v>32.799999999999997</v>
      </c>
      <c r="C1117" s="227">
        <f t="shared" si="115"/>
        <v>-2.9585798816568087E-2</v>
      </c>
      <c r="D1117" s="5">
        <f>C1117-C1275</f>
        <v>-2.9663844386126976E-2</v>
      </c>
      <c r="E1117" s="1"/>
      <c r="F1117" s="8"/>
      <c r="H1117" t="s">
        <v>962</v>
      </c>
      <c r="I1117">
        <v>30.77</v>
      </c>
      <c r="J1117" s="227">
        <f t="shared" si="116"/>
        <v>3.7074486012807384E-2</v>
      </c>
      <c r="K1117" s="5">
        <f>J1117-J1276</f>
        <v>3.4938530097197426E-2</v>
      </c>
      <c r="M1117" s="241">
        <v>43839</v>
      </c>
      <c r="N1117">
        <v>3526.65</v>
      </c>
      <c r="O1117" s="227">
        <f t="shared" si="117"/>
        <v>-1.5133320673361594E-2</v>
      </c>
      <c r="P1117" s="5">
        <f>O1117-O1278</f>
        <v>-1.4767563472448423E-2</v>
      </c>
      <c r="Q1117" s="8">
        <f t="shared" si="119"/>
        <v>2.1808093091279292E-4</v>
      </c>
      <c r="X1117" s="1">
        <v>43839</v>
      </c>
      <c r="Y1117">
        <v>39.098599999999998</v>
      </c>
      <c r="Z1117" s="48">
        <f t="shared" si="118"/>
        <v>-2.59247817594771E-2</v>
      </c>
      <c r="AA1117" s="5">
        <f>Z1117-Y1274</f>
        <v>-3.0142101228751234E-2</v>
      </c>
    </row>
    <row r="1118" spans="1:27">
      <c r="A1118" s="3" t="s">
        <v>964</v>
      </c>
      <c r="B1118" s="222">
        <v>32.299999999999997</v>
      </c>
      <c r="C1118" s="227">
        <f t="shared" si="115"/>
        <v>-1.5243902439024404E-2</v>
      </c>
      <c r="D1118" s="5">
        <f>C1118-C1275</f>
        <v>-1.5321948008583292E-2</v>
      </c>
      <c r="E1118" s="1"/>
      <c r="F1118" s="8"/>
      <c r="H1118" t="s">
        <v>963</v>
      </c>
      <c r="I1118">
        <v>29.7</v>
      </c>
      <c r="J1118" s="227">
        <f t="shared" si="116"/>
        <v>-3.4774130646733847E-2</v>
      </c>
      <c r="K1118" s="5">
        <f>J1118-J1276</f>
        <v>-3.6910086562343805E-2</v>
      </c>
      <c r="M1118" s="240" t="s">
        <v>961</v>
      </c>
      <c r="N1118">
        <v>3500.31</v>
      </c>
      <c r="O1118" s="227">
        <f t="shared" si="117"/>
        <v>-7.4688443707201513E-3</v>
      </c>
      <c r="P1118" s="5">
        <f>O1118-O1278</f>
        <v>-7.1030871698069794E-3</v>
      </c>
      <c r="Q1118" s="8">
        <f t="shared" si="119"/>
        <v>5.0453847341876521E-5</v>
      </c>
      <c r="X1118" t="s">
        <v>961</v>
      </c>
      <c r="Y1118">
        <v>37.875599999999999</v>
      </c>
      <c r="Z1118" s="48">
        <f t="shared" si="118"/>
        <v>-3.1279892374662999E-2</v>
      </c>
      <c r="AA1118" s="5">
        <f>Z1118-Y1274</f>
        <v>-3.5497211843937129E-2</v>
      </c>
    </row>
    <row r="1119" spans="1:27">
      <c r="A1119" s="3" t="s">
        <v>965</v>
      </c>
      <c r="B1119" s="222">
        <v>31.19</v>
      </c>
      <c r="C1119" s="227">
        <f t="shared" si="115"/>
        <v>-3.4365325077399311E-2</v>
      </c>
      <c r="D1119" s="5">
        <f>C1119-C1275</f>
        <v>-3.4443370646958203E-2</v>
      </c>
      <c r="E1119" s="1"/>
      <c r="F1119" s="8"/>
      <c r="H1119" t="s">
        <v>964</v>
      </c>
      <c r="I1119">
        <v>29.52</v>
      </c>
      <c r="J1119" s="227">
        <f t="shared" si="116"/>
        <v>-6.0606060606060996E-3</v>
      </c>
      <c r="K1119" s="5">
        <f>J1119-J1276</f>
        <v>-8.1965619762160574E-3</v>
      </c>
      <c r="M1119" s="240" t="s">
        <v>962</v>
      </c>
      <c r="N1119">
        <v>3508.01</v>
      </c>
      <c r="O1119" s="227">
        <f t="shared" si="117"/>
        <v>2.1998051601144208E-3</v>
      </c>
      <c r="P1119" s="5">
        <f>O1119-O1278</f>
        <v>2.5655623610275923E-3</v>
      </c>
      <c r="Q1119" s="8">
        <f t="shared" si="119"/>
        <v>6.5821102283214739E-6</v>
      </c>
      <c r="X1119" t="s">
        <v>962</v>
      </c>
      <c r="Y1119">
        <v>38.1477</v>
      </c>
      <c r="Z1119" s="48">
        <f t="shared" si="118"/>
        <v>7.1840446091944177E-3</v>
      </c>
      <c r="AA1119" s="5">
        <f>Z1119-Y1274</f>
        <v>2.9667251399202836E-3</v>
      </c>
    </row>
    <row r="1120" spans="1:27">
      <c r="A1120" s="3" t="s">
        <v>966</v>
      </c>
      <c r="B1120" s="222">
        <v>31.04</v>
      </c>
      <c r="C1120" s="227">
        <f t="shared" si="115"/>
        <v>-4.809233728759299E-3</v>
      </c>
      <c r="D1120" s="5">
        <f>C1120-C1275</f>
        <v>-4.8872792983181883E-3</v>
      </c>
      <c r="E1120" s="1"/>
      <c r="F1120" s="8"/>
      <c r="H1120" t="s">
        <v>965</v>
      </c>
      <c r="I1120">
        <v>29.01</v>
      </c>
      <c r="J1120" s="227">
        <f t="shared" si="116"/>
        <v>-1.7276422764227584E-2</v>
      </c>
      <c r="K1120" s="5">
        <f>J1120-J1276</f>
        <v>-1.9412378679837541E-2</v>
      </c>
      <c r="M1120" s="240" t="s">
        <v>963</v>
      </c>
      <c r="N1120">
        <v>3484.55</v>
      </c>
      <c r="O1120" s="227">
        <f t="shared" si="117"/>
        <v>-6.6875522019607114E-3</v>
      </c>
      <c r="P1120" s="5">
        <f>O1120-O1278</f>
        <v>-6.3217950010475395E-3</v>
      </c>
      <c r="Q1120" s="8">
        <f t="shared" si="119"/>
        <v>3.9965092035269658E-5</v>
      </c>
      <c r="X1120" t="s">
        <v>963</v>
      </c>
      <c r="Y1120">
        <v>37.831800000000001</v>
      </c>
      <c r="Z1120" s="48">
        <f t="shared" si="118"/>
        <v>-8.2809710677183013E-3</v>
      </c>
      <c r="AA1120" s="5">
        <f>Z1120-Y1274</f>
        <v>-1.2498290536992435E-2</v>
      </c>
    </row>
    <row r="1121" spans="1:27">
      <c r="A1121" s="3" t="s">
        <v>967</v>
      </c>
      <c r="B1121" s="222">
        <v>30.83</v>
      </c>
      <c r="C1121" s="227">
        <f t="shared" si="115"/>
        <v>-6.7654639175257492E-3</v>
      </c>
      <c r="D1121" s="5">
        <f>C1121-C1275</f>
        <v>-6.8435094870846385E-3</v>
      </c>
      <c r="E1121" s="1"/>
      <c r="F1121" s="8"/>
      <c r="H1121" t="s">
        <v>966</v>
      </c>
      <c r="I1121">
        <v>28.98</v>
      </c>
      <c r="J1121" s="227">
        <f t="shared" si="116"/>
        <v>-1.0341261633919352E-3</v>
      </c>
      <c r="K1121" s="5">
        <f>J1121-J1276</f>
        <v>-3.170082079001893E-3</v>
      </c>
      <c r="M1121" s="240" t="s">
        <v>964</v>
      </c>
      <c r="N1121">
        <v>3478.73</v>
      </c>
      <c r="O1121" s="227">
        <f t="shared" si="117"/>
        <v>-1.670230015353491E-3</v>
      </c>
      <c r="P1121" s="5">
        <f>O1121-O1278</f>
        <v>-1.3044728144403195E-3</v>
      </c>
      <c r="Q1121" s="8">
        <f t="shared" si="119"/>
        <v>1.7016493236138484E-6</v>
      </c>
      <c r="X1121" t="s">
        <v>964</v>
      </c>
      <c r="Y1121">
        <v>37.421999999999997</v>
      </c>
      <c r="Z1121" s="48">
        <f t="shared" si="118"/>
        <v>-1.0832157074207482E-2</v>
      </c>
      <c r="AA1121" s="5">
        <f>Z1121-Y1274</f>
        <v>-1.5049476543481616E-2</v>
      </c>
    </row>
    <row r="1122" spans="1:27">
      <c r="A1122" s="3" t="s">
        <v>968</v>
      </c>
      <c r="B1122" s="222">
        <v>31.41</v>
      </c>
      <c r="C1122" s="227">
        <f t="shared" si="115"/>
        <v>1.8812844631852066E-2</v>
      </c>
      <c r="D1122" s="5">
        <f>C1122-C1275</f>
        <v>1.8734799062293177E-2</v>
      </c>
      <c r="E1122" s="1"/>
      <c r="F1122" s="8"/>
      <c r="H1122" t="s">
        <v>967</v>
      </c>
      <c r="I1122">
        <v>28.93</v>
      </c>
      <c r="J1122" s="227">
        <f t="shared" si="116"/>
        <v>-1.7253278122844051E-3</v>
      </c>
      <c r="K1122" s="5">
        <f>J1122-J1276</f>
        <v>-3.8612837278943629E-3</v>
      </c>
      <c r="M1122" s="240" t="s">
        <v>965</v>
      </c>
      <c r="N1122">
        <v>3443.62</v>
      </c>
      <c r="O1122" s="227">
        <f t="shared" si="117"/>
        <v>-1.0092763738490773E-2</v>
      </c>
      <c r="P1122" s="5">
        <f>O1122-O1278</f>
        <v>-9.7270065375776021E-3</v>
      </c>
      <c r="Q1122" s="8">
        <f t="shared" si="119"/>
        <v>9.461465618207741E-5</v>
      </c>
      <c r="X1122" t="s">
        <v>965</v>
      </c>
      <c r="Y1122">
        <v>37.715499999999999</v>
      </c>
      <c r="Z1122" s="48">
        <f t="shared" si="118"/>
        <v>7.8429800652022319E-3</v>
      </c>
      <c r="AA1122" s="5">
        <f>Z1122-Y1274</f>
        <v>3.6256605959280978E-3</v>
      </c>
    </row>
    <row r="1123" spans="1:27">
      <c r="A1123" s="3" t="s">
        <v>969</v>
      </c>
      <c r="B1123" s="222">
        <v>29.42</v>
      </c>
      <c r="C1123" s="227">
        <f t="shared" si="115"/>
        <v>-6.3355619229544691E-2</v>
      </c>
      <c r="D1123" s="5">
        <f>C1123-C1275</f>
        <v>-6.3433664799103576E-2</v>
      </c>
      <c r="E1123" s="1"/>
      <c r="F1123" s="8"/>
      <c r="H1123" t="s">
        <v>968</v>
      </c>
      <c r="I1123">
        <v>29.76</v>
      </c>
      <c r="J1123" s="227">
        <f t="shared" si="116"/>
        <v>2.8689941237469929E-2</v>
      </c>
      <c r="K1123" s="5">
        <f>J1123-J1276</f>
        <v>2.6553985321859971E-2</v>
      </c>
      <c r="M1123" s="240" t="s">
        <v>966</v>
      </c>
      <c r="N1123">
        <v>3431.28</v>
      </c>
      <c r="O1123" s="227">
        <f t="shared" si="117"/>
        <v>-3.5834383584715246E-3</v>
      </c>
      <c r="P1123" s="5">
        <f>O1123-O1278</f>
        <v>-3.2176811575583531E-3</v>
      </c>
      <c r="Q1123" s="8">
        <f t="shared" si="119"/>
        <v>1.0353472031706063E-5</v>
      </c>
      <c r="X1123" t="s">
        <v>966</v>
      </c>
      <c r="Y1123">
        <v>37.899000000000001</v>
      </c>
      <c r="Z1123" s="48">
        <f t="shared" si="118"/>
        <v>4.8653736527421998E-3</v>
      </c>
      <c r="AA1123" s="5">
        <f>Z1123-Y1274</f>
        <v>6.4805418346806573E-4</v>
      </c>
    </row>
    <row r="1124" spans="1:27">
      <c r="A1124" s="3" t="s">
        <v>970</v>
      </c>
      <c r="B1124" s="222">
        <v>30.08</v>
      </c>
      <c r="C1124" s="227">
        <f t="shared" si="115"/>
        <v>2.2433718558803495E-2</v>
      </c>
      <c r="D1124" s="5">
        <f>C1124-C1275</f>
        <v>2.2355672989244606E-2</v>
      </c>
      <c r="E1124" s="1"/>
      <c r="F1124" s="8"/>
      <c r="H1124" t="s">
        <v>969</v>
      </c>
      <c r="I1124">
        <v>28.14</v>
      </c>
      <c r="J1124" s="227">
        <f t="shared" si="116"/>
        <v>-5.4435483870967749E-2</v>
      </c>
      <c r="K1124" s="5">
        <f>J1124-J1276</f>
        <v>-5.6571439786577707E-2</v>
      </c>
      <c r="M1124" s="240" t="s">
        <v>967</v>
      </c>
      <c r="N1124">
        <v>3397.16</v>
      </c>
      <c r="O1124" s="227">
        <f t="shared" si="117"/>
        <v>-9.943811055932561E-3</v>
      </c>
      <c r="P1124" s="5">
        <f>O1124-O1278</f>
        <v>-9.5780538550193899E-3</v>
      </c>
      <c r="Q1124" s="8">
        <f t="shared" si="119"/>
        <v>9.1739115649651799E-5</v>
      </c>
      <c r="X1124" t="s">
        <v>967</v>
      </c>
      <c r="Y1124">
        <v>37.372900000000001</v>
      </c>
      <c r="Z1124" s="48">
        <f t="shared" si="118"/>
        <v>-1.3881632760758822E-2</v>
      </c>
      <c r="AA1124" s="5">
        <f>Z1124-Y1274</f>
        <v>-1.8098952230032956E-2</v>
      </c>
    </row>
    <row r="1125" spans="1:27">
      <c r="A1125" s="3" t="s">
        <v>971</v>
      </c>
      <c r="B1125" s="222">
        <v>29.48</v>
      </c>
      <c r="C1125" s="227">
        <f t="shared" si="115"/>
        <v>-1.9946808510638236E-2</v>
      </c>
      <c r="D1125" s="5">
        <f>C1125-C1275</f>
        <v>-2.0024854080197125E-2</v>
      </c>
      <c r="F1125" s="8"/>
      <c r="H1125" t="s">
        <v>970</v>
      </c>
      <c r="I1125">
        <v>27.94</v>
      </c>
      <c r="J1125" s="227">
        <f t="shared" si="116"/>
        <v>-7.1073205401562811E-3</v>
      </c>
      <c r="K1125" s="5">
        <f>J1125-J1276</f>
        <v>-9.2432764557662389E-3</v>
      </c>
      <c r="M1125" s="240" t="s">
        <v>968</v>
      </c>
      <c r="N1125">
        <v>3385.51</v>
      </c>
      <c r="O1125" s="227">
        <f t="shared" si="117"/>
        <v>-3.4293350916646537E-3</v>
      </c>
      <c r="P1125" s="5">
        <f>O1125-O1278</f>
        <v>-3.0635778907514822E-3</v>
      </c>
      <c r="Q1125" s="8">
        <f t="shared" si="119"/>
        <v>9.3855094927013012E-6</v>
      </c>
      <c r="X1125" t="s">
        <v>968</v>
      </c>
      <c r="Y1125">
        <v>37.767800000000001</v>
      </c>
      <c r="Z1125" s="48">
        <f t="shared" si="118"/>
        <v>1.0566479989511102E-2</v>
      </c>
      <c r="AA1125" s="5">
        <f>Z1125-Y1274</f>
        <v>6.3491605202369676E-3</v>
      </c>
    </row>
    <row r="1126" spans="1:27">
      <c r="A1126" s="3" t="s">
        <v>972</v>
      </c>
      <c r="B1126" s="222">
        <v>29.99</v>
      </c>
      <c r="C1126" s="227">
        <f t="shared" si="115"/>
        <v>1.7299864314789692E-2</v>
      </c>
      <c r="D1126" s="5">
        <f>C1126-C1275</f>
        <v>1.7221818745230804E-2</v>
      </c>
      <c r="F1126" s="8"/>
      <c r="H1126" t="s">
        <v>971</v>
      </c>
      <c r="I1126">
        <v>27.17</v>
      </c>
      <c r="J1126" s="227">
        <f t="shared" si="116"/>
        <v>-2.7559055118110187E-2</v>
      </c>
      <c r="K1126" s="5">
        <f>J1126-J1276</f>
        <v>-2.9695011033720145E-2</v>
      </c>
      <c r="M1126" s="240" t="s">
        <v>969</v>
      </c>
      <c r="N1126">
        <v>3374.85</v>
      </c>
      <c r="O1126" s="227">
        <f t="shared" si="117"/>
        <v>-3.1487131923995104E-3</v>
      </c>
      <c r="P1126" s="5">
        <f>O1126-O1278</f>
        <v>-2.7829559914863389E-3</v>
      </c>
      <c r="Q1126" s="8">
        <f t="shared" si="119"/>
        <v>7.7448440505497111E-6</v>
      </c>
      <c r="X1126" t="s">
        <v>969</v>
      </c>
      <c r="Y1126">
        <v>37.317399999999999</v>
      </c>
      <c r="Z1126" s="48">
        <f t="shared" si="118"/>
        <v>-1.1925502676883526E-2</v>
      </c>
      <c r="AA1126" s="5">
        <f>Z1126-Y1274</f>
        <v>-1.614282214615766E-2</v>
      </c>
    </row>
    <row r="1127" spans="1:27">
      <c r="A1127" s="3" t="s">
        <v>973</v>
      </c>
      <c r="B1127" s="222">
        <v>30.46</v>
      </c>
      <c r="C1127" s="227">
        <f t="shared" si="115"/>
        <v>1.5671890630210239E-2</v>
      </c>
      <c r="D1127" s="5">
        <f>C1127-C1275</f>
        <v>1.5593845060651351E-2</v>
      </c>
      <c r="F1127" s="8"/>
      <c r="H1127" t="s">
        <v>972</v>
      </c>
      <c r="I1127">
        <v>28.51</v>
      </c>
      <c r="J1127" s="227">
        <f t="shared" si="116"/>
        <v>4.9319101950680899E-2</v>
      </c>
      <c r="K1127" s="5">
        <f>J1127-J1276</f>
        <v>4.7183146035070941E-2</v>
      </c>
      <c r="M1127" s="240" t="s">
        <v>970</v>
      </c>
      <c r="N1127">
        <v>3389.78</v>
      </c>
      <c r="O1127" s="227">
        <f t="shared" si="117"/>
        <v>4.4239003214958661E-3</v>
      </c>
      <c r="P1127" s="5">
        <f>O1127-O1278</f>
        <v>4.789657522409038E-3</v>
      </c>
      <c r="Q1127" s="8">
        <f t="shared" si="119"/>
        <v>2.2940819181969485E-5</v>
      </c>
      <c r="X1127" t="s">
        <v>970</v>
      </c>
      <c r="Y1127">
        <v>37.118899999999996</v>
      </c>
      <c r="Z1127" s="48">
        <f t="shared" si="118"/>
        <v>-5.3192344589924057E-3</v>
      </c>
      <c r="AA1127" s="5">
        <f>Z1127-Y1274</f>
        <v>-9.5365539282665397E-3</v>
      </c>
    </row>
    <row r="1128" spans="1:27">
      <c r="A1128" s="220">
        <v>44173</v>
      </c>
      <c r="B1128" s="222">
        <v>30.84</v>
      </c>
      <c r="C1128" s="227">
        <f t="shared" si="115"/>
        <v>1.2475377544320487E-2</v>
      </c>
      <c r="D1128" s="5">
        <f>C1128-C1275</f>
        <v>1.2397331974761599E-2</v>
      </c>
      <c r="F1128" s="8"/>
      <c r="H1128" t="s">
        <v>973</v>
      </c>
      <c r="I1128">
        <v>28.88</v>
      </c>
      <c r="J1128" s="227">
        <f t="shared" si="116"/>
        <v>1.2977902490354243E-2</v>
      </c>
      <c r="K1128" s="5">
        <f>J1128-J1276</f>
        <v>1.0841946574744285E-2</v>
      </c>
      <c r="M1128" s="240" t="s">
        <v>971</v>
      </c>
      <c r="N1128">
        <v>3381.99</v>
      </c>
      <c r="O1128" s="227">
        <f t="shared" si="117"/>
        <v>-2.2980842414552782E-3</v>
      </c>
      <c r="P1128" s="5">
        <f>O1128-O1278</f>
        <v>-1.9323270405421067E-3</v>
      </c>
      <c r="Q1128" s="8">
        <f t="shared" si="119"/>
        <v>3.7338877916102167E-6</v>
      </c>
      <c r="X1128" t="s">
        <v>971</v>
      </c>
      <c r="Y1128">
        <v>37.39</v>
      </c>
      <c r="Z1128" s="48">
        <f t="shared" si="118"/>
        <v>7.3035569480777163E-3</v>
      </c>
      <c r="AA1128" s="5">
        <f>Z1128-Y1274</f>
        <v>3.0862374788035822E-3</v>
      </c>
    </row>
    <row r="1129" spans="1:27">
      <c r="A1129" s="220">
        <v>44143</v>
      </c>
      <c r="B1129" s="222">
        <v>31.21</v>
      </c>
      <c r="C1129" s="227">
        <f t="shared" si="115"/>
        <v>1.1997405966277519E-2</v>
      </c>
      <c r="D1129" s="5">
        <f>C1129-C1275</f>
        <v>1.1919360396718631E-2</v>
      </c>
      <c r="F1129" s="8"/>
      <c r="H1129" s="1">
        <v>44173</v>
      </c>
      <c r="I1129">
        <v>30.52</v>
      </c>
      <c r="J1129" s="227">
        <f t="shared" si="116"/>
        <v>5.6786703601108046E-2</v>
      </c>
      <c r="K1129" s="5">
        <f>J1129-J1276</f>
        <v>5.4650747685498088E-2</v>
      </c>
      <c r="M1129" s="240" t="s">
        <v>972</v>
      </c>
      <c r="N1129">
        <v>3372.85</v>
      </c>
      <c r="O1129" s="227">
        <f t="shared" si="117"/>
        <v>-2.7025508650232455E-3</v>
      </c>
      <c r="P1129" s="5">
        <f>O1129-O1278</f>
        <v>-2.336793664110074E-3</v>
      </c>
      <c r="Q1129" s="8">
        <f t="shared" si="119"/>
        <v>5.4606046286249851E-6</v>
      </c>
      <c r="X1129" t="s">
        <v>972</v>
      </c>
      <c r="Y1129">
        <v>37.428400000000003</v>
      </c>
      <c r="Z1129" s="48">
        <f t="shared" si="118"/>
        <v>1.0270125702060984E-3</v>
      </c>
      <c r="AA1129" s="5">
        <f>Z1129-Y1274</f>
        <v>-3.1903068990680357E-3</v>
      </c>
    </row>
    <row r="1130" spans="1:27">
      <c r="A1130" s="220">
        <v>44112</v>
      </c>
      <c r="B1130" s="222">
        <v>32.270000000000003</v>
      </c>
      <c r="C1130" s="227">
        <f t="shared" si="115"/>
        <v>3.396347324575455E-2</v>
      </c>
      <c r="D1130" s="5">
        <f>C1130-C1275</f>
        <v>3.3885427676195658E-2</v>
      </c>
      <c r="F1130" s="8"/>
      <c r="H1130" s="1">
        <v>44143</v>
      </c>
      <c r="I1130">
        <v>30.65</v>
      </c>
      <c r="J1130" s="227">
        <f t="shared" si="116"/>
        <v>4.2595019659239508E-3</v>
      </c>
      <c r="K1130" s="5">
        <f>J1130-J1276</f>
        <v>2.123546050313993E-3</v>
      </c>
      <c r="M1130" s="240" t="s">
        <v>973</v>
      </c>
      <c r="N1130">
        <v>3373.43</v>
      </c>
      <c r="O1130" s="227">
        <f t="shared" si="117"/>
        <v>1.7196139763098195E-4</v>
      </c>
      <c r="P1130" s="5">
        <f>O1130-O1278</f>
        <v>5.3771859854415344E-4</v>
      </c>
      <c r="Q1130" s="8">
        <f t="shared" si="119"/>
        <v>2.8914129122028847E-7</v>
      </c>
      <c r="X1130" t="s">
        <v>973</v>
      </c>
      <c r="Y1130">
        <v>37.503100000000003</v>
      </c>
      <c r="Z1130" s="48">
        <f t="shared" si="118"/>
        <v>1.9958106678350518E-3</v>
      </c>
      <c r="AA1130" s="5">
        <f>Z1130-Y1274</f>
        <v>-2.2215088014390823E-3</v>
      </c>
    </row>
    <row r="1131" spans="1:27">
      <c r="A1131" s="220">
        <v>44020</v>
      </c>
      <c r="B1131" s="222">
        <v>32.9</v>
      </c>
      <c r="C1131" s="227">
        <f t="shared" si="115"/>
        <v>1.9522776572667988E-2</v>
      </c>
      <c r="D1131" s="5">
        <f>C1131-C1275</f>
        <v>1.94447310031091E-2</v>
      </c>
      <c r="F1131" s="8"/>
      <c r="H1131" s="1">
        <v>44112</v>
      </c>
      <c r="I1131">
        <v>31.05</v>
      </c>
      <c r="J1131" s="227">
        <f t="shared" si="116"/>
        <v>1.3050570962479746E-2</v>
      </c>
      <c r="K1131" s="5">
        <f>J1131-J1276</f>
        <v>1.0914615046869788E-2</v>
      </c>
      <c r="M1131" s="241">
        <v>44173</v>
      </c>
      <c r="N1131">
        <v>3380.35</v>
      </c>
      <c r="O1131" s="227">
        <f t="shared" si="117"/>
        <v>2.0513246161919518E-3</v>
      </c>
      <c r="P1131" s="5">
        <f>O1131-O1278</f>
        <v>2.4170818171051233E-3</v>
      </c>
      <c r="Q1131" s="8">
        <f t="shared" si="119"/>
        <v>5.8422845105802047E-6</v>
      </c>
      <c r="X1131" s="1">
        <v>44173</v>
      </c>
      <c r="Y1131">
        <v>38.279000000000003</v>
      </c>
      <c r="Z1131" s="48">
        <f t="shared" si="118"/>
        <v>2.0688956379605994E-2</v>
      </c>
      <c r="AA1131" s="5">
        <f>Z1131-Y1274</f>
        <v>1.647163691033186E-2</v>
      </c>
    </row>
    <row r="1132" spans="1:27">
      <c r="A1132" s="220">
        <v>43990</v>
      </c>
      <c r="B1132" s="222">
        <v>34.71</v>
      </c>
      <c r="C1132" s="227">
        <f t="shared" si="115"/>
        <v>5.501519756838924E-2</v>
      </c>
      <c r="D1132" s="5">
        <f>C1132-C1275</f>
        <v>5.4937151998830348E-2</v>
      </c>
      <c r="F1132" s="8"/>
      <c r="H1132" s="1">
        <v>44020</v>
      </c>
      <c r="I1132">
        <v>30.19</v>
      </c>
      <c r="J1132" s="227">
        <f t="shared" si="116"/>
        <v>-2.7697262479871143E-2</v>
      </c>
      <c r="K1132" s="5">
        <f>J1132-J1276</f>
        <v>-2.9833218395481101E-2</v>
      </c>
      <c r="M1132" s="241">
        <v>44143</v>
      </c>
      <c r="N1132">
        <v>3333.69</v>
      </c>
      <c r="O1132" s="227">
        <f t="shared" si="117"/>
        <v>-1.3803304391557081E-2</v>
      </c>
      <c r="P1132" s="5">
        <f>O1132-O1278</f>
        <v>-1.343754719064391E-2</v>
      </c>
      <c r="Q1132" s="8">
        <f t="shared" si="119"/>
        <v>1.8056767450078202E-4</v>
      </c>
      <c r="X1132" s="1">
        <v>44143</v>
      </c>
      <c r="Y1132">
        <v>38.020699999999998</v>
      </c>
      <c r="Z1132" s="48">
        <f t="shared" si="118"/>
        <v>-6.7478251782963072E-3</v>
      </c>
      <c r="AA1132" s="5">
        <f>Z1132-Y1274</f>
        <v>-1.0965144647570441E-2</v>
      </c>
    </row>
    <row r="1133" spans="1:27">
      <c r="A1133" s="220">
        <v>43959</v>
      </c>
      <c r="B1133" s="222">
        <v>33.200000000000003</v>
      </c>
      <c r="C1133" s="227">
        <f t="shared" si="115"/>
        <v>-4.3503313166234459E-2</v>
      </c>
      <c r="D1133" s="5">
        <f>C1133-C1275</f>
        <v>-4.358135873579335E-2</v>
      </c>
      <c r="F1133" s="8"/>
      <c r="H1133" s="1">
        <v>43990</v>
      </c>
      <c r="I1133">
        <v>32.340000000000003</v>
      </c>
      <c r="J1133" s="227">
        <f t="shared" si="116"/>
        <v>7.1215634315998644E-2</v>
      </c>
      <c r="K1133" s="5">
        <f>J1133-J1276</f>
        <v>6.9079678400388686E-2</v>
      </c>
      <c r="M1133" s="241">
        <v>44112</v>
      </c>
      <c r="N1133">
        <v>3360.47</v>
      </c>
      <c r="O1133" s="227">
        <f t="shared" si="117"/>
        <v>8.0331404539712992E-3</v>
      </c>
      <c r="P1133" s="5">
        <f>O1133-O1278</f>
        <v>8.3988976548844702E-3</v>
      </c>
      <c r="Q1133" s="8">
        <f t="shared" si="119"/>
        <v>7.0541481817223856E-5</v>
      </c>
      <c r="X1133" s="1">
        <v>44112</v>
      </c>
      <c r="Y1133">
        <v>37.659999999999997</v>
      </c>
      <c r="Z1133" s="48">
        <f t="shared" si="118"/>
        <v>-9.4869373788489808E-3</v>
      </c>
      <c r="AA1133" s="5">
        <f>Z1133-Y1274</f>
        <v>-1.3704256848123115E-2</v>
      </c>
    </row>
    <row r="1134" spans="1:27">
      <c r="A1134" s="220">
        <v>43929</v>
      </c>
      <c r="B1134" s="222">
        <v>32.68</v>
      </c>
      <c r="C1134" s="227">
        <f t="shared" si="115"/>
        <v>-1.5662650602409678E-2</v>
      </c>
      <c r="D1134" s="5">
        <f>C1134-C1275</f>
        <v>-1.5740696171968566E-2</v>
      </c>
      <c r="F1134" s="8"/>
      <c r="H1134" s="1">
        <v>43959</v>
      </c>
      <c r="I1134">
        <v>30.89</v>
      </c>
      <c r="J1134" s="227">
        <f t="shared" si="116"/>
        <v>-4.4836116264687753E-2</v>
      </c>
      <c r="K1134" s="5">
        <f>J1134-J1276</f>
        <v>-4.6972072180297711E-2</v>
      </c>
      <c r="M1134" s="241">
        <v>44020</v>
      </c>
      <c r="N1134">
        <v>3351.28</v>
      </c>
      <c r="O1134" s="227">
        <f t="shared" si="117"/>
        <v>-2.7347365100713894E-3</v>
      </c>
      <c r="P1134" s="5">
        <f>O1134-O1278</f>
        <v>-2.3689793091582179E-3</v>
      </c>
      <c r="Q1134" s="8">
        <f t="shared" si="119"/>
        <v>5.6120629672197475E-6</v>
      </c>
      <c r="X1134" s="1">
        <v>44020</v>
      </c>
      <c r="Y1134">
        <v>36.948099999999997</v>
      </c>
      <c r="Z1134" s="48">
        <f t="shared" si="118"/>
        <v>-1.8903345724907039E-2</v>
      </c>
      <c r="AA1134" s="5">
        <f>Z1134-Y1274</f>
        <v>-2.3120665194181173E-2</v>
      </c>
    </row>
    <row r="1135" spans="1:27">
      <c r="A1135" s="220">
        <v>43898</v>
      </c>
      <c r="B1135" s="222">
        <v>31.19</v>
      </c>
      <c r="C1135" s="227">
        <f t="shared" si="115"/>
        <v>-4.5593635250917974E-2</v>
      </c>
      <c r="D1135" s="5">
        <f>C1135-C1275</f>
        <v>-4.5671680820476866E-2</v>
      </c>
      <c r="F1135" s="8"/>
      <c r="H1135" s="1">
        <v>43929</v>
      </c>
      <c r="I1135">
        <v>30.5</v>
      </c>
      <c r="J1135" s="227">
        <f t="shared" si="116"/>
        <v>-1.2625445127873114E-2</v>
      </c>
      <c r="K1135" s="5">
        <f>J1135-J1276</f>
        <v>-1.4761401043483072E-2</v>
      </c>
      <c r="M1135" s="241">
        <v>43990</v>
      </c>
      <c r="N1135">
        <v>3349.16</v>
      </c>
      <c r="O1135" s="227">
        <f t="shared" si="117"/>
        <v>-6.3259411329408266E-4</v>
      </c>
      <c r="P1135" s="5">
        <f>O1135-O1278</f>
        <v>-2.6683691238091112E-4</v>
      </c>
      <c r="Q1135" s="8">
        <f t="shared" si="119"/>
        <v>7.1201937808978034E-8</v>
      </c>
      <c r="X1135" s="1">
        <v>43990</v>
      </c>
      <c r="Y1135">
        <v>36.519100000000002</v>
      </c>
      <c r="Z1135" s="48">
        <f t="shared" si="118"/>
        <v>-1.1610881209047186E-2</v>
      </c>
      <c r="AA1135" s="5">
        <f>Z1135-Y1274</f>
        <v>-1.582820067832132E-2</v>
      </c>
    </row>
    <row r="1136" spans="1:27">
      <c r="A1136" s="3" t="s">
        <v>974</v>
      </c>
      <c r="B1136" s="222">
        <v>30.26</v>
      </c>
      <c r="C1136" s="227">
        <f t="shared" si="115"/>
        <v>-2.9817249118307187E-2</v>
      </c>
      <c r="D1136" s="5">
        <f>C1136-C1275</f>
        <v>-2.9895294687866076E-2</v>
      </c>
      <c r="F1136" s="8"/>
      <c r="H1136" s="1">
        <v>43898</v>
      </c>
      <c r="I1136">
        <v>29.09</v>
      </c>
      <c r="J1136" s="227">
        <f t="shared" si="116"/>
        <v>-4.6229508196721336E-2</v>
      </c>
      <c r="K1136" s="5">
        <f>J1136-J1276</f>
        <v>-4.8365464112331294E-2</v>
      </c>
      <c r="M1136" s="241">
        <v>43959</v>
      </c>
      <c r="N1136">
        <v>3327.77</v>
      </c>
      <c r="O1136" s="227">
        <f t="shared" si="117"/>
        <v>-6.3866760620573393E-3</v>
      </c>
      <c r="P1136" s="5">
        <f>O1136-O1278</f>
        <v>-6.0209188611441674E-3</v>
      </c>
      <c r="Q1136" s="8">
        <f t="shared" si="119"/>
        <v>3.6251463932481579E-5</v>
      </c>
      <c r="X1136" s="1">
        <v>43959</v>
      </c>
      <c r="Y1136">
        <v>35.707999999999998</v>
      </c>
      <c r="Z1136" s="48">
        <f t="shared" si="118"/>
        <v>-2.2210295434443972E-2</v>
      </c>
      <c r="AA1136" s="5">
        <f>Z1136-Y1274</f>
        <v>-2.6427614903718106E-2</v>
      </c>
    </row>
    <row r="1137" spans="1:27">
      <c r="A1137" s="3" t="s">
        <v>975</v>
      </c>
      <c r="B1137" s="222">
        <v>30.24</v>
      </c>
      <c r="C1137" s="227">
        <f t="shared" si="115"/>
        <v>-6.6093853271653735E-4</v>
      </c>
      <c r="D1137" s="5">
        <f>C1137-C1275</f>
        <v>-7.3898410227542656E-4</v>
      </c>
      <c r="F1137" s="8"/>
      <c r="H1137" t="s">
        <v>974</v>
      </c>
      <c r="I1137">
        <v>29.23</v>
      </c>
      <c r="J1137" s="227">
        <f t="shared" si="116"/>
        <v>4.8126503953249689E-3</v>
      </c>
      <c r="K1137" s="5">
        <f>J1137-J1276</f>
        <v>2.6766944797150111E-3</v>
      </c>
      <c r="M1137" s="241">
        <v>43929</v>
      </c>
      <c r="N1137">
        <v>3306.51</v>
      </c>
      <c r="O1137" s="227">
        <f t="shared" si="117"/>
        <v>-6.3886626780095268E-3</v>
      </c>
      <c r="P1137" s="5">
        <f>O1137-O1278</f>
        <v>-6.0229054770963549E-3</v>
      </c>
      <c r="Q1137" s="8">
        <f t="shared" si="119"/>
        <v>3.6275390386037272E-5</v>
      </c>
      <c r="X1137" s="1">
        <v>43929</v>
      </c>
      <c r="Y1137">
        <v>34.537199999999999</v>
      </c>
      <c r="Z1137" s="48">
        <f t="shared" si="118"/>
        <v>-3.2788170718046405E-2</v>
      </c>
      <c r="AA1137" s="5">
        <f>Z1137-Y1274</f>
        <v>-3.7005490187320536E-2</v>
      </c>
    </row>
    <row r="1138" spans="1:27">
      <c r="A1138" s="3" t="s">
        <v>976</v>
      </c>
      <c r="B1138" s="222">
        <v>31.02</v>
      </c>
      <c r="C1138" s="227">
        <f t="shared" si="115"/>
        <v>2.5793650793650924E-2</v>
      </c>
      <c r="D1138" s="5">
        <f>C1138-C1275</f>
        <v>2.5715605224092036E-2</v>
      </c>
      <c r="F1138" s="8"/>
      <c r="H1138" t="s">
        <v>975</v>
      </c>
      <c r="I1138">
        <v>29.48</v>
      </c>
      <c r="J1138" s="227">
        <f t="shared" si="116"/>
        <v>8.5528566541224205E-3</v>
      </c>
      <c r="K1138" s="5">
        <f>J1138-J1276</f>
        <v>6.4169007385124627E-3</v>
      </c>
      <c r="M1138" s="241">
        <v>43898</v>
      </c>
      <c r="N1138">
        <v>3294.61</v>
      </c>
      <c r="O1138" s="227">
        <f t="shared" si="117"/>
        <v>-3.598960837862264E-3</v>
      </c>
      <c r="P1138" s="5">
        <f>O1138-O1278</f>
        <v>-3.2332036369490925E-3</v>
      </c>
      <c r="Q1138" s="8">
        <f t="shared" si="119"/>
        <v>1.0453605757980839E-5</v>
      </c>
      <c r="X1138" s="1">
        <v>43898</v>
      </c>
      <c r="Y1138">
        <v>34.532899999999998</v>
      </c>
      <c r="Z1138" s="48">
        <f t="shared" si="118"/>
        <v>-1.245034339784068E-4</v>
      </c>
      <c r="AA1138" s="5">
        <f>Z1138-Y1274</f>
        <v>-4.3418229032525409E-3</v>
      </c>
    </row>
    <row r="1139" spans="1:27">
      <c r="A1139" s="3" t="s">
        <v>977</v>
      </c>
      <c r="B1139" s="222">
        <v>30.81</v>
      </c>
      <c r="C1139" s="227">
        <f t="shared" si="115"/>
        <v>-6.7698259187620735E-3</v>
      </c>
      <c r="D1139" s="5">
        <f>C1139-C1275</f>
        <v>-6.8478714883209628E-3</v>
      </c>
      <c r="F1139" s="8"/>
      <c r="H1139" t="s">
        <v>976</v>
      </c>
      <c r="I1139">
        <v>29.89</v>
      </c>
      <c r="J1139" s="227">
        <f t="shared" si="116"/>
        <v>1.3907734056987753E-2</v>
      </c>
      <c r="K1139" s="5">
        <f>J1139-J1276</f>
        <v>1.1771778141377795E-2</v>
      </c>
      <c r="M1139" s="240" t="s">
        <v>974</v>
      </c>
      <c r="N1139">
        <v>3271.12</v>
      </c>
      <c r="O1139" s="227">
        <f t="shared" si="117"/>
        <v>-7.1298272026127929E-3</v>
      </c>
      <c r="P1139" s="5">
        <f>O1139-O1278</f>
        <v>-6.764070001699621E-3</v>
      </c>
      <c r="Q1139" s="8">
        <f t="shared" si="119"/>
        <v>4.5752642987892712E-5</v>
      </c>
      <c r="X1139" t="s">
        <v>974</v>
      </c>
      <c r="Y1139">
        <v>33.909700000000001</v>
      </c>
      <c r="Z1139" s="48">
        <f t="shared" si="118"/>
        <v>-1.8046558499286158E-2</v>
      </c>
      <c r="AA1139" s="5">
        <f>Z1139-Y1274</f>
        <v>-2.2263877968560292E-2</v>
      </c>
    </row>
    <row r="1140" spans="1:27">
      <c r="A1140" s="3" t="s">
        <v>978</v>
      </c>
      <c r="B1140" s="222">
        <v>30.99</v>
      </c>
      <c r="C1140" s="227">
        <f t="shared" si="115"/>
        <v>5.8422590068158975E-3</v>
      </c>
      <c r="D1140" s="5">
        <f>C1140-C1275</f>
        <v>5.7642134372570082E-3</v>
      </c>
      <c r="E1140" s="1"/>
      <c r="F1140" s="8"/>
      <c r="H1140" t="s">
        <v>977</v>
      </c>
      <c r="I1140">
        <v>29.49</v>
      </c>
      <c r="J1140" s="227">
        <f t="shared" si="116"/>
        <v>-1.3382402141184468E-2</v>
      </c>
      <c r="K1140" s="5">
        <f>J1140-J1276</f>
        <v>-1.5518358056794426E-2</v>
      </c>
      <c r="M1140" s="240" t="s">
        <v>975</v>
      </c>
      <c r="N1140">
        <v>3246.22</v>
      </c>
      <c r="O1140" s="227">
        <f t="shared" si="117"/>
        <v>-7.6120717063269394E-3</v>
      </c>
      <c r="P1140" s="5">
        <f>O1140-O1278</f>
        <v>-7.2463145054137675E-3</v>
      </c>
      <c r="Q1140" s="8">
        <f t="shared" si="119"/>
        <v>5.2509073911369973E-5</v>
      </c>
      <c r="X1140" t="s">
        <v>975</v>
      </c>
      <c r="Y1140">
        <v>34.220199999999998</v>
      </c>
      <c r="Z1140" s="48">
        <f t="shared" si="118"/>
        <v>9.1566719847122613E-3</v>
      </c>
      <c r="AA1140" s="5">
        <f>Z1140-Y1274</f>
        <v>4.9393525154381272E-3</v>
      </c>
    </row>
    <row r="1141" spans="1:27">
      <c r="A1141" s="3" t="s">
        <v>979</v>
      </c>
      <c r="B1141" s="222">
        <v>31.18</v>
      </c>
      <c r="C1141" s="227">
        <f t="shared" si="115"/>
        <v>6.1310100032268E-3</v>
      </c>
      <c r="D1141" s="5">
        <f>C1141-C1275</f>
        <v>6.0529644336679107E-3</v>
      </c>
      <c r="E1141" s="1"/>
      <c r="F1141" s="8"/>
      <c r="H1141" t="s">
        <v>978</v>
      </c>
      <c r="I1141">
        <v>29.89</v>
      </c>
      <c r="J1141" s="227">
        <f t="shared" si="116"/>
        <v>1.3563919972872318E-2</v>
      </c>
      <c r="K1141" s="5">
        <f>J1141-J1276</f>
        <v>1.142796405726236E-2</v>
      </c>
      <c r="M1141" s="240" t="s">
        <v>976</v>
      </c>
      <c r="N1141">
        <v>3258.44</v>
      </c>
      <c r="O1141" s="227">
        <f t="shared" si="117"/>
        <v>3.7643782614857901E-3</v>
      </c>
      <c r="P1141" s="5">
        <f>O1141-O1278</f>
        <v>4.1301354623989621E-3</v>
      </c>
      <c r="Q1141" s="8">
        <f t="shared" si="119"/>
        <v>1.7058018937765488E-5</v>
      </c>
      <c r="X1141" t="s">
        <v>976</v>
      </c>
      <c r="Y1141">
        <v>34.238399999999999</v>
      </c>
      <c r="Z1141" s="48">
        <f t="shared" si="118"/>
        <v>5.3184960929519853E-4</v>
      </c>
      <c r="AA1141" s="5">
        <f>Z1141-Y1274</f>
        <v>-3.6854698599789355E-3</v>
      </c>
    </row>
    <row r="1142" spans="1:27">
      <c r="A1142" s="3" t="s">
        <v>980</v>
      </c>
      <c r="B1142" s="222">
        <v>32.17</v>
      </c>
      <c r="C1142" s="227">
        <f t="shared" si="115"/>
        <v>3.1751122514432462E-2</v>
      </c>
      <c r="D1142" s="5">
        <f>C1142-C1275</f>
        <v>3.167307694487357E-2</v>
      </c>
      <c r="E1142" s="1"/>
      <c r="F1142" s="8"/>
      <c r="H1142" t="s">
        <v>979</v>
      </c>
      <c r="I1142">
        <v>30.42</v>
      </c>
      <c r="J1142" s="227">
        <f t="shared" si="116"/>
        <v>1.7731682837069274E-2</v>
      </c>
      <c r="K1142" s="5">
        <f>J1142-J1276</f>
        <v>1.5595726921459316E-2</v>
      </c>
      <c r="M1142" s="240" t="s">
        <v>977</v>
      </c>
      <c r="N1142">
        <v>3218.44</v>
      </c>
      <c r="O1142" s="227">
        <f t="shared" si="117"/>
        <v>-1.2275812965713673E-2</v>
      </c>
      <c r="P1142" s="5">
        <f>O1142-O1278</f>
        <v>-1.1910055764800502E-2</v>
      </c>
      <c r="Q1142" s="8">
        <f t="shared" si="119"/>
        <v>1.4184942832065766E-4</v>
      </c>
      <c r="X1142" t="s">
        <v>977</v>
      </c>
      <c r="Y1142">
        <v>33.888300000000001</v>
      </c>
      <c r="Z1142" s="48">
        <f t="shared" si="118"/>
        <v>-1.0225360998177391E-2</v>
      </c>
      <c r="AA1142" s="5">
        <f>Z1142-Y1274</f>
        <v>-1.4442680467451525E-2</v>
      </c>
    </row>
    <row r="1143" spans="1:27">
      <c r="A1143" s="3" t="s">
        <v>981</v>
      </c>
      <c r="B1143" s="222">
        <v>32.659999999999997</v>
      </c>
      <c r="C1143" s="227">
        <f t="shared" si="115"/>
        <v>1.5231582219458861E-2</v>
      </c>
      <c r="D1143" s="5">
        <f>C1143-C1275</f>
        <v>1.5153536649899973E-2</v>
      </c>
      <c r="E1143" s="1"/>
      <c r="F1143" s="8"/>
      <c r="H1143" t="s">
        <v>980</v>
      </c>
      <c r="I1143">
        <v>30.86</v>
      </c>
      <c r="J1143" s="227">
        <f t="shared" si="116"/>
        <v>1.4464168310322156E-2</v>
      </c>
      <c r="K1143" s="5">
        <f>J1143-J1276</f>
        <v>1.2328212394712199E-2</v>
      </c>
      <c r="M1143" s="240" t="s">
        <v>978</v>
      </c>
      <c r="N1143">
        <v>3239.41</v>
      </c>
      <c r="O1143" s="227">
        <f t="shared" si="117"/>
        <v>6.5155789761499605E-3</v>
      </c>
      <c r="P1143" s="5">
        <f>O1143-O1278</f>
        <v>6.8813361770631324E-3</v>
      </c>
      <c r="Q1143" s="8">
        <f t="shared" si="119"/>
        <v>4.7352787581757844E-5</v>
      </c>
      <c r="X1143" t="s">
        <v>978</v>
      </c>
      <c r="Y1143">
        <v>33.6663</v>
      </c>
      <c r="Z1143" s="48">
        <f t="shared" si="118"/>
        <v>-6.5509335080249365E-3</v>
      </c>
      <c r="AA1143" s="5">
        <f>Z1143-Y1274</f>
        <v>-1.0768252977299071E-2</v>
      </c>
    </row>
    <row r="1144" spans="1:27">
      <c r="A1144" s="3" t="s">
        <v>982</v>
      </c>
      <c r="B1144" s="222">
        <v>32.549999999999997</v>
      </c>
      <c r="C1144" s="227">
        <f t="shared" si="115"/>
        <v>-3.3680342927128182E-3</v>
      </c>
      <c r="D1144" s="5">
        <f>C1144-C1275</f>
        <v>-3.4460798622717075E-3</v>
      </c>
      <c r="E1144" s="1"/>
      <c r="F1144" s="8"/>
      <c r="H1144" t="s">
        <v>981</v>
      </c>
      <c r="I1144">
        <v>30.84</v>
      </c>
      <c r="J1144" s="227">
        <f t="shared" si="116"/>
        <v>-6.480881399870686E-4</v>
      </c>
      <c r="K1144" s="5">
        <f>J1144-J1276</f>
        <v>-2.7840440555970264E-3</v>
      </c>
      <c r="M1144" s="240" t="s">
        <v>979</v>
      </c>
      <c r="N1144">
        <v>3215.63</v>
      </c>
      <c r="O1144" s="227">
        <f t="shared" si="117"/>
        <v>-7.3408429312744605E-3</v>
      </c>
      <c r="P1144" s="5">
        <f>O1144-O1278</f>
        <v>-6.9750857303612886E-3</v>
      </c>
      <c r="Q1144" s="8">
        <f t="shared" si="119"/>
        <v>4.865182094588967E-5</v>
      </c>
      <c r="X1144" t="s">
        <v>979</v>
      </c>
      <c r="Y1144">
        <v>33.775199999999998</v>
      </c>
      <c r="Z1144" s="48">
        <f t="shared" si="118"/>
        <v>3.2346886946292841E-3</v>
      </c>
      <c r="AA1144" s="5">
        <f>Z1144-Y1274</f>
        <v>-9.8263077464484996E-4</v>
      </c>
    </row>
    <row r="1145" spans="1:27">
      <c r="A1145" s="3" t="s">
        <v>983</v>
      </c>
      <c r="B1145" s="222">
        <v>33.659999999999997</v>
      </c>
      <c r="C1145" s="227">
        <f t="shared" si="115"/>
        <v>3.410138248847927E-2</v>
      </c>
      <c r="D1145" s="5">
        <f>C1145-C1275</f>
        <v>3.4023336918920379E-2</v>
      </c>
      <c r="E1145" s="1"/>
      <c r="F1145" s="8"/>
      <c r="H1145" t="s">
        <v>982</v>
      </c>
      <c r="I1145">
        <v>30.49</v>
      </c>
      <c r="J1145" s="227">
        <f t="shared" si="116"/>
        <v>-1.1348897535668034E-2</v>
      </c>
      <c r="K1145" s="5">
        <f>J1145-J1276</f>
        <v>-1.3484853451277992E-2</v>
      </c>
      <c r="M1145" s="240" t="s">
        <v>980</v>
      </c>
      <c r="N1145">
        <v>3235.66</v>
      </c>
      <c r="O1145" s="227">
        <f t="shared" si="117"/>
        <v>6.2289504700476783E-3</v>
      </c>
      <c r="P1145" s="5">
        <f>O1145-O1278</f>
        <v>6.5947076709608502E-3</v>
      </c>
      <c r="Q1145" s="8">
        <f t="shared" si="119"/>
        <v>4.3490169265429884E-5</v>
      </c>
      <c r="X1145" t="s">
        <v>980</v>
      </c>
      <c r="Y1145">
        <v>34.138100000000001</v>
      </c>
      <c r="Z1145" s="48">
        <f t="shared" si="118"/>
        <v>1.074456998034079E-2</v>
      </c>
      <c r="AA1145" s="5">
        <f>Z1145-Y1274</f>
        <v>6.5272505110666561E-3</v>
      </c>
    </row>
    <row r="1146" spans="1:27">
      <c r="A1146" s="3" t="s">
        <v>984</v>
      </c>
      <c r="B1146" s="222">
        <v>32.549999999999997</v>
      </c>
      <c r="C1146" s="227">
        <f t="shared" si="115"/>
        <v>-3.2976827094474137E-2</v>
      </c>
      <c r="D1146" s="5">
        <f>C1146-C1275</f>
        <v>-3.3054872664033029E-2</v>
      </c>
      <c r="E1146" s="1"/>
      <c r="F1146" s="8"/>
      <c r="H1146" t="s">
        <v>983</v>
      </c>
      <c r="I1146">
        <v>30.57</v>
      </c>
      <c r="J1146" s="227">
        <f t="shared" si="116"/>
        <v>2.6238110856018348E-3</v>
      </c>
      <c r="K1146" s="5">
        <f>J1146-J1276</f>
        <v>4.8785516999187706E-4</v>
      </c>
      <c r="M1146" s="240" t="s">
        <v>981</v>
      </c>
      <c r="N1146">
        <v>3276.02</v>
      </c>
      <c r="O1146" s="227">
        <f t="shared" si="117"/>
        <v>1.2473498451629705E-2</v>
      </c>
      <c r="P1146" s="5">
        <f>O1146-O1278</f>
        <v>1.2839255652542876E-2</v>
      </c>
      <c r="Q1146" s="8">
        <f t="shared" si="119"/>
        <v>1.6484648571135421E-4</v>
      </c>
      <c r="X1146" t="s">
        <v>981</v>
      </c>
      <c r="Y1146">
        <v>33.587400000000002</v>
      </c>
      <c r="Z1146" s="48">
        <f t="shared" si="118"/>
        <v>-1.6131536318658601E-2</v>
      </c>
      <c r="AA1146" s="5">
        <f>Z1146-Y1274</f>
        <v>-2.0348855787932735E-2</v>
      </c>
    </row>
    <row r="1147" spans="1:27">
      <c r="A1147" s="3" t="s">
        <v>985</v>
      </c>
      <c r="B1147" s="222">
        <v>32.35</v>
      </c>
      <c r="C1147" s="227">
        <f t="shared" si="115"/>
        <v>-6.1443932411673341E-3</v>
      </c>
      <c r="D1147" s="5">
        <f>C1147-C1275</f>
        <v>-6.2224388107262234E-3</v>
      </c>
      <c r="F1147" s="8"/>
      <c r="H1147" t="s">
        <v>984</v>
      </c>
      <c r="I1147">
        <v>29.73</v>
      </c>
      <c r="J1147" s="227">
        <f t="shared" si="116"/>
        <v>-2.7477919528949957E-2</v>
      </c>
      <c r="K1147" s="5">
        <f>J1147-J1276</f>
        <v>-2.9613875444559914E-2</v>
      </c>
      <c r="M1147" s="240" t="s">
        <v>982</v>
      </c>
      <c r="N1147">
        <v>3257.3</v>
      </c>
      <c r="O1147" s="227">
        <f t="shared" si="117"/>
        <v>-5.7142508287494342E-3</v>
      </c>
      <c r="P1147" s="5">
        <f>O1147-O1278</f>
        <v>-5.3484936278362623E-3</v>
      </c>
      <c r="Q1147" s="8">
        <f t="shared" si="119"/>
        <v>2.8606384087005104E-5</v>
      </c>
      <c r="X1147" t="s">
        <v>982</v>
      </c>
      <c r="Y1147">
        <v>33.290700000000001</v>
      </c>
      <c r="Z1147" s="48">
        <f t="shared" si="118"/>
        <v>-8.8336697690205579E-3</v>
      </c>
      <c r="AA1147" s="5">
        <f>Z1147-Y1274</f>
        <v>-1.3050989238294692E-2</v>
      </c>
    </row>
    <row r="1148" spans="1:27">
      <c r="A1148" s="3" t="s">
        <v>986</v>
      </c>
      <c r="B1148" s="222">
        <v>32.81</v>
      </c>
      <c r="C1148" s="227">
        <f t="shared" si="115"/>
        <v>1.4219474497681572E-2</v>
      </c>
      <c r="D1148" s="5">
        <f>C1148-C1275</f>
        <v>1.4141428928122684E-2</v>
      </c>
      <c r="F1148" s="8"/>
      <c r="H1148" t="s">
        <v>985</v>
      </c>
      <c r="I1148">
        <v>29.58</v>
      </c>
      <c r="J1148" s="227">
        <f t="shared" si="116"/>
        <v>-5.0454086781029917E-3</v>
      </c>
      <c r="K1148" s="5">
        <f>J1148-J1276</f>
        <v>-7.1813645937129494E-3</v>
      </c>
      <c r="M1148" s="240" t="s">
        <v>983</v>
      </c>
      <c r="N1148">
        <v>3251.84</v>
      </c>
      <c r="O1148" s="227">
        <f t="shared" si="117"/>
        <v>-1.6762349184907821E-3</v>
      </c>
      <c r="P1148" s="5">
        <f>O1148-O1278</f>
        <v>-1.3104777175776106E-3</v>
      </c>
      <c r="Q1148" s="8">
        <f t="shared" si="119"/>
        <v>1.7173518482674239E-6</v>
      </c>
      <c r="X1148" t="s">
        <v>983</v>
      </c>
      <c r="Y1148">
        <v>33.266100000000002</v>
      </c>
      <c r="Z1148" s="48">
        <f t="shared" si="118"/>
        <v>-7.3894511079664049E-4</v>
      </c>
      <c r="AA1148" s="5">
        <f>Z1148-Y1274</f>
        <v>-4.9562645800707746E-3</v>
      </c>
    </row>
    <row r="1149" spans="1:27">
      <c r="A1149" s="3" t="s">
        <v>987</v>
      </c>
      <c r="B1149" s="222">
        <v>30.93</v>
      </c>
      <c r="C1149" s="227">
        <f t="shared" si="115"/>
        <v>-5.7299603779335628E-2</v>
      </c>
      <c r="D1149" s="5">
        <f>C1149-C1275</f>
        <v>-5.737764934889452E-2</v>
      </c>
      <c r="F1149" s="8"/>
      <c r="H1149" t="s">
        <v>986</v>
      </c>
      <c r="I1149">
        <v>30.78</v>
      </c>
      <c r="J1149" s="227">
        <f t="shared" si="116"/>
        <v>4.0567951318458473E-2</v>
      </c>
      <c r="K1149" s="5">
        <f>J1149-J1276</f>
        <v>3.8431995402848515E-2</v>
      </c>
      <c r="M1149" s="240" t="s">
        <v>984</v>
      </c>
      <c r="N1149">
        <v>3224.73</v>
      </c>
      <c r="O1149" s="227">
        <f t="shared" si="117"/>
        <v>-8.33681853965762E-3</v>
      </c>
      <c r="P1149" s="5">
        <f>O1149-O1278</f>
        <v>-7.9710613387444489E-3</v>
      </c>
      <c r="Q1149" s="8">
        <f t="shared" si="119"/>
        <v>6.3537818866026444E-5</v>
      </c>
      <c r="X1149" t="s">
        <v>984</v>
      </c>
      <c r="Y1149">
        <v>33.575600000000001</v>
      </c>
      <c r="Z1149" s="48">
        <f t="shared" si="118"/>
        <v>9.3037656954075842E-3</v>
      </c>
      <c r="AA1149" s="5">
        <f>Z1149-Y1274</f>
        <v>5.0864462261334502E-3</v>
      </c>
    </row>
    <row r="1150" spans="1:27">
      <c r="A1150" s="3" t="s">
        <v>988</v>
      </c>
      <c r="B1150" s="222">
        <v>31.72</v>
      </c>
      <c r="C1150" s="227">
        <f t="shared" si="115"/>
        <v>2.5541545425153522E-2</v>
      </c>
      <c r="D1150" s="5">
        <f>C1150-C1275</f>
        <v>2.5463499855594634E-2</v>
      </c>
      <c r="F1150" s="8"/>
      <c r="H1150" t="s">
        <v>987</v>
      </c>
      <c r="I1150">
        <v>27.92</v>
      </c>
      <c r="J1150" s="227">
        <f t="shared" si="116"/>
        <v>-9.2917478882391102E-2</v>
      </c>
      <c r="K1150" s="5">
        <f>J1150-J1276</f>
        <v>-9.505343479800106E-2</v>
      </c>
      <c r="M1150" s="240" t="s">
        <v>985</v>
      </c>
      <c r="N1150">
        <v>3215.57</v>
      </c>
      <c r="O1150" s="227">
        <f t="shared" si="117"/>
        <v>-2.8405478908311022E-3</v>
      </c>
      <c r="P1150" s="5">
        <f>O1150-O1278</f>
        <v>-2.4747906899179307E-3</v>
      </c>
      <c r="Q1150" s="8">
        <f t="shared" si="119"/>
        <v>6.1245889589044675E-6</v>
      </c>
      <c r="X1150" t="s">
        <v>985</v>
      </c>
      <c r="Y1150">
        <v>33.314100000000003</v>
      </c>
      <c r="Z1150" s="48">
        <f t="shared" si="118"/>
        <v>-7.7883939527513268E-3</v>
      </c>
      <c r="AA1150" s="5">
        <f>Z1150-Y1274</f>
        <v>-1.2005713422025461E-2</v>
      </c>
    </row>
    <row r="1151" spans="1:27">
      <c r="A1151" s="220">
        <v>44111</v>
      </c>
      <c r="B1151" s="222">
        <v>33.14</v>
      </c>
      <c r="C1151" s="227">
        <f t="shared" si="115"/>
        <v>4.4766708701134972E-2</v>
      </c>
      <c r="D1151" s="5">
        <f>C1151-C1275</f>
        <v>4.468866313157608E-2</v>
      </c>
      <c r="F1151" s="8"/>
      <c r="H1151" t="s">
        <v>988</v>
      </c>
      <c r="I1151">
        <v>28.81</v>
      </c>
      <c r="J1151" s="227">
        <f t="shared" si="116"/>
        <v>3.1876790830945412E-2</v>
      </c>
      <c r="K1151" s="5">
        <f>J1151-J1276</f>
        <v>2.9740834915335454E-2</v>
      </c>
      <c r="M1151" s="240" t="s">
        <v>986</v>
      </c>
      <c r="N1151">
        <v>3226.56</v>
      </c>
      <c r="O1151" s="227">
        <f t="shared" si="117"/>
        <v>3.4177455318962213E-3</v>
      </c>
      <c r="P1151" s="5">
        <f>O1151-O1278</f>
        <v>3.7835027328093928E-3</v>
      </c>
      <c r="Q1151" s="8">
        <f t="shared" si="119"/>
        <v>1.4314892929176143E-5</v>
      </c>
      <c r="X1151" t="s">
        <v>986</v>
      </c>
      <c r="Y1151">
        <v>33.045200000000001</v>
      </c>
      <c r="Z1151" s="48">
        <f t="shared" si="118"/>
        <v>-8.0716573462888963E-3</v>
      </c>
      <c r="AA1151" s="5">
        <f>Z1151-Y1274</f>
        <v>-1.228897681556303E-2</v>
      </c>
    </row>
    <row r="1152" spans="1:27">
      <c r="A1152" s="220">
        <v>44081</v>
      </c>
      <c r="B1152" s="222">
        <v>33.15</v>
      </c>
      <c r="C1152" s="227">
        <f t="shared" si="115"/>
        <v>3.0175015087507973E-4</v>
      </c>
      <c r="D1152" s="5">
        <f>C1152-C1275</f>
        <v>2.2370458131619052E-4</v>
      </c>
      <c r="F1152" s="8"/>
      <c r="H1152" s="1">
        <v>44111</v>
      </c>
      <c r="I1152">
        <v>30.7</v>
      </c>
      <c r="J1152" s="227">
        <f t="shared" si="116"/>
        <v>6.5602221450885123E-2</v>
      </c>
      <c r="K1152" s="5">
        <f>J1152-J1276</f>
        <v>6.3466265535275165E-2</v>
      </c>
      <c r="M1152" s="240" t="s">
        <v>987</v>
      </c>
      <c r="N1152">
        <v>3197.52</v>
      </c>
      <c r="O1152" s="227">
        <f t="shared" si="117"/>
        <v>-9.0002975304969146E-3</v>
      </c>
      <c r="P1152" s="5">
        <f>O1152-O1278</f>
        <v>-8.6345403295837436E-3</v>
      </c>
      <c r="Q1152" s="8">
        <f t="shared" si="119"/>
        <v>7.4555286703208138E-5</v>
      </c>
      <c r="X1152" t="s">
        <v>987</v>
      </c>
      <c r="Y1152">
        <v>32.381399999999999</v>
      </c>
      <c r="Z1152" s="48">
        <f t="shared" si="118"/>
        <v>-2.0087637538886205E-2</v>
      </c>
      <c r="AA1152" s="5">
        <f>Z1152-Y1274</f>
        <v>-2.4304957008160339E-2</v>
      </c>
    </row>
    <row r="1153" spans="1:27">
      <c r="A1153" s="220">
        <v>44050</v>
      </c>
      <c r="B1153" s="222">
        <v>33.93</v>
      </c>
      <c r="C1153" s="227">
        <f t="shared" si="115"/>
        <v>2.3529411764706021E-2</v>
      </c>
      <c r="D1153" s="5">
        <f>C1153-C1275</f>
        <v>2.3451366195147132E-2</v>
      </c>
      <c r="F1153" s="8"/>
      <c r="H1153" s="1">
        <v>44081</v>
      </c>
      <c r="I1153">
        <v>29.84</v>
      </c>
      <c r="J1153" s="227">
        <f t="shared" si="116"/>
        <v>-2.8013029315960947E-2</v>
      </c>
      <c r="K1153" s="5">
        <f>J1153-J1276</f>
        <v>-3.0148985231570904E-2</v>
      </c>
      <c r="M1153" s="240" t="s">
        <v>988</v>
      </c>
      <c r="N1153">
        <v>3155.22</v>
      </c>
      <c r="O1153" s="227">
        <f t="shared" si="117"/>
        <v>-1.3229002476919716E-2</v>
      </c>
      <c r="P1153" s="5">
        <f>O1153-O1278</f>
        <v>-1.2863245276006545E-2</v>
      </c>
      <c r="Q1153" s="8">
        <f t="shared" si="119"/>
        <v>1.6546307903070469E-4</v>
      </c>
      <c r="X1153" t="s">
        <v>988</v>
      </c>
      <c r="Y1153">
        <v>31.505199999999999</v>
      </c>
      <c r="Z1153" s="48">
        <f t="shared" si="118"/>
        <v>-2.7058743599720825E-2</v>
      </c>
      <c r="AA1153" s="5">
        <f>Z1153-Y1274</f>
        <v>-3.1276063068994955E-2</v>
      </c>
    </row>
    <row r="1154" spans="1:27">
      <c r="A1154" s="220">
        <v>44019</v>
      </c>
      <c r="B1154" s="222">
        <v>32.82</v>
      </c>
      <c r="C1154" s="227">
        <f t="shared" si="115"/>
        <v>-3.2714412024756889E-2</v>
      </c>
      <c r="D1154" s="5">
        <f>C1154-C1275</f>
        <v>-3.2792457594315781E-2</v>
      </c>
      <c r="F1154" s="8"/>
      <c r="H1154" s="1">
        <v>44050</v>
      </c>
      <c r="I1154">
        <v>32.18</v>
      </c>
      <c r="J1154" s="227">
        <f t="shared" si="116"/>
        <v>7.8418230563002567E-2</v>
      </c>
      <c r="K1154" s="5">
        <f>J1154-J1276</f>
        <v>7.6282274647392609E-2</v>
      </c>
      <c r="M1154" s="241">
        <v>44111</v>
      </c>
      <c r="N1154">
        <v>3185.04</v>
      </c>
      <c r="O1154" s="227">
        <f t="shared" si="117"/>
        <v>9.4510050012361901E-3</v>
      </c>
      <c r="P1154" s="5">
        <f>O1154-O1278</f>
        <v>9.8167622021493612E-3</v>
      </c>
      <c r="Q1154" s="8">
        <f t="shared" si="119"/>
        <v>9.6368820133548377E-5</v>
      </c>
      <c r="X1154" s="1">
        <v>44111</v>
      </c>
      <c r="Y1154">
        <v>31.331199999999999</v>
      </c>
      <c r="Z1154" s="48">
        <f t="shared" si="118"/>
        <v>-5.52289780734605E-3</v>
      </c>
      <c r="AA1154" s="5">
        <f>Z1154-Y1274</f>
        <v>-9.740217276620184E-3</v>
      </c>
    </row>
    <row r="1155" spans="1:27">
      <c r="A1155" s="220">
        <v>43989</v>
      </c>
      <c r="B1155" s="222">
        <v>32.520000000000003</v>
      </c>
      <c r="C1155" s="227">
        <f t="shared" si="115"/>
        <v>-9.1407678244971313E-3</v>
      </c>
      <c r="D1155" s="5">
        <f>C1155-C1275</f>
        <v>-9.2188133940560198E-3</v>
      </c>
      <c r="F1155" s="8"/>
      <c r="H1155" s="1">
        <v>44019</v>
      </c>
      <c r="I1155">
        <v>30.94</v>
      </c>
      <c r="J1155" s="227">
        <f t="shared" si="116"/>
        <v>-3.8533250466127988E-2</v>
      </c>
      <c r="K1155" s="5">
        <f>J1155-J1276</f>
        <v>-4.0669206381737946E-2</v>
      </c>
      <c r="M1155" s="241">
        <v>44081</v>
      </c>
      <c r="N1155">
        <v>3152.05</v>
      </c>
      <c r="O1155" s="227">
        <f t="shared" si="117"/>
        <v>-1.0357797704267369E-2</v>
      </c>
      <c r="P1155" s="5">
        <f>O1155-O1278</f>
        <v>-9.9920405033541975E-3</v>
      </c>
      <c r="Q1155" s="8">
        <f t="shared" si="119"/>
        <v>9.984087342067081E-5</v>
      </c>
      <c r="X1155" s="1">
        <v>44081</v>
      </c>
      <c r="Y1155">
        <v>31.1145</v>
      </c>
      <c r="Z1155" s="48">
        <f t="shared" si="118"/>
        <v>-6.9164283525686709E-3</v>
      </c>
      <c r="AA1155" s="5">
        <f>Z1155-Y1274</f>
        <v>-1.1133747821842805E-2</v>
      </c>
    </row>
    <row r="1156" spans="1:27">
      <c r="A1156" s="220">
        <v>43868</v>
      </c>
      <c r="B1156" s="222">
        <v>30.68</v>
      </c>
      <c r="C1156" s="227">
        <f t="shared" si="115"/>
        <v>-5.6580565805658178E-2</v>
      </c>
      <c r="D1156" s="5">
        <f>C1156-C1275</f>
        <v>-5.665861137521707E-2</v>
      </c>
      <c r="F1156" s="8"/>
      <c r="H1156" s="1">
        <v>43989</v>
      </c>
      <c r="I1156">
        <v>33.22</v>
      </c>
      <c r="J1156" s="227">
        <f t="shared" si="116"/>
        <v>7.3691014867485416E-2</v>
      </c>
      <c r="K1156" s="5">
        <f>J1156-J1276</f>
        <v>7.1555058951875458E-2</v>
      </c>
      <c r="M1156" s="241">
        <v>44050</v>
      </c>
      <c r="N1156">
        <v>3169.94</v>
      </c>
      <c r="O1156" s="227">
        <f t="shared" si="117"/>
        <v>5.6756713884613674E-3</v>
      </c>
      <c r="P1156" s="5">
        <f>O1156-O1278</f>
        <v>6.0414285893745394E-3</v>
      </c>
      <c r="Q1156" s="8">
        <f t="shared" si="119"/>
        <v>3.649885940051204E-5</v>
      </c>
      <c r="X1156" s="1">
        <v>44050</v>
      </c>
      <c r="Y1156">
        <v>31.912800000000001</v>
      </c>
      <c r="Z1156" s="48">
        <f t="shared" si="118"/>
        <v>2.5656848093332796E-2</v>
      </c>
      <c r="AA1156" s="5">
        <f>Z1156-Y1274</f>
        <v>2.1439528624058662E-2</v>
      </c>
    </row>
    <row r="1157" spans="1:27">
      <c r="A1157" s="220">
        <v>43837</v>
      </c>
      <c r="B1157" s="222">
        <v>30.43</v>
      </c>
      <c r="C1157" s="227">
        <f t="shared" si="115"/>
        <v>-8.1486310299869746E-3</v>
      </c>
      <c r="D1157" s="5">
        <f>C1157-C1275</f>
        <v>-8.2266765995458631E-3</v>
      </c>
      <c r="F1157" s="8"/>
      <c r="H1157" s="1">
        <v>43868</v>
      </c>
      <c r="I1157">
        <v>31.82</v>
      </c>
      <c r="J1157" s="227">
        <f t="shared" si="116"/>
        <v>-4.2143287176399702E-2</v>
      </c>
      <c r="K1157" s="5">
        <f>J1157-J1276</f>
        <v>-4.427924309200966E-2</v>
      </c>
      <c r="M1157" s="241">
        <v>44019</v>
      </c>
      <c r="N1157">
        <v>3145.32</v>
      </c>
      <c r="O1157" s="227">
        <f t="shared" si="117"/>
        <v>-7.7667085181423179E-3</v>
      </c>
      <c r="P1157" s="5">
        <f>O1157-O1278</f>
        <v>-7.400951317229146E-3</v>
      </c>
      <c r="Q1157" s="8">
        <f t="shared" si="119"/>
        <v>5.4774080399995832E-5</v>
      </c>
      <c r="X1157" s="1">
        <v>44019</v>
      </c>
      <c r="Y1157">
        <v>31.2714</v>
      </c>
      <c r="Z1157" s="48">
        <f t="shared" si="118"/>
        <v>-2.0098518462811188E-2</v>
      </c>
      <c r="AA1157" s="5">
        <f>Z1157-Y1274</f>
        <v>-2.4315837932085322E-2</v>
      </c>
    </row>
    <row r="1158" spans="1:27">
      <c r="A1158" s="3" t="s">
        <v>989</v>
      </c>
      <c r="B1158" s="222">
        <v>31.08</v>
      </c>
      <c r="C1158" s="227">
        <f t="shared" si="115"/>
        <v>2.1360499507065311E-2</v>
      </c>
      <c r="D1158" s="5">
        <f>C1158-C1275</f>
        <v>2.1282453937506423E-2</v>
      </c>
      <c r="F1158" s="8"/>
      <c r="H1158" s="1">
        <v>43837</v>
      </c>
      <c r="I1158">
        <v>32</v>
      </c>
      <c r="J1158" s="227">
        <f t="shared" si="116"/>
        <v>5.6568196103079504E-3</v>
      </c>
      <c r="K1158" s="5">
        <f>J1158-J1276</f>
        <v>3.5208636946979927E-3</v>
      </c>
      <c r="M1158" s="241">
        <v>43989</v>
      </c>
      <c r="N1158">
        <v>3179.72</v>
      </c>
      <c r="O1158" s="227">
        <f t="shared" si="117"/>
        <v>1.0936884005442904E-2</v>
      </c>
      <c r="P1158" s="5">
        <f>O1158-O1278</f>
        <v>1.1302641206356075E-2</v>
      </c>
      <c r="Q1158" s="8">
        <f t="shared" si="119"/>
        <v>1.277496982396183E-4</v>
      </c>
      <c r="X1158" s="1">
        <v>43989</v>
      </c>
      <c r="Y1158">
        <v>32.5959</v>
      </c>
      <c r="Z1158" s="48">
        <f t="shared" si="118"/>
        <v>4.2354995299219045E-2</v>
      </c>
      <c r="AA1158" s="5">
        <f>Z1158-Y1274</f>
        <v>3.8137675829944914E-2</v>
      </c>
    </row>
    <row r="1159" spans="1:27">
      <c r="A1159" s="3" t="s">
        <v>990</v>
      </c>
      <c r="B1159" s="222">
        <v>29.63</v>
      </c>
      <c r="C1159" s="227">
        <f t="shared" si="115"/>
        <v>-4.6653796653796653E-2</v>
      </c>
      <c r="D1159" s="5">
        <f>C1159-C1275</f>
        <v>-4.6731842223355545E-2</v>
      </c>
      <c r="E1159" s="1"/>
      <c r="F1159" s="8"/>
      <c r="H1159" t="s">
        <v>989</v>
      </c>
      <c r="I1159">
        <v>33.01</v>
      </c>
      <c r="J1159" s="227">
        <f t="shared" si="116"/>
        <v>3.1562499999999938E-2</v>
      </c>
      <c r="K1159" s="5">
        <f>J1159-J1276</f>
        <v>2.942654408438998E-2</v>
      </c>
      <c r="M1159" s="241">
        <v>43868</v>
      </c>
      <c r="N1159">
        <v>3130.01</v>
      </c>
      <c r="O1159" s="227">
        <f t="shared" si="117"/>
        <v>-1.5633452002062898E-2</v>
      </c>
      <c r="P1159" s="5">
        <f>O1159-O1278</f>
        <v>-1.5267694801149726E-2</v>
      </c>
      <c r="Q1159" s="8">
        <f t="shared" si="119"/>
        <v>2.3310250454105439E-4</v>
      </c>
      <c r="X1159" s="1">
        <v>43868</v>
      </c>
      <c r="Y1159">
        <v>32.049500000000002</v>
      </c>
      <c r="Z1159" s="48">
        <f t="shared" si="118"/>
        <v>-1.6762844406811861E-2</v>
      </c>
      <c r="AA1159" s="5">
        <f>Z1159-Y1274</f>
        <v>-2.0980163876085995E-2</v>
      </c>
    </row>
    <row r="1160" spans="1:27">
      <c r="A1160" s="3" t="s">
        <v>991</v>
      </c>
      <c r="B1160" s="222">
        <v>29.61</v>
      </c>
      <c r="C1160" s="227">
        <f t="shared" si="115"/>
        <v>-6.7499156260542037E-4</v>
      </c>
      <c r="D1160" s="5">
        <f>C1160-C1275</f>
        <v>-7.5303713216430957E-4</v>
      </c>
      <c r="E1160" s="1"/>
      <c r="F1160" s="8"/>
      <c r="H1160" t="s">
        <v>990</v>
      </c>
      <c r="I1160">
        <v>33.06</v>
      </c>
      <c r="J1160" s="227">
        <f t="shared" si="116"/>
        <v>1.5146925174192027E-3</v>
      </c>
      <c r="K1160" s="5">
        <f>J1160-J1276</f>
        <v>-6.2126339819075505E-4</v>
      </c>
      <c r="M1160" s="241">
        <v>43837</v>
      </c>
      <c r="N1160">
        <v>3115.86</v>
      </c>
      <c r="O1160" s="227">
        <f t="shared" si="117"/>
        <v>-4.5207523298648189E-3</v>
      </c>
      <c r="P1160" s="5">
        <f>O1160-O1278</f>
        <v>-4.154995128951647E-3</v>
      </c>
      <c r="Q1160" s="8">
        <f t="shared" si="119"/>
        <v>1.7263984521611914E-5</v>
      </c>
      <c r="X1160" s="1">
        <v>43837</v>
      </c>
      <c r="Y1160">
        <v>31.578800000000001</v>
      </c>
      <c r="Z1160" s="48">
        <f t="shared" si="118"/>
        <v>-1.468665657810575E-2</v>
      </c>
      <c r="AA1160" s="5">
        <f>Z1160-Y1274</f>
        <v>-1.8903976047379884E-2</v>
      </c>
    </row>
    <row r="1161" spans="1:27">
      <c r="A1161" s="3" t="s">
        <v>992</v>
      </c>
      <c r="B1161" s="222">
        <v>30.58</v>
      </c>
      <c r="C1161" s="227">
        <f t="shared" si="115"/>
        <v>3.2759202971968993E-2</v>
      </c>
      <c r="D1161" s="5">
        <f>C1161-C1275</f>
        <v>3.2681157402410101E-2</v>
      </c>
      <c r="E1161" s="1"/>
      <c r="F1161" s="8"/>
      <c r="H1161" t="s">
        <v>991</v>
      </c>
      <c r="I1161">
        <v>32.270000000000003</v>
      </c>
      <c r="J1161" s="227">
        <f t="shared" si="116"/>
        <v>-2.3895946763460296E-2</v>
      </c>
      <c r="K1161" s="5">
        <f>J1161-J1276</f>
        <v>-2.6031902679070254E-2</v>
      </c>
      <c r="M1161" s="240" t="s">
        <v>989</v>
      </c>
      <c r="N1161">
        <v>3100.29</v>
      </c>
      <c r="O1161" s="227">
        <f t="shared" si="117"/>
        <v>-4.9970152702625281E-3</v>
      </c>
      <c r="P1161" s="5">
        <f>O1161-O1278</f>
        <v>-4.6312580693493562E-3</v>
      </c>
      <c r="Q1161" s="8">
        <f t="shared" si="119"/>
        <v>2.1448551304913527E-5</v>
      </c>
      <c r="X1161" t="s">
        <v>989</v>
      </c>
      <c r="Y1161">
        <v>32.251199999999997</v>
      </c>
      <c r="Z1161" s="48">
        <f t="shared" si="118"/>
        <v>2.1292766032908084E-2</v>
      </c>
      <c r="AA1161" s="5">
        <f>Z1161-Y1274</f>
        <v>1.707544656363395E-2</v>
      </c>
    </row>
    <row r="1162" spans="1:27">
      <c r="A1162" s="3" t="s">
        <v>993</v>
      </c>
      <c r="B1162" s="222">
        <v>30.46</v>
      </c>
      <c r="C1162" s="227">
        <f t="shared" si="115"/>
        <v>-3.9241334205362133E-3</v>
      </c>
      <c r="D1162" s="5">
        <f>C1162-C1275</f>
        <v>-4.0021789900951026E-3</v>
      </c>
      <c r="E1162" s="1"/>
      <c r="F1162" s="8"/>
      <c r="H1162" t="s">
        <v>992</v>
      </c>
      <c r="I1162">
        <v>33.19</v>
      </c>
      <c r="J1162" s="227">
        <f t="shared" si="116"/>
        <v>2.8509451502943817E-2</v>
      </c>
      <c r="K1162" s="5">
        <f>J1162-J1276</f>
        <v>2.6373495587333859E-2</v>
      </c>
      <c r="M1162" s="240" t="s">
        <v>990</v>
      </c>
      <c r="N1162">
        <v>3053.24</v>
      </c>
      <c r="O1162" s="227">
        <f t="shared" si="117"/>
        <v>-1.5175999664547524E-2</v>
      </c>
      <c r="P1162" s="5">
        <f>O1162-O1278</f>
        <v>-1.4810242463634353E-2</v>
      </c>
      <c r="Q1162" s="8">
        <f t="shared" si="119"/>
        <v>2.1934328183163815E-4</v>
      </c>
      <c r="X1162" t="s">
        <v>990</v>
      </c>
      <c r="Y1162">
        <v>32.2149</v>
      </c>
      <c r="Z1162" s="48">
        <f t="shared" si="118"/>
        <v>-1.1255395148086489E-3</v>
      </c>
      <c r="AA1162" s="5">
        <f>Z1162-Y1274</f>
        <v>-5.342858984082783E-3</v>
      </c>
    </row>
    <row r="1163" spans="1:27">
      <c r="A1163" s="3" t="s">
        <v>994</v>
      </c>
      <c r="B1163" s="222">
        <v>33.049999999999997</v>
      </c>
      <c r="C1163" s="227">
        <f t="shared" si="115"/>
        <v>8.5029546946815415E-2</v>
      </c>
      <c r="D1163" s="5">
        <f>C1163-C1275</f>
        <v>8.495150137725653E-2</v>
      </c>
      <c r="E1163" s="1"/>
      <c r="F1163" s="8"/>
      <c r="H1163" t="s">
        <v>993</v>
      </c>
      <c r="I1163">
        <v>32.795000000000002</v>
      </c>
      <c r="J1163" s="227">
        <f t="shared" si="116"/>
        <v>-1.1901175052726587E-2</v>
      </c>
      <c r="K1163" s="5">
        <f>J1163-J1276</f>
        <v>-1.4037130968336545E-2</v>
      </c>
      <c r="M1163" s="240" t="s">
        <v>991</v>
      </c>
      <c r="N1163">
        <v>3009.05</v>
      </c>
      <c r="O1163" s="227">
        <f t="shared" si="117"/>
        <v>-1.4473149834274279E-2</v>
      </c>
      <c r="P1163" s="5">
        <f>O1163-O1278</f>
        <v>-1.4107392633361108E-2</v>
      </c>
      <c r="Q1163" s="8">
        <f t="shared" si="119"/>
        <v>1.9901852691181127E-4</v>
      </c>
      <c r="X1163" t="s">
        <v>991</v>
      </c>
      <c r="Y1163">
        <v>31.530799999999999</v>
      </c>
      <c r="Z1163" s="48">
        <f t="shared" si="118"/>
        <v>-2.1235515242946645E-2</v>
      </c>
      <c r="AA1163" s="5">
        <f>Z1163-Y1274</f>
        <v>-2.5452834712220779E-2</v>
      </c>
    </row>
    <row r="1164" spans="1:27">
      <c r="A1164" s="3" t="s">
        <v>995</v>
      </c>
      <c r="B1164" s="222">
        <v>32.68</v>
      </c>
      <c r="C1164" s="227">
        <f t="shared" si="115"/>
        <v>-1.1195158850226816E-2</v>
      </c>
      <c r="D1164" s="5">
        <f>C1164-C1275</f>
        <v>-1.1273204419785705E-2</v>
      </c>
      <c r="E1164" s="1"/>
      <c r="F1164" s="8"/>
      <c r="H1164" t="s">
        <v>994</v>
      </c>
      <c r="I1164">
        <v>35.6</v>
      </c>
      <c r="J1164" s="227">
        <f t="shared" si="116"/>
        <v>8.5531330995578525E-2</v>
      </c>
      <c r="K1164" s="5">
        <f>J1164-J1276</f>
        <v>8.3395375079968567E-2</v>
      </c>
      <c r="M1164" s="240" t="s">
        <v>992</v>
      </c>
      <c r="N1164">
        <v>3083.76</v>
      </c>
      <c r="O1164" s="227">
        <f t="shared" si="117"/>
        <v>2.4828434223425955E-2</v>
      </c>
      <c r="P1164" s="5">
        <f>O1164-O1278</f>
        <v>2.5194191424339128E-2</v>
      </c>
      <c r="Q1164" s="8">
        <f t="shared" si="119"/>
        <v>6.3474728152624325E-4</v>
      </c>
      <c r="X1164" t="s">
        <v>992</v>
      </c>
      <c r="Y1164">
        <v>31.152999999999999</v>
      </c>
      <c r="Z1164" s="48">
        <f t="shared" si="118"/>
        <v>-1.1981935123752008E-2</v>
      </c>
      <c r="AA1164" s="5">
        <f>Z1164-Y1274</f>
        <v>-1.6199254593026142E-2</v>
      </c>
    </row>
    <row r="1165" spans="1:27">
      <c r="A1165" s="3" t="s">
        <v>996</v>
      </c>
      <c r="B1165" s="222">
        <v>32.299999999999997</v>
      </c>
      <c r="C1165" s="227">
        <f t="shared" si="115"/>
        <v>-1.1627906976744318E-2</v>
      </c>
      <c r="D1165" s="5">
        <f>C1165-C1275</f>
        <v>-1.1705952546303206E-2</v>
      </c>
      <c r="E1165" s="1"/>
      <c r="F1165" s="8"/>
      <c r="H1165" t="s">
        <v>995</v>
      </c>
      <c r="I1165">
        <v>34.25</v>
      </c>
      <c r="J1165" s="227">
        <f t="shared" si="116"/>
        <v>-3.7921348314606806E-2</v>
      </c>
      <c r="K1165" s="5">
        <f>J1165-J1276</f>
        <v>-4.0057304230216764E-2</v>
      </c>
      <c r="M1165" s="240" t="s">
        <v>993</v>
      </c>
      <c r="N1165">
        <v>3050.33</v>
      </c>
      <c r="O1165" s="227">
        <f t="shared" si="117"/>
        <v>-1.0840662048927419E-2</v>
      </c>
      <c r="P1165" s="5">
        <f>O1165-O1278</f>
        <v>-1.0474904848014248E-2</v>
      </c>
      <c r="Q1165" s="8">
        <f t="shared" si="119"/>
        <v>1.0972363157495239E-4</v>
      </c>
      <c r="X1165" t="s">
        <v>993</v>
      </c>
      <c r="Y1165">
        <v>31.413399999999999</v>
      </c>
      <c r="Z1165" s="48">
        <f t="shared" si="118"/>
        <v>8.3587455461753279E-3</v>
      </c>
      <c r="AA1165" s="5">
        <f>Z1165-Y1274</f>
        <v>4.1414260769011939E-3</v>
      </c>
    </row>
    <row r="1166" spans="1:27">
      <c r="A1166" s="3" t="s">
        <v>997</v>
      </c>
      <c r="B1166" s="222">
        <v>33.4</v>
      </c>
      <c r="C1166" s="227">
        <f t="shared" si="115"/>
        <v>3.4055727554179516E-2</v>
      </c>
      <c r="D1166" s="5">
        <f>C1166-C1275</f>
        <v>3.3977681984620624E-2</v>
      </c>
      <c r="E1166" s="1"/>
      <c r="F1166" s="8"/>
      <c r="H1166" t="s">
        <v>996</v>
      </c>
      <c r="I1166">
        <v>34.82</v>
      </c>
      <c r="J1166" s="227">
        <f t="shared" si="116"/>
        <v>1.6642335766423377E-2</v>
      </c>
      <c r="K1166" s="5">
        <f>J1166-J1276</f>
        <v>1.450637985081342E-2</v>
      </c>
      <c r="M1166" s="240" t="s">
        <v>994</v>
      </c>
      <c r="N1166">
        <v>3131.29</v>
      </c>
      <c r="O1166" s="227">
        <f t="shared" si="117"/>
        <v>2.6541390603639581E-2</v>
      </c>
      <c r="P1166" s="5">
        <f>O1166-O1278</f>
        <v>2.6907147804552754E-2</v>
      </c>
      <c r="Q1166" s="8">
        <f t="shared" si="119"/>
        <v>7.2399460297604805E-4</v>
      </c>
      <c r="X1166" t="s">
        <v>994</v>
      </c>
      <c r="Y1166">
        <v>32.497700000000002</v>
      </c>
      <c r="Z1166" s="48">
        <f t="shared" si="118"/>
        <v>3.4517116899157818E-2</v>
      </c>
      <c r="AA1166" s="5">
        <f>Z1166-Y1274</f>
        <v>3.0299797429883684E-2</v>
      </c>
    </row>
    <row r="1167" spans="1:27">
      <c r="A1167" s="3" t="s">
        <v>998</v>
      </c>
      <c r="B1167" s="222">
        <v>33.29</v>
      </c>
      <c r="C1167" s="227">
        <f t="shared" si="115"/>
        <v>-3.2934131736527261E-3</v>
      </c>
      <c r="D1167" s="5">
        <f>C1167-C1275</f>
        <v>-3.3714587432116154E-3</v>
      </c>
      <c r="E1167" s="1"/>
      <c r="F1167" s="8"/>
      <c r="H1167" t="s">
        <v>997</v>
      </c>
      <c r="I1167">
        <v>35.83</v>
      </c>
      <c r="J1167" s="227">
        <f t="shared" si="116"/>
        <v>2.9006318207926318E-2</v>
      </c>
      <c r="K1167" s="5">
        <f>J1167-J1276</f>
        <v>2.687036229231636E-2</v>
      </c>
      <c r="M1167" s="240" t="s">
        <v>995</v>
      </c>
      <c r="N1167">
        <v>3117.86</v>
      </c>
      <c r="O1167" s="227">
        <f t="shared" si="117"/>
        <v>-4.288967166886426E-3</v>
      </c>
      <c r="P1167" s="5">
        <f>O1167-O1278</f>
        <v>-3.9232099659732541E-3</v>
      </c>
      <c r="Q1167" s="8">
        <f t="shared" si="119"/>
        <v>1.5391576437111862E-5</v>
      </c>
      <c r="X1167" t="s">
        <v>995</v>
      </c>
      <c r="Y1167">
        <v>32.398400000000002</v>
      </c>
      <c r="Z1167" s="48">
        <f t="shared" si="118"/>
        <v>-3.0556008579069038E-3</v>
      </c>
      <c r="AA1167" s="5">
        <f>Z1167-Y1274</f>
        <v>-7.2729203271810379E-3</v>
      </c>
    </row>
    <row r="1168" spans="1:27">
      <c r="A1168" s="3" t="s">
        <v>999</v>
      </c>
      <c r="B1168" s="222">
        <v>33.49</v>
      </c>
      <c r="C1168" s="227">
        <f t="shared" si="115"/>
        <v>6.0078101531992889E-3</v>
      </c>
      <c r="D1168" s="5">
        <f>C1168-C1275</f>
        <v>5.9297645836403996E-3</v>
      </c>
      <c r="E1168" s="1"/>
      <c r="F1168" s="8"/>
      <c r="H1168" t="s">
        <v>998</v>
      </c>
      <c r="I1168">
        <v>35.32</v>
      </c>
      <c r="J1168" s="227">
        <f t="shared" si="116"/>
        <v>-1.4233882221601935E-2</v>
      </c>
      <c r="K1168" s="5">
        <f>J1168-J1276</f>
        <v>-1.6369838137211892E-2</v>
      </c>
      <c r="M1168" s="240" t="s">
        <v>996</v>
      </c>
      <c r="N1168">
        <v>3097.74</v>
      </c>
      <c r="O1168" s="227">
        <f t="shared" si="117"/>
        <v>-6.4531441437397641E-3</v>
      </c>
      <c r="P1168" s="5">
        <f>O1168-O1278</f>
        <v>-6.0873869428265922E-3</v>
      </c>
      <c r="Q1168" s="8">
        <f t="shared" si="119"/>
        <v>3.7056279791695684E-5</v>
      </c>
      <c r="X1168" t="s">
        <v>996</v>
      </c>
      <c r="Y1168">
        <v>33.082599999999999</v>
      </c>
      <c r="Z1168" s="48">
        <f t="shared" si="118"/>
        <v>2.1118326830954492E-2</v>
      </c>
      <c r="AA1168" s="5">
        <f>Z1168-Y1274</f>
        <v>1.6901007361680358E-2</v>
      </c>
    </row>
    <row r="1169" spans="1:27">
      <c r="A1169" s="3" t="s">
        <v>1000</v>
      </c>
      <c r="B1169" s="222">
        <v>32.67</v>
      </c>
      <c r="C1169" s="227">
        <f t="shared" si="115"/>
        <v>-2.4484920871902016E-2</v>
      </c>
      <c r="D1169" s="5">
        <f>C1169-C1275</f>
        <v>-2.4562966441460905E-2</v>
      </c>
      <c r="F1169" s="8"/>
      <c r="H1169" t="s">
        <v>999</v>
      </c>
      <c r="I1169">
        <v>36.71</v>
      </c>
      <c r="J1169" s="227">
        <f t="shared" si="116"/>
        <v>3.9354473386183475E-2</v>
      </c>
      <c r="K1169" s="5">
        <f>J1169-J1276</f>
        <v>3.7218517470573517E-2</v>
      </c>
      <c r="M1169" s="240" t="s">
        <v>997</v>
      </c>
      <c r="N1169">
        <v>3115.34</v>
      </c>
      <c r="O1169" s="227">
        <f t="shared" si="117"/>
        <v>5.6815613963729916E-3</v>
      </c>
      <c r="P1169" s="5">
        <f>O1169-O1278</f>
        <v>6.0473185972861635E-3</v>
      </c>
      <c r="Q1169" s="8">
        <f t="shared" si="119"/>
        <v>3.6570062217083093E-5</v>
      </c>
      <c r="X1169" t="s">
        <v>997</v>
      </c>
      <c r="Y1169">
        <v>33.268300000000004</v>
      </c>
      <c r="Z1169" s="48">
        <f t="shared" si="118"/>
        <v>5.6132226608551772E-3</v>
      </c>
      <c r="AA1169" s="5">
        <f>Z1169-Y1274</f>
        <v>1.3959031915810431E-3</v>
      </c>
    </row>
    <row r="1170" spans="1:27">
      <c r="A1170" s="220">
        <v>44171</v>
      </c>
      <c r="B1170" s="222">
        <v>32.24</v>
      </c>
      <c r="C1170" s="227">
        <f t="shared" ref="C1170:C1233" si="120">B1170/B1169-1</f>
        <v>-1.3161922252831304E-2</v>
      </c>
      <c r="D1170" s="5">
        <f>C1170-C1275</f>
        <v>-1.3239967822390192E-2</v>
      </c>
      <c r="F1170" s="8"/>
      <c r="H1170" t="s">
        <v>1000</v>
      </c>
      <c r="I1170">
        <v>36.21</v>
      </c>
      <c r="J1170" s="227">
        <f t="shared" si="116"/>
        <v>-1.3620266957232396E-2</v>
      </c>
      <c r="K1170" s="5">
        <f>J1170-J1276</f>
        <v>-1.5756222872842354E-2</v>
      </c>
      <c r="M1170" s="240" t="s">
        <v>998</v>
      </c>
      <c r="N1170">
        <v>3113.49</v>
      </c>
      <c r="O1170" s="227">
        <f t="shared" si="117"/>
        <v>-5.938356648071963E-4</v>
      </c>
      <c r="P1170" s="5">
        <f>O1170-O1278</f>
        <v>-2.2807846389402475E-4</v>
      </c>
      <c r="Q1170" s="8">
        <f t="shared" si="119"/>
        <v>5.2019785692257952E-8</v>
      </c>
      <c r="X1170" t="s">
        <v>998</v>
      </c>
      <c r="Y1170">
        <v>33.697299999999998</v>
      </c>
      <c r="Z1170" s="48">
        <f t="shared" si="118"/>
        <v>1.2895158454143907E-2</v>
      </c>
      <c r="AA1170" s="5">
        <f>Z1170-Y1274</f>
        <v>8.6778389848697728E-3</v>
      </c>
    </row>
    <row r="1171" spans="1:27">
      <c r="A1171" s="220">
        <v>44141</v>
      </c>
      <c r="B1171" s="222">
        <v>31.1</v>
      </c>
      <c r="C1171" s="227">
        <f t="shared" si="120"/>
        <v>-3.5359801488833775E-2</v>
      </c>
      <c r="D1171" s="5">
        <f>C1171-C1275</f>
        <v>-3.5437847058392667E-2</v>
      </c>
      <c r="F1171" s="8"/>
      <c r="H1171" s="1">
        <v>44171</v>
      </c>
      <c r="I1171">
        <v>36.89</v>
      </c>
      <c r="J1171" s="227">
        <f t="shared" si="116"/>
        <v>1.8779342723004744E-2</v>
      </c>
      <c r="K1171" s="5">
        <f>J1171-J1276</f>
        <v>1.6643386807394786E-2</v>
      </c>
      <c r="M1171" s="240" t="s">
        <v>999</v>
      </c>
      <c r="N1171">
        <v>3124.74</v>
      </c>
      <c r="O1171" s="227">
        <f t="shared" si="117"/>
        <v>3.6133085380072316E-3</v>
      </c>
      <c r="P1171" s="5">
        <f>O1171-O1278</f>
        <v>3.9790657389204035E-3</v>
      </c>
      <c r="Q1171" s="8">
        <f t="shared" si="119"/>
        <v>1.5832964154650178E-5</v>
      </c>
      <c r="X1171" t="s">
        <v>999</v>
      </c>
      <c r="Y1171">
        <v>33.418700000000001</v>
      </c>
      <c r="Z1171" s="48">
        <f t="shared" si="118"/>
        <v>-8.2677247138494003E-3</v>
      </c>
      <c r="AA1171" s="5">
        <f>Z1171-Y1274</f>
        <v>-1.2485044183123534E-2</v>
      </c>
    </row>
    <row r="1172" spans="1:27">
      <c r="A1172" s="220">
        <v>44110</v>
      </c>
      <c r="B1172" s="222">
        <v>34.83</v>
      </c>
      <c r="C1172" s="227">
        <f t="shared" si="120"/>
        <v>0.11993569131832782</v>
      </c>
      <c r="D1172" s="5">
        <f>C1172-C1275</f>
        <v>0.11985764574876893</v>
      </c>
      <c r="F1172" s="8"/>
      <c r="H1172" s="1">
        <v>44141</v>
      </c>
      <c r="I1172">
        <v>35.32</v>
      </c>
      <c r="J1172" s="227">
        <f t="shared" ref="J1172:J1235" si="121">I1172/I1171-1</f>
        <v>-4.2558959067497959E-2</v>
      </c>
      <c r="K1172" s="5">
        <f>J1172-J1276</f>
        <v>-4.4694914983107917E-2</v>
      </c>
      <c r="M1172" s="240" t="s">
        <v>1000</v>
      </c>
      <c r="N1172">
        <v>3066.59</v>
      </c>
      <c r="O1172" s="227">
        <f t="shared" si="117"/>
        <v>-1.8609548314419633E-2</v>
      </c>
      <c r="P1172" s="5">
        <f>O1172-O1278</f>
        <v>-1.824379111350646E-2</v>
      </c>
      <c r="Q1172" s="8">
        <f t="shared" si="119"/>
        <v>3.328359141932573E-4</v>
      </c>
      <c r="X1172" t="s">
        <v>1000</v>
      </c>
      <c r="Y1172">
        <v>33.1434</v>
      </c>
      <c r="Z1172" s="48">
        <f t="shared" si="118"/>
        <v>-8.2379027311056952E-3</v>
      </c>
      <c r="AA1172" s="5">
        <f>Z1172-Y1274</f>
        <v>-1.2455222200379829E-2</v>
      </c>
    </row>
    <row r="1173" spans="1:27">
      <c r="A1173" s="220">
        <v>44080</v>
      </c>
      <c r="B1173" s="222">
        <v>36.590000000000003</v>
      </c>
      <c r="C1173" s="227">
        <f t="shared" si="120"/>
        <v>5.0531151306345334E-2</v>
      </c>
      <c r="D1173" s="5">
        <f>C1173-C1275</f>
        <v>5.0453105736786442E-2</v>
      </c>
      <c r="F1173" s="8"/>
      <c r="H1173" s="1">
        <v>44110</v>
      </c>
      <c r="I1173">
        <v>38.56</v>
      </c>
      <c r="J1173" s="227">
        <f t="shared" si="121"/>
        <v>9.1732729331823304E-2</v>
      </c>
      <c r="K1173" s="5">
        <f>J1173-J1276</f>
        <v>8.9596773416213346E-2</v>
      </c>
      <c r="M1173" s="241">
        <v>44171</v>
      </c>
      <c r="N1173">
        <v>3041.31</v>
      </c>
      <c r="O1173" s="227">
        <f t="shared" si="117"/>
        <v>-8.2436843529785087E-3</v>
      </c>
      <c r="P1173" s="5">
        <f>O1173-O1278</f>
        <v>-7.8779271520653376E-3</v>
      </c>
      <c r="Q1173" s="8">
        <f t="shared" si="119"/>
        <v>6.2061736213248284E-5</v>
      </c>
      <c r="X1173" s="1">
        <v>44171</v>
      </c>
      <c r="Y1173">
        <v>33.6066</v>
      </c>
      <c r="Z1173" s="48">
        <f t="shared" si="118"/>
        <v>1.3975633157732759E-2</v>
      </c>
      <c r="AA1173" s="5">
        <f>Z1173-Y1274</f>
        <v>9.7583136884586245E-3</v>
      </c>
    </row>
    <row r="1174" spans="1:27">
      <c r="A1174" s="220">
        <v>44049</v>
      </c>
      <c r="B1174" s="222">
        <v>37.08</v>
      </c>
      <c r="C1174" s="227">
        <f t="shared" si="120"/>
        <v>1.3391637059305683E-2</v>
      </c>
      <c r="D1174" s="5">
        <f>C1174-C1275</f>
        <v>1.3313591489746795E-2</v>
      </c>
      <c r="F1174" s="8"/>
      <c r="H1174" s="1">
        <v>44080</v>
      </c>
      <c r="I1174">
        <v>39.21</v>
      </c>
      <c r="J1174" s="227">
        <f t="shared" si="121"/>
        <v>1.6856846473028986E-2</v>
      </c>
      <c r="K1174" s="5">
        <f>J1174-J1276</f>
        <v>1.4720890557419028E-2</v>
      </c>
      <c r="M1174" s="241">
        <v>44141</v>
      </c>
      <c r="N1174">
        <v>3002.1</v>
      </c>
      <c r="O1174" s="227">
        <f t="shared" ref="O1174:O1237" si="122">N1174/N1173-1</f>
        <v>-1.2892470678753543E-2</v>
      </c>
      <c r="P1174" s="5">
        <f>O1174-O1278</f>
        <v>-1.2526713477840372E-2</v>
      </c>
      <c r="Q1174" s="8">
        <f t="shared" si="119"/>
        <v>1.5691855055590762E-4</v>
      </c>
      <c r="X1174" s="1">
        <v>44141</v>
      </c>
      <c r="Y1174">
        <v>33.101799999999997</v>
      </c>
      <c r="Z1174" s="48">
        <f t="shared" ref="Z1174:Z1237" si="123">Y1174/Y1173-1</f>
        <v>-1.5020858997935038E-2</v>
      </c>
      <c r="AA1174" s="5">
        <f>Z1174-Y1274</f>
        <v>-1.9238178467209172E-2</v>
      </c>
    </row>
    <row r="1175" spans="1:27">
      <c r="A1175" s="220">
        <v>43957</v>
      </c>
      <c r="B1175" s="222">
        <v>37.21</v>
      </c>
      <c r="C1175" s="227">
        <f t="shared" si="120"/>
        <v>3.5059331175837372E-3</v>
      </c>
      <c r="D1175" s="5">
        <f>C1175-C1275</f>
        <v>3.4278875480248478E-3</v>
      </c>
      <c r="F1175" s="8"/>
      <c r="H1175" s="1">
        <v>44049</v>
      </c>
      <c r="I1175">
        <v>40.98</v>
      </c>
      <c r="J1175" s="227">
        <f t="shared" si="121"/>
        <v>4.5141545524100879E-2</v>
      </c>
      <c r="K1175" s="5">
        <f>J1175-J1276</f>
        <v>4.3005589608490921E-2</v>
      </c>
      <c r="M1175" s="241">
        <v>44110</v>
      </c>
      <c r="N1175">
        <v>3190.14</v>
      </c>
      <c r="O1175" s="227">
        <f t="shared" si="122"/>
        <v>6.2636154691715795E-2</v>
      </c>
      <c r="P1175" s="5">
        <f>O1175-O1278</f>
        <v>6.3001911892628965E-2</v>
      </c>
      <c r="Q1175" s="8">
        <f t="shared" ref="Q1175:Q1238" si="124">P1175*P1175</f>
        <v>3.9692409021265833E-3</v>
      </c>
      <c r="X1175" s="1">
        <v>44110</v>
      </c>
      <c r="Y1175">
        <v>34.925699999999999</v>
      </c>
      <c r="Z1175" s="48">
        <f t="shared" si="123"/>
        <v>5.5099722673691565E-2</v>
      </c>
      <c r="AA1175" s="5">
        <f>Z1175-Y1274</f>
        <v>5.0882403204417434E-2</v>
      </c>
    </row>
    <row r="1176" spans="1:27">
      <c r="A1176" s="220">
        <v>43927</v>
      </c>
      <c r="B1176" s="222">
        <v>36.43</v>
      </c>
      <c r="C1176" s="227">
        <f t="shared" si="120"/>
        <v>-2.0962106960494498E-2</v>
      </c>
      <c r="D1176" s="5">
        <f>C1176-C1275</f>
        <v>-2.1040152530053386E-2</v>
      </c>
      <c r="F1176" s="8"/>
      <c r="H1176" s="1">
        <v>43957</v>
      </c>
      <c r="I1176">
        <v>38.61</v>
      </c>
      <c r="J1176" s="227">
        <f t="shared" si="121"/>
        <v>-5.7833089311859376E-2</v>
      </c>
      <c r="K1176" s="5">
        <f>J1176-J1276</f>
        <v>-5.9969045227469334E-2</v>
      </c>
      <c r="M1176" s="241">
        <v>44080</v>
      </c>
      <c r="N1176">
        <v>3207.18</v>
      </c>
      <c r="O1176" s="227">
        <f t="shared" si="122"/>
        <v>5.3414583685982286E-3</v>
      </c>
      <c r="P1176" s="5">
        <f>O1176-O1278</f>
        <v>5.7072155695114006E-3</v>
      </c>
      <c r="Q1176" s="8">
        <f t="shared" si="124"/>
        <v>3.2572309556873339E-5</v>
      </c>
      <c r="X1176" s="1">
        <v>44080</v>
      </c>
      <c r="Y1176">
        <v>36.3003</v>
      </c>
      <c r="Z1176" s="48">
        <f t="shared" si="123"/>
        <v>3.9357836779220001E-2</v>
      </c>
      <c r="AA1176" s="5">
        <f>Z1176-Y1274</f>
        <v>3.5140517309945871E-2</v>
      </c>
    </row>
    <row r="1177" spans="1:27">
      <c r="A1177" s="220">
        <v>43896</v>
      </c>
      <c r="B1177" s="222">
        <v>36.75</v>
      </c>
      <c r="C1177" s="227">
        <f t="shared" si="120"/>
        <v>8.7839692561075822E-3</v>
      </c>
      <c r="D1177" s="5">
        <f>C1177-C1275</f>
        <v>8.7059236865486937E-3</v>
      </c>
      <c r="F1177" s="8"/>
      <c r="H1177" s="1">
        <v>43927</v>
      </c>
      <c r="I1177">
        <v>36.075000000000003</v>
      </c>
      <c r="J1177" s="227">
        <f t="shared" si="121"/>
        <v>-6.5656565656565524E-2</v>
      </c>
      <c r="K1177" s="5">
        <f>J1177-J1276</f>
        <v>-6.7792521572175482E-2</v>
      </c>
      <c r="M1177" s="241">
        <v>44049</v>
      </c>
      <c r="N1177">
        <v>3232.39</v>
      </c>
      <c r="O1177" s="227">
        <f t="shared" si="122"/>
        <v>7.8604880299828483E-3</v>
      </c>
      <c r="P1177" s="5">
        <f>O1177-O1278</f>
        <v>8.2262452308960194E-3</v>
      </c>
      <c r="Q1177" s="8">
        <f t="shared" si="124"/>
        <v>6.7671110598839504E-5</v>
      </c>
      <c r="X1177" s="1">
        <v>44049</v>
      </c>
      <c r="Y1177">
        <v>36.220300000000002</v>
      </c>
      <c r="Z1177" s="48">
        <f t="shared" si="123"/>
        <v>-2.2038385357696644E-3</v>
      </c>
      <c r="AA1177" s="5">
        <f>Z1177-Y1274</f>
        <v>-6.4211580050437984E-3</v>
      </c>
    </row>
    <row r="1178" spans="1:27">
      <c r="A1178" s="220">
        <v>43867</v>
      </c>
      <c r="B1178" s="222">
        <v>35.81</v>
      </c>
      <c r="C1178" s="227">
        <f t="shared" si="120"/>
        <v>-2.5578231292516906E-2</v>
      </c>
      <c r="D1178" s="5">
        <f>C1178-C1275</f>
        <v>-2.5656276862075795E-2</v>
      </c>
      <c r="F1178" s="8"/>
      <c r="H1178" s="1">
        <v>43896</v>
      </c>
      <c r="I1178">
        <v>34.44</v>
      </c>
      <c r="J1178" s="227">
        <f t="shared" si="121"/>
        <v>-4.5322245322245491E-2</v>
      </c>
      <c r="K1178" s="5">
        <f>J1178-J1276</f>
        <v>-4.7458201237855449E-2</v>
      </c>
      <c r="M1178" s="241">
        <v>43957</v>
      </c>
      <c r="N1178">
        <v>3193.93</v>
      </c>
      <c r="O1178" s="227">
        <f t="shared" si="122"/>
        <v>-1.1898316725395208E-2</v>
      </c>
      <c r="P1178" s="5">
        <f>O1178-O1278</f>
        <v>-1.1532559524482037E-2</v>
      </c>
      <c r="Q1178" s="8">
        <f t="shared" si="124"/>
        <v>1.3299992918572136E-4</v>
      </c>
      <c r="X1178" s="1">
        <v>43957</v>
      </c>
      <c r="Y1178">
        <v>37.039900000000003</v>
      </c>
      <c r="Z1178" s="48">
        <f t="shared" si="123"/>
        <v>2.262819468640509E-2</v>
      </c>
      <c r="AA1178" s="5">
        <f>Z1178-Y1274</f>
        <v>1.8410875217130956E-2</v>
      </c>
    </row>
    <row r="1179" spans="1:27">
      <c r="A1179" s="220">
        <v>43836</v>
      </c>
      <c r="B1179" s="222">
        <v>35.82</v>
      </c>
      <c r="C1179" s="227">
        <f t="shared" si="120"/>
        <v>2.7925160569663987E-4</v>
      </c>
      <c r="D1179" s="5">
        <f>C1179-C1275</f>
        <v>2.0120603613775067E-4</v>
      </c>
      <c r="F1179" s="8"/>
      <c r="H1179" s="1">
        <v>43867</v>
      </c>
      <c r="I1179">
        <v>31.68</v>
      </c>
      <c r="J1179" s="227">
        <f t="shared" si="121"/>
        <v>-8.0139372822299548E-2</v>
      </c>
      <c r="K1179" s="5">
        <f>J1179-J1276</f>
        <v>-8.2275328737909506E-2</v>
      </c>
      <c r="M1179" s="241">
        <v>43927</v>
      </c>
      <c r="N1179">
        <v>3112.35</v>
      </c>
      <c r="O1179" s="227">
        <f t="shared" si="122"/>
        <v>-2.5542200361310385E-2</v>
      </c>
      <c r="P1179" s="5">
        <f>O1179-O1278</f>
        <v>-2.5176443160397213E-2</v>
      </c>
      <c r="Q1179" s="8">
        <f t="shared" si="124"/>
        <v>6.3385329020871164E-4</v>
      </c>
      <c r="X1179" s="1">
        <v>43927</v>
      </c>
      <c r="Y1179">
        <v>35.210599999999999</v>
      </c>
      <c r="Z1179" s="48">
        <f t="shared" si="123"/>
        <v>-4.9387282363073437E-2</v>
      </c>
      <c r="AA1179" s="5">
        <f>Z1179-Y1274</f>
        <v>-5.3604601832347568E-2</v>
      </c>
    </row>
    <row r="1180" spans="1:27">
      <c r="A1180" s="3" t="s">
        <v>1001</v>
      </c>
      <c r="B1180" s="222">
        <v>36.32</v>
      </c>
      <c r="C1180" s="227">
        <f t="shared" si="120"/>
        <v>1.3958682300390768E-2</v>
      </c>
      <c r="D1180" s="5">
        <f>C1180-C1275</f>
        <v>1.3880636730831879E-2</v>
      </c>
      <c r="F1180" s="8"/>
      <c r="H1180" s="1">
        <v>43836</v>
      </c>
      <c r="I1180">
        <v>32.590000000000003</v>
      </c>
      <c r="J1180" s="227">
        <f t="shared" si="121"/>
        <v>2.8724747474747625E-2</v>
      </c>
      <c r="K1180" s="5">
        <f>J1180-J1276</f>
        <v>2.6588791559137667E-2</v>
      </c>
      <c r="M1180" s="241">
        <v>43896</v>
      </c>
      <c r="N1180">
        <v>3122.87</v>
      </c>
      <c r="O1180" s="227">
        <f t="shared" si="122"/>
        <v>3.380082574260701E-3</v>
      </c>
      <c r="P1180" s="5">
        <f>O1180-O1278</f>
        <v>3.7458397751738725E-3</v>
      </c>
      <c r="Q1180" s="8">
        <f t="shared" si="124"/>
        <v>1.4031315621274648E-5</v>
      </c>
      <c r="X1180" s="1">
        <v>43896</v>
      </c>
      <c r="Y1180">
        <v>34.005699999999997</v>
      </c>
      <c r="Z1180" s="48">
        <f t="shared" si="123"/>
        <v>-3.4219808807575025E-2</v>
      </c>
      <c r="AA1180" s="5">
        <f>Z1180-Y1274</f>
        <v>-3.8437128276849156E-2</v>
      </c>
    </row>
    <row r="1181" spans="1:27">
      <c r="A1181" s="3" t="s">
        <v>1002</v>
      </c>
      <c r="B1181" s="222">
        <v>34.15</v>
      </c>
      <c r="C1181" s="227">
        <f t="shared" si="120"/>
        <v>-5.9746696035242297E-2</v>
      </c>
      <c r="D1181" s="5">
        <f>C1181-C1275</f>
        <v>-5.9824741604801189E-2</v>
      </c>
      <c r="E1181" s="1"/>
      <c r="F1181" s="8"/>
      <c r="H1181" t="s">
        <v>1001</v>
      </c>
      <c r="I1181">
        <v>31.26</v>
      </c>
      <c r="J1181" s="227">
        <f t="shared" si="121"/>
        <v>-4.0810064436943905E-2</v>
      </c>
      <c r="K1181" s="5">
        <f>J1181-J1276</f>
        <v>-4.2946020352553863E-2</v>
      </c>
      <c r="M1181" s="241">
        <v>43867</v>
      </c>
      <c r="N1181">
        <v>3080.82</v>
      </c>
      <c r="O1181" s="227">
        <f t="shared" si="122"/>
        <v>-1.3465177865232825E-2</v>
      </c>
      <c r="P1181" s="5">
        <f>O1181-O1278</f>
        <v>-1.3099420664319654E-2</v>
      </c>
      <c r="Q1181" s="8">
        <f t="shared" si="124"/>
        <v>1.7159482174080475E-4</v>
      </c>
      <c r="X1181" s="1">
        <v>43867</v>
      </c>
      <c r="Y1181">
        <v>34.494500000000002</v>
      </c>
      <c r="Z1181" s="48">
        <f t="shared" si="123"/>
        <v>1.4374060819215773E-2</v>
      </c>
      <c r="AA1181" s="5">
        <f>Z1181-Y1274</f>
        <v>1.0156741349941639E-2</v>
      </c>
    </row>
    <row r="1182" spans="1:27">
      <c r="A1182" s="3" t="s">
        <v>1003</v>
      </c>
      <c r="B1182" s="222">
        <v>34.880000000000003</v>
      </c>
      <c r="C1182" s="227">
        <f t="shared" si="120"/>
        <v>2.1376281112738038E-2</v>
      </c>
      <c r="D1182" s="5">
        <f>C1182-C1275</f>
        <v>2.129823554317915E-2</v>
      </c>
      <c r="E1182" s="1"/>
      <c r="F1182" s="8"/>
      <c r="H1182" t="s">
        <v>1002</v>
      </c>
      <c r="I1182">
        <v>31.73</v>
      </c>
      <c r="J1182" s="227">
        <f t="shared" si="121"/>
        <v>1.5035188739603189E-2</v>
      </c>
      <c r="K1182" s="5">
        <f>J1182-J1276</f>
        <v>1.2899232823993231E-2</v>
      </c>
      <c r="M1182" s="241">
        <v>43836</v>
      </c>
      <c r="N1182">
        <v>3055.73</v>
      </c>
      <c r="O1182" s="227">
        <f t="shared" si="122"/>
        <v>-8.1439357054291506E-3</v>
      </c>
      <c r="P1182" s="5">
        <f>O1182-O1278</f>
        <v>-7.7781785045159786E-3</v>
      </c>
      <c r="Q1182" s="8">
        <f t="shared" si="124"/>
        <v>6.0500060848114423E-5</v>
      </c>
      <c r="X1182" s="1">
        <v>43836</v>
      </c>
      <c r="Y1182">
        <v>34.544699999999999</v>
      </c>
      <c r="Z1182" s="48">
        <f t="shared" si="123"/>
        <v>1.4553044688283556E-3</v>
      </c>
      <c r="AA1182" s="5">
        <f>Z1182-Y1274</f>
        <v>-2.7620150004457784E-3</v>
      </c>
    </row>
    <row r="1183" spans="1:27">
      <c r="A1183" s="3" t="s">
        <v>1004</v>
      </c>
      <c r="B1183" s="222">
        <v>34.56</v>
      </c>
      <c r="C1183" s="227">
        <f t="shared" si="120"/>
        <v>-9.1743119266055606E-3</v>
      </c>
      <c r="D1183" s="5">
        <f>C1183-C1275</f>
        <v>-9.2523574961644491E-3</v>
      </c>
      <c r="E1183" s="1"/>
      <c r="F1183" s="8"/>
      <c r="H1183" t="s">
        <v>1003</v>
      </c>
      <c r="I1183">
        <v>33.75</v>
      </c>
      <c r="J1183" s="227">
        <f t="shared" si="121"/>
        <v>6.3662149385439681E-2</v>
      </c>
      <c r="K1183" s="5">
        <f>J1183-J1276</f>
        <v>6.1526193469829724E-2</v>
      </c>
      <c r="M1183" s="240" t="s">
        <v>1001</v>
      </c>
      <c r="N1183">
        <v>3044.31</v>
      </c>
      <c r="O1183" s="227">
        <f t="shared" si="122"/>
        <v>-3.7372411829579288E-3</v>
      </c>
      <c r="P1183" s="5">
        <f>O1183-O1278</f>
        <v>-3.3714839820447574E-3</v>
      </c>
      <c r="Q1183" s="8">
        <f t="shared" si="124"/>
        <v>1.1366904241184374E-5</v>
      </c>
      <c r="X1183" t="s">
        <v>1001</v>
      </c>
      <c r="Y1183">
        <v>34.418700000000001</v>
      </c>
      <c r="Z1183" s="48">
        <f t="shared" si="123"/>
        <v>-3.6474480889976402E-3</v>
      </c>
      <c r="AA1183" s="5">
        <f>Z1183-Y1274</f>
        <v>-7.8647675582717742E-3</v>
      </c>
    </row>
    <row r="1184" spans="1:27">
      <c r="A1184" s="3" t="s">
        <v>1005</v>
      </c>
      <c r="B1184" s="222">
        <v>34.83</v>
      </c>
      <c r="C1184" s="227">
        <f t="shared" si="120"/>
        <v>7.812499999999778E-3</v>
      </c>
      <c r="D1184" s="5">
        <f>C1184-C1275</f>
        <v>7.7344544304408886E-3</v>
      </c>
      <c r="E1184" s="1"/>
      <c r="F1184" s="8"/>
      <c r="H1184" t="s">
        <v>1004</v>
      </c>
      <c r="I1184">
        <v>32.47</v>
      </c>
      <c r="J1184" s="227">
        <f t="shared" si="121"/>
        <v>-3.7925925925925918E-2</v>
      </c>
      <c r="K1184" s="5">
        <f>J1184-J1276</f>
        <v>-4.0061881841535876E-2</v>
      </c>
      <c r="M1184" s="240" t="s">
        <v>1002</v>
      </c>
      <c r="N1184">
        <v>3029.73</v>
      </c>
      <c r="O1184" s="227">
        <f t="shared" si="122"/>
        <v>-4.7892625915231246E-3</v>
      </c>
      <c r="P1184" s="5">
        <f>O1184-O1278</f>
        <v>-4.4235053906099527E-3</v>
      </c>
      <c r="Q1184" s="8">
        <f t="shared" si="124"/>
        <v>1.9567399940755309E-5</v>
      </c>
      <c r="X1184" t="s">
        <v>1002</v>
      </c>
      <c r="Y1184">
        <v>35.275700000000001</v>
      </c>
      <c r="Z1184" s="48">
        <f t="shared" si="123"/>
        <v>2.4899255346657378E-2</v>
      </c>
      <c r="AA1184" s="5">
        <f>Z1184-Y1274</f>
        <v>2.0681935877383244E-2</v>
      </c>
    </row>
    <row r="1185" spans="1:27">
      <c r="A1185" s="3" t="s">
        <v>1006</v>
      </c>
      <c r="B1185" s="222">
        <v>34.26</v>
      </c>
      <c r="C1185" s="227">
        <f t="shared" si="120"/>
        <v>-1.6365202411714019E-2</v>
      </c>
      <c r="D1185" s="5">
        <f>C1185-C1275</f>
        <v>-1.6443247981272908E-2</v>
      </c>
      <c r="E1185" s="1"/>
      <c r="F1185" s="8"/>
      <c r="H1185" t="s">
        <v>1005</v>
      </c>
      <c r="I1185">
        <v>31.26</v>
      </c>
      <c r="J1185" s="227">
        <f t="shared" si="121"/>
        <v>-3.7265167847243541E-2</v>
      </c>
      <c r="K1185" s="5">
        <f>J1185-J1276</f>
        <v>-3.9401123762853499E-2</v>
      </c>
      <c r="M1185" s="240" t="s">
        <v>1003</v>
      </c>
      <c r="N1185">
        <v>3036.13</v>
      </c>
      <c r="O1185" s="227">
        <f t="shared" si="122"/>
        <v>2.1123994547369573E-3</v>
      </c>
      <c r="P1185" s="5">
        <f>O1185-O1278</f>
        <v>2.4781566556501288E-3</v>
      </c>
      <c r="Q1185" s="8">
        <f t="shared" si="124"/>
        <v>6.1412604099430312E-6</v>
      </c>
      <c r="X1185" t="s">
        <v>1003</v>
      </c>
      <c r="Y1185">
        <v>35.110300000000002</v>
      </c>
      <c r="Z1185" s="48">
        <f t="shared" si="123"/>
        <v>-4.6887800950795588E-3</v>
      </c>
      <c r="AA1185" s="5">
        <f>Z1185-Y1274</f>
        <v>-8.9060995643536929E-3</v>
      </c>
    </row>
    <row r="1186" spans="1:27">
      <c r="A1186" s="3" t="s">
        <v>1007</v>
      </c>
      <c r="B1186" s="222">
        <v>34.479999999999997</v>
      </c>
      <c r="C1186" s="227">
        <f t="shared" si="120"/>
        <v>6.4214827787507645E-3</v>
      </c>
      <c r="D1186" s="5">
        <f>C1186-C1275</f>
        <v>6.3434372091918751E-3</v>
      </c>
      <c r="E1186" s="1"/>
      <c r="F1186" s="8"/>
      <c r="H1186" t="s">
        <v>1006</v>
      </c>
      <c r="I1186">
        <v>30.39</v>
      </c>
      <c r="J1186" s="227">
        <f t="shared" si="121"/>
        <v>-2.7831094049904026E-2</v>
      </c>
      <c r="K1186" s="5">
        <f>J1186-J1276</f>
        <v>-2.9967049965513984E-2</v>
      </c>
      <c r="M1186" s="240" t="s">
        <v>1004</v>
      </c>
      <c r="N1186">
        <v>2991.77</v>
      </c>
      <c r="O1186" s="227">
        <f t="shared" si="122"/>
        <v>-1.4610705075210895E-2</v>
      </c>
      <c r="P1186" s="5">
        <f>O1186-O1278</f>
        <v>-1.4244947874297724E-2</v>
      </c>
      <c r="Q1186" s="8">
        <f t="shared" si="124"/>
        <v>2.0291853994145923E-4</v>
      </c>
      <c r="X1186" t="s">
        <v>1004</v>
      </c>
      <c r="Y1186">
        <v>33.847799999999999</v>
      </c>
      <c r="Z1186" s="48">
        <f t="shared" si="123"/>
        <v>-3.5958109158850893E-2</v>
      </c>
      <c r="AA1186" s="5">
        <f>Z1186-Y1274</f>
        <v>-4.0175428628125023E-2</v>
      </c>
    </row>
    <row r="1187" spans="1:27">
      <c r="A1187" s="3" t="s">
        <v>1008</v>
      </c>
      <c r="B1187" s="222">
        <v>33.4</v>
      </c>
      <c r="C1187" s="227">
        <f t="shared" si="120"/>
        <v>-3.1322505800464029E-2</v>
      </c>
      <c r="D1187" s="5">
        <f>C1187-C1275</f>
        <v>-3.1400551370022921E-2</v>
      </c>
      <c r="E1187" s="1"/>
      <c r="F1187" s="8"/>
      <c r="H1187" t="s">
        <v>1007</v>
      </c>
      <c r="I1187">
        <v>30.82</v>
      </c>
      <c r="J1187" s="227">
        <f t="shared" si="121"/>
        <v>1.4149391247120668E-2</v>
      </c>
      <c r="K1187" s="5">
        <f>J1187-J1276</f>
        <v>1.2013435331510711E-2</v>
      </c>
      <c r="M1187" s="240" t="s">
        <v>1005</v>
      </c>
      <c r="N1187">
        <v>2955.45</v>
      </c>
      <c r="O1187" s="227">
        <f t="shared" si="122"/>
        <v>-1.213997065282435E-2</v>
      </c>
      <c r="P1187" s="5">
        <f>O1187-O1278</f>
        <v>-1.1774213451911179E-2</v>
      </c>
      <c r="Q1187" s="8">
        <f t="shared" si="124"/>
        <v>1.3863210241116616E-4</v>
      </c>
      <c r="X1187" t="s">
        <v>1005</v>
      </c>
      <c r="Y1187">
        <v>32.780500000000004</v>
      </c>
      <c r="Z1187" s="48">
        <f t="shared" si="123"/>
        <v>-3.1532330018494426E-2</v>
      </c>
      <c r="AA1187" s="5">
        <f>Z1187-Y1274</f>
        <v>-3.5749649487768556E-2</v>
      </c>
    </row>
    <row r="1188" spans="1:27">
      <c r="A1188" s="3" t="s">
        <v>1009</v>
      </c>
      <c r="B1188" s="222">
        <v>33.619999999999997</v>
      </c>
      <c r="C1188" s="227">
        <f t="shared" si="120"/>
        <v>6.5868263473054522E-3</v>
      </c>
      <c r="D1188" s="5">
        <f>C1188-C1275</f>
        <v>6.5087807777465629E-3</v>
      </c>
      <c r="E1188" s="1"/>
      <c r="F1188" s="8"/>
      <c r="H1188" t="s">
        <v>1008</v>
      </c>
      <c r="I1188">
        <v>30.69</v>
      </c>
      <c r="J1188" s="227">
        <f t="shared" si="121"/>
        <v>-4.2180402336144951E-3</v>
      </c>
      <c r="K1188" s="5">
        <f>J1188-J1276</f>
        <v>-6.3539961492244529E-3</v>
      </c>
      <c r="M1188" s="240" t="s">
        <v>1006</v>
      </c>
      <c r="N1188">
        <v>2948.51</v>
      </c>
      <c r="O1188" s="227">
        <f t="shared" si="122"/>
        <v>-2.3482041651862184E-3</v>
      </c>
      <c r="P1188" s="5">
        <f>O1188-O1278</f>
        <v>-1.9824469642730469E-3</v>
      </c>
      <c r="Q1188" s="8">
        <f t="shared" si="124"/>
        <v>3.9300959661554194E-6</v>
      </c>
      <c r="X1188" t="s">
        <v>1006</v>
      </c>
      <c r="Y1188">
        <v>32.318399999999997</v>
      </c>
      <c r="Z1188" s="48">
        <f t="shared" si="123"/>
        <v>-1.4096795350894809E-2</v>
      </c>
      <c r="AA1188" s="5">
        <f>Z1188-Y1274</f>
        <v>-1.8314114820168943E-2</v>
      </c>
    </row>
    <row r="1189" spans="1:27">
      <c r="A1189" s="3" t="s">
        <v>1010</v>
      </c>
      <c r="B1189" s="222">
        <v>32.47</v>
      </c>
      <c r="C1189" s="227">
        <f t="shared" si="120"/>
        <v>-3.4205829863176662E-2</v>
      </c>
      <c r="D1189" s="5">
        <f>C1189-C1275</f>
        <v>-3.4283875432735554E-2</v>
      </c>
      <c r="F1189" s="8"/>
      <c r="H1189" t="s">
        <v>1009</v>
      </c>
      <c r="I1189">
        <v>30.43</v>
      </c>
      <c r="J1189" s="227">
        <f t="shared" si="121"/>
        <v>-8.4718149234278561E-3</v>
      </c>
      <c r="K1189" s="5">
        <f>J1189-J1276</f>
        <v>-1.0607770839037814E-2</v>
      </c>
      <c r="M1189" s="240" t="s">
        <v>1007</v>
      </c>
      <c r="N1189">
        <v>2971.61</v>
      </c>
      <c r="O1189" s="227">
        <f t="shared" si="122"/>
        <v>7.8344655436135557E-3</v>
      </c>
      <c r="P1189" s="5">
        <f>O1189-O1278</f>
        <v>8.2002227445267268E-3</v>
      </c>
      <c r="Q1189" s="8">
        <f t="shared" si="124"/>
        <v>6.7243653059853448E-5</v>
      </c>
      <c r="X1189" t="s">
        <v>1007</v>
      </c>
      <c r="Y1189">
        <v>31.9833</v>
      </c>
      <c r="Z1189" s="48">
        <f t="shared" si="123"/>
        <v>-1.0368706371602476E-2</v>
      </c>
      <c r="AA1189" s="5">
        <f>Z1189-Y1274</f>
        <v>-1.458602584087661E-2</v>
      </c>
    </row>
    <row r="1190" spans="1:27">
      <c r="A1190" s="3" t="s">
        <v>1011</v>
      </c>
      <c r="B1190" s="222">
        <v>32.79</v>
      </c>
      <c r="C1190" s="227">
        <f t="shared" si="120"/>
        <v>9.8552510009239924E-3</v>
      </c>
      <c r="D1190" s="5">
        <f>C1190-C1275</f>
        <v>9.777205431365104E-3</v>
      </c>
      <c r="F1190" s="8"/>
      <c r="H1190" t="s">
        <v>1010</v>
      </c>
      <c r="I1190">
        <v>28.15</v>
      </c>
      <c r="J1190" s="227">
        <f t="shared" si="121"/>
        <v>-7.4926059809398704E-2</v>
      </c>
      <c r="K1190" s="5">
        <f>J1190-J1276</f>
        <v>-7.7062015725008662E-2</v>
      </c>
      <c r="M1190" s="240" t="s">
        <v>1008</v>
      </c>
      <c r="N1190">
        <v>2922.94</v>
      </c>
      <c r="O1190" s="227">
        <f t="shared" si="122"/>
        <v>-1.6378326900232554E-2</v>
      </c>
      <c r="P1190" s="5">
        <f>O1190-O1278</f>
        <v>-1.6012569699319381E-2</v>
      </c>
      <c r="Q1190" s="8">
        <f t="shared" si="124"/>
        <v>2.5640238837556118E-4</v>
      </c>
      <c r="X1190" t="s">
        <v>1008</v>
      </c>
      <c r="Y1190">
        <v>31.462499999999999</v>
      </c>
      <c r="Z1190" s="48">
        <f t="shared" si="123"/>
        <v>-1.6283497950492998E-2</v>
      </c>
      <c r="AA1190" s="5">
        <f>Z1190-Y1274</f>
        <v>-2.0500817419767132E-2</v>
      </c>
    </row>
    <row r="1191" spans="1:27">
      <c r="A1191" s="3" t="s">
        <v>1012</v>
      </c>
      <c r="B1191" s="222">
        <v>33.020000000000003</v>
      </c>
      <c r="C1191" s="227">
        <f t="shared" si="120"/>
        <v>7.014333638304393E-3</v>
      </c>
      <c r="D1191" s="5">
        <f>C1191-C1275</f>
        <v>6.9362880687455037E-3</v>
      </c>
      <c r="F1191" s="8"/>
      <c r="H1191" t="s">
        <v>1011</v>
      </c>
      <c r="I1191">
        <v>27.72</v>
      </c>
      <c r="J1191" s="227">
        <f t="shared" si="121"/>
        <v>-1.5275310834813483E-2</v>
      </c>
      <c r="K1191" s="5">
        <f>J1191-J1276</f>
        <v>-1.741126675042344E-2</v>
      </c>
      <c r="M1191" s="240" t="s">
        <v>1009</v>
      </c>
      <c r="N1191">
        <v>2953.91</v>
      </c>
      <c r="O1191" s="227">
        <f t="shared" si="122"/>
        <v>1.0595496315353614E-2</v>
      </c>
      <c r="P1191" s="5">
        <f>O1191-O1278</f>
        <v>1.0961253516266785E-2</v>
      </c>
      <c r="Q1191" s="8">
        <f t="shared" si="124"/>
        <v>1.2014907864787096E-4</v>
      </c>
      <c r="X1191" t="s">
        <v>1009</v>
      </c>
      <c r="Y1191">
        <v>31.8339</v>
      </c>
      <c r="Z1191" s="48">
        <f t="shared" si="123"/>
        <v>1.180452920143038E-2</v>
      </c>
      <c r="AA1191" s="5">
        <f>Z1191-Y1274</f>
        <v>7.5872097321562464E-3</v>
      </c>
    </row>
    <row r="1192" spans="1:27">
      <c r="A1192" s="220">
        <v>44170</v>
      </c>
      <c r="B1192" s="222">
        <v>32.4</v>
      </c>
      <c r="C1192" s="227">
        <f t="shared" si="120"/>
        <v>-1.8776499091459842E-2</v>
      </c>
      <c r="D1192" s="5">
        <f>C1192-C1275</f>
        <v>-1.885454466101873E-2</v>
      </c>
      <c r="F1192" s="8"/>
      <c r="H1192" t="s">
        <v>1012</v>
      </c>
      <c r="I1192">
        <v>28.37</v>
      </c>
      <c r="J1192" s="227">
        <f t="shared" si="121"/>
        <v>2.3448773448773608E-2</v>
      </c>
      <c r="K1192" s="5">
        <f>J1192-J1276</f>
        <v>2.131281753316365E-2</v>
      </c>
      <c r="M1192" s="240" t="s">
        <v>1010</v>
      </c>
      <c r="N1192">
        <v>2863.7</v>
      </c>
      <c r="O1192" s="227">
        <f t="shared" si="122"/>
        <v>-3.0539183658269908E-2</v>
      </c>
      <c r="P1192" s="5">
        <f>O1192-O1278</f>
        <v>-3.0173426457356736E-2</v>
      </c>
      <c r="Q1192" s="8">
        <f t="shared" si="124"/>
        <v>9.1043566417751542E-4</v>
      </c>
      <c r="X1192" t="s">
        <v>1010</v>
      </c>
      <c r="Y1192">
        <v>30.909600000000001</v>
      </c>
      <c r="Z1192" s="48">
        <f t="shared" si="123"/>
        <v>-2.9035085239320302E-2</v>
      </c>
      <c r="AA1192" s="5">
        <f>Z1192-Y1274</f>
        <v>-3.3252404708594432E-2</v>
      </c>
    </row>
    <row r="1193" spans="1:27">
      <c r="A1193" s="220">
        <v>44140</v>
      </c>
      <c r="B1193" s="222">
        <v>31.64</v>
      </c>
      <c r="C1193" s="227">
        <f t="shared" si="120"/>
        <v>-2.3456790123456694E-2</v>
      </c>
      <c r="D1193" s="5">
        <f>C1193-C1275</f>
        <v>-2.3534835693015583E-2</v>
      </c>
      <c r="F1193" s="8"/>
      <c r="H1193" s="1">
        <v>44170</v>
      </c>
      <c r="I1193">
        <v>29.53</v>
      </c>
      <c r="J1193" s="227">
        <f t="shared" si="121"/>
        <v>4.0888262248854446E-2</v>
      </c>
      <c r="K1193" s="5">
        <f>J1193-J1276</f>
        <v>3.8752306333244488E-2</v>
      </c>
      <c r="M1193" s="240" t="s">
        <v>1011</v>
      </c>
      <c r="N1193">
        <v>2852.5</v>
      </c>
      <c r="O1193" s="227">
        <f t="shared" si="122"/>
        <v>-3.9110241994622097E-3</v>
      </c>
      <c r="P1193" s="5">
        <f>O1193-O1278</f>
        <v>-3.5452669985490382E-3</v>
      </c>
      <c r="Q1193" s="8">
        <f t="shared" si="124"/>
        <v>1.2568918091000907E-5</v>
      </c>
      <c r="X1193" t="s">
        <v>1011</v>
      </c>
      <c r="Y1193">
        <v>30.974699999999999</v>
      </c>
      <c r="Z1193" s="48">
        <f t="shared" si="123"/>
        <v>2.1061417811940597E-3</v>
      </c>
      <c r="AA1193" s="5">
        <f>Z1193-Y1274</f>
        <v>-2.1111776880800744E-3</v>
      </c>
    </row>
    <row r="1194" spans="1:27">
      <c r="A1194" s="220">
        <v>44048</v>
      </c>
      <c r="B1194" s="222">
        <v>32.79</v>
      </c>
      <c r="C1194" s="227">
        <f t="shared" si="120"/>
        <v>3.6346396965865946E-2</v>
      </c>
      <c r="D1194" s="5">
        <f>C1194-C1275</f>
        <v>3.6268351396307054E-2</v>
      </c>
      <c r="F1194" s="8"/>
      <c r="H1194" s="1">
        <v>44140</v>
      </c>
      <c r="I1194">
        <v>31.36</v>
      </c>
      <c r="J1194" s="227">
        <f t="shared" si="121"/>
        <v>6.1970877074161823E-2</v>
      </c>
      <c r="K1194" s="5">
        <f>J1194-J1276</f>
        <v>5.9834921158551865E-2</v>
      </c>
      <c r="M1194" s="240" t="s">
        <v>1012</v>
      </c>
      <c r="N1194">
        <v>2820</v>
      </c>
      <c r="O1194" s="227">
        <f t="shared" si="122"/>
        <v>-1.1393514460999121E-2</v>
      </c>
      <c r="P1194" s="5">
        <f>O1194-O1278</f>
        <v>-1.102775726008595E-2</v>
      </c>
      <c r="Q1194" s="8">
        <f t="shared" si="124"/>
        <v>1.2161143018737838E-4</v>
      </c>
      <c r="X1194" t="s">
        <v>1012</v>
      </c>
      <c r="Y1194">
        <v>30.494499999999999</v>
      </c>
      <c r="Z1194" s="48">
        <f t="shared" si="123"/>
        <v>-1.5502975008636066E-2</v>
      </c>
      <c r="AA1194" s="5">
        <f>Z1194-Y1274</f>
        <v>-1.97202944779102E-2</v>
      </c>
    </row>
    <row r="1195" spans="1:27">
      <c r="A1195" s="220">
        <v>44017</v>
      </c>
      <c r="B1195" s="222">
        <v>30.93</v>
      </c>
      <c r="C1195" s="227">
        <f t="shared" si="120"/>
        <v>-5.6724611161939609E-2</v>
      </c>
      <c r="D1195" s="5">
        <f>C1195-C1275</f>
        <v>-5.6802656731498501E-2</v>
      </c>
      <c r="F1195" s="8"/>
      <c r="H1195" s="1">
        <v>44048</v>
      </c>
      <c r="I1195">
        <v>32.729999999999997</v>
      </c>
      <c r="J1195" s="227">
        <f t="shared" si="121"/>
        <v>4.3686224489795755E-2</v>
      </c>
      <c r="K1195" s="5">
        <f>J1195-J1276</f>
        <v>4.1550268574185797E-2</v>
      </c>
      <c r="M1195" s="241">
        <v>44170</v>
      </c>
      <c r="N1195">
        <v>2870.12</v>
      </c>
      <c r="O1195" s="227">
        <f t="shared" si="122"/>
        <v>1.777304964539006E-2</v>
      </c>
      <c r="P1195" s="5">
        <f>O1195-O1278</f>
        <v>1.8138806846303233E-2</v>
      </c>
      <c r="Q1195" s="8">
        <f t="shared" si="124"/>
        <v>3.2901631380749703E-4</v>
      </c>
      <c r="X1195" s="1">
        <v>44170</v>
      </c>
      <c r="Y1195">
        <v>31.302399999999999</v>
      </c>
      <c r="Z1195" s="48">
        <f t="shared" si="123"/>
        <v>2.649330207086531E-2</v>
      </c>
      <c r="AA1195" s="5">
        <f>Z1195-Y1274</f>
        <v>2.2275982601591176E-2</v>
      </c>
    </row>
    <row r="1196" spans="1:27">
      <c r="A1196" s="220">
        <v>43987</v>
      </c>
      <c r="B1196" s="222">
        <v>27.82</v>
      </c>
      <c r="C1196" s="227">
        <f t="shared" si="120"/>
        <v>-0.1005496281926932</v>
      </c>
      <c r="D1196" s="5">
        <f>C1196-C1275</f>
        <v>-0.10062767376225208</v>
      </c>
      <c r="F1196" s="8"/>
      <c r="H1196" s="1">
        <v>44017</v>
      </c>
      <c r="I1196">
        <v>31.78</v>
      </c>
      <c r="J1196" s="227">
        <f t="shared" si="121"/>
        <v>-2.9025358997861184E-2</v>
      </c>
      <c r="K1196" s="5">
        <f>J1196-J1276</f>
        <v>-3.1161314913471141E-2</v>
      </c>
      <c r="M1196" s="241">
        <v>44140</v>
      </c>
      <c r="N1196">
        <v>2930.32</v>
      </c>
      <c r="O1196" s="227">
        <f t="shared" si="122"/>
        <v>2.097473276378703E-2</v>
      </c>
      <c r="P1196" s="5">
        <f>O1196-O1278</f>
        <v>2.1340489964700202E-2</v>
      </c>
      <c r="Q1196" s="8">
        <f t="shared" si="124"/>
        <v>4.5541651193347005E-4</v>
      </c>
      <c r="X1196" s="1">
        <v>44140</v>
      </c>
      <c r="Y1196">
        <v>31.448599999999999</v>
      </c>
      <c r="Z1196" s="48">
        <f t="shared" si="123"/>
        <v>4.6705683909220586E-3</v>
      </c>
      <c r="AA1196" s="5">
        <f>Z1196-Y1274</f>
        <v>4.5324892164792449E-4</v>
      </c>
    </row>
    <row r="1197" spans="1:27">
      <c r="A1197" s="220">
        <v>43956</v>
      </c>
      <c r="B1197" s="222">
        <v>28.07</v>
      </c>
      <c r="C1197" s="227">
        <f t="shared" si="120"/>
        <v>8.9863407620416336E-3</v>
      </c>
      <c r="D1197" s="5">
        <f>C1197-C1275</f>
        <v>8.9082951924827451E-3</v>
      </c>
      <c r="F1197" s="8"/>
      <c r="H1197" s="1">
        <v>43987</v>
      </c>
      <c r="I1197">
        <v>26.12</v>
      </c>
      <c r="J1197" s="227">
        <f t="shared" si="121"/>
        <v>-0.17809943360604152</v>
      </c>
      <c r="K1197" s="5">
        <f>J1197-J1276</f>
        <v>-0.18023538952165147</v>
      </c>
      <c r="M1197" s="241">
        <v>44048</v>
      </c>
      <c r="N1197">
        <v>2929.8</v>
      </c>
      <c r="O1197" s="227">
        <f t="shared" si="122"/>
        <v>-1.7745502197707985E-4</v>
      </c>
      <c r="P1197" s="5">
        <f>O1197-O1278</f>
        <v>1.8830217893609169E-4</v>
      </c>
      <c r="Q1197" s="8">
        <f t="shared" si="124"/>
        <v>3.5457710592079894E-8</v>
      </c>
      <c r="X1197" s="1">
        <v>44048</v>
      </c>
      <c r="Y1197">
        <v>32.155099999999997</v>
      </c>
      <c r="Z1197" s="48">
        <f t="shared" si="123"/>
        <v>2.2465228976806584E-2</v>
      </c>
      <c r="AA1197" s="5">
        <f>Z1197-Y1274</f>
        <v>1.824790950753245E-2</v>
      </c>
    </row>
    <row r="1198" spans="1:27">
      <c r="A1198" s="220">
        <v>43926</v>
      </c>
      <c r="B1198" s="222">
        <v>27.42</v>
      </c>
      <c r="C1198" s="227">
        <f t="shared" si="120"/>
        <v>-2.3156394727467E-2</v>
      </c>
      <c r="D1198" s="5">
        <f>C1198-C1275</f>
        <v>-2.3234440297025889E-2</v>
      </c>
      <c r="F1198" s="8"/>
      <c r="H1198" s="1">
        <v>43956</v>
      </c>
      <c r="I1198">
        <v>26.68</v>
      </c>
      <c r="J1198" s="227">
        <f t="shared" si="121"/>
        <v>2.1439509954058078E-2</v>
      </c>
      <c r="K1198" s="5">
        <f>J1198-J1276</f>
        <v>1.930355403844812E-2</v>
      </c>
      <c r="M1198" s="241">
        <v>44017</v>
      </c>
      <c r="N1198">
        <v>2881.19</v>
      </c>
      <c r="O1198" s="227">
        <f t="shared" si="122"/>
        <v>-1.6591576216806625E-2</v>
      </c>
      <c r="P1198" s="5">
        <f>O1198-O1278</f>
        <v>-1.6225819015893452E-2</v>
      </c>
      <c r="Q1198" s="8">
        <f t="shared" si="124"/>
        <v>2.6327720273652957E-4</v>
      </c>
      <c r="X1198" s="1">
        <v>44017</v>
      </c>
      <c r="Y1198">
        <v>30.275700000000001</v>
      </c>
      <c r="Z1198" s="48">
        <f t="shared" si="123"/>
        <v>-5.8447960043663261E-2</v>
      </c>
      <c r="AA1198" s="5">
        <f>Z1198-Y1274</f>
        <v>-6.2665279512937391E-2</v>
      </c>
    </row>
    <row r="1199" spans="1:27">
      <c r="A1199" s="220">
        <v>43835</v>
      </c>
      <c r="B1199" s="222">
        <v>28.39</v>
      </c>
      <c r="C1199" s="227">
        <f t="shared" si="120"/>
        <v>3.5375638220277228E-2</v>
      </c>
      <c r="D1199" s="5">
        <f>C1199-C1275</f>
        <v>3.5297592650718336E-2</v>
      </c>
      <c r="F1199" s="8"/>
      <c r="H1199" s="1">
        <v>43926</v>
      </c>
      <c r="I1199">
        <v>27.03</v>
      </c>
      <c r="J1199" s="227">
        <f t="shared" si="121"/>
        <v>1.311844077961033E-2</v>
      </c>
      <c r="K1199" s="5">
        <f>J1199-J1276</f>
        <v>1.0982484864000372E-2</v>
      </c>
      <c r="M1199" s="241">
        <v>43987</v>
      </c>
      <c r="N1199">
        <v>2848.42</v>
      </c>
      <c r="O1199" s="227">
        <f t="shared" si="122"/>
        <v>-1.1373772642553903E-2</v>
      </c>
      <c r="P1199" s="5">
        <f>O1199-O1278</f>
        <v>-1.1008015441640732E-2</v>
      </c>
      <c r="Q1199" s="8">
        <f t="shared" si="124"/>
        <v>1.2117640396340081E-4</v>
      </c>
      <c r="X1199" s="1">
        <v>43987</v>
      </c>
      <c r="Y1199">
        <v>29.886099999999999</v>
      </c>
      <c r="Z1199" s="48">
        <f t="shared" si="123"/>
        <v>-1.2868406015385303E-2</v>
      </c>
      <c r="AA1199" s="5">
        <f>Z1199-Y1274</f>
        <v>-1.7085725484659437E-2</v>
      </c>
    </row>
    <row r="1200" spans="1:27">
      <c r="A1200" s="3" t="s">
        <v>1013</v>
      </c>
      <c r="B1200" s="222">
        <v>30.27</v>
      </c>
      <c r="C1200" s="227">
        <f t="shared" si="120"/>
        <v>6.6220500176118247E-2</v>
      </c>
      <c r="D1200" s="5">
        <f>C1200-C1275</f>
        <v>6.6142454606559362E-2</v>
      </c>
      <c r="F1200" s="8"/>
      <c r="H1200" s="1">
        <v>43835</v>
      </c>
      <c r="I1200">
        <v>29.605</v>
      </c>
      <c r="J1200" s="227">
        <f t="shared" si="121"/>
        <v>9.5264520902700767E-2</v>
      </c>
      <c r="K1200" s="5">
        <f>J1200-J1276</f>
        <v>9.3128564987090809E-2</v>
      </c>
      <c r="M1200" s="241">
        <v>43956</v>
      </c>
      <c r="N1200">
        <v>2868.44</v>
      </c>
      <c r="O1200" s="227">
        <f t="shared" si="122"/>
        <v>7.0284578819135302E-3</v>
      </c>
      <c r="P1200" s="5">
        <f>O1200-O1278</f>
        <v>7.3942150828267021E-3</v>
      </c>
      <c r="Q1200" s="8">
        <f t="shared" si="124"/>
        <v>5.467441669110189E-5</v>
      </c>
      <c r="X1200" s="1">
        <v>43956</v>
      </c>
      <c r="Y1200">
        <v>29.7912</v>
      </c>
      <c r="Z1200" s="48">
        <f t="shared" si="123"/>
        <v>-3.1753892277680551E-3</v>
      </c>
      <c r="AA1200" s="5">
        <f>Z1200-Y1274</f>
        <v>-7.3927086970421892E-3</v>
      </c>
    </row>
    <row r="1201" spans="1:27">
      <c r="A1201" s="3" t="s">
        <v>1014</v>
      </c>
      <c r="B1201" s="222">
        <v>31.37</v>
      </c>
      <c r="C1201" s="227">
        <f t="shared" si="120"/>
        <v>3.6339610175090797E-2</v>
      </c>
      <c r="D1201" s="5">
        <f>C1201-C1275</f>
        <v>3.6261564605531905E-2</v>
      </c>
      <c r="F1201" s="8"/>
      <c r="H1201" t="s">
        <v>1013</v>
      </c>
      <c r="I1201">
        <v>32.83</v>
      </c>
      <c r="J1201" s="227">
        <f t="shared" si="121"/>
        <v>0.1089343016382367</v>
      </c>
      <c r="K1201" s="5">
        <f>J1201-J1276</f>
        <v>0.10679834572262674</v>
      </c>
      <c r="M1201" s="241">
        <v>43926</v>
      </c>
      <c r="N1201">
        <v>2842.74</v>
      </c>
      <c r="O1201" s="227">
        <f t="shared" si="122"/>
        <v>-8.9595738450168882E-3</v>
      </c>
      <c r="P1201" s="5">
        <f>O1201-O1278</f>
        <v>-8.5938166441037172E-3</v>
      </c>
      <c r="Q1201" s="8">
        <f t="shared" si="124"/>
        <v>7.3853684512474073E-5</v>
      </c>
      <c r="X1201" s="1">
        <v>43926</v>
      </c>
      <c r="Y1201">
        <v>29.4742</v>
      </c>
      <c r="Z1201" s="48">
        <f t="shared" si="123"/>
        <v>-1.0640726120465072E-2</v>
      </c>
      <c r="AA1201" s="5">
        <f>Z1201-Y1274</f>
        <v>-1.4858045589739206E-2</v>
      </c>
    </row>
    <row r="1202" spans="1:27">
      <c r="A1202" s="3" t="s">
        <v>1015</v>
      </c>
      <c r="B1202" s="222">
        <v>30.12</v>
      </c>
      <c r="C1202" s="227">
        <f t="shared" si="120"/>
        <v>-3.9846987567739856E-2</v>
      </c>
      <c r="D1202" s="5">
        <f>C1202-C1275</f>
        <v>-3.9925033137298747E-2</v>
      </c>
      <c r="F1202" s="8"/>
      <c r="H1202" t="s">
        <v>1014</v>
      </c>
      <c r="I1202">
        <v>34.06</v>
      </c>
      <c r="J1202" s="227">
        <f t="shared" si="121"/>
        <v>3.7465732561681619E-2</v>
      </c>
      <c r="K1202" s="5">
        <f>J1202-J1276</f>
        <v>3.5329776646071662E-2</v>
      </c>
      <c r="M1202" s="241">
        <v>43835</v>
      </c>
      <c r="N1202">
        <v>2830.71</v>
      </c>
      <c r="O1202" s="227">
        <f t="shared" si="122"/>
        <v>-4.2318326684817054E-3</v>
      </c>
      <c r="P1202" s="5">
        <f>O1202-O1278</f>
        <v>-3.8660754675685339E-3</v>
      </c>
      <c r="Q1202" s="8">
        <f t="shared" si="124"/>
        <v>1.4946539520935258E-5</v>
      </c>
      <c r="X1202" s="1">
        <v>43835</v>
      </c>
      <c r="Y1202">
        <v>28.8691</v>
      </c>
      <c r="Z1202" s="48">
        <f t="shared" si="123"/>
        <v>-2.0529819299590857E-2</v>
      </c>
      <c r="AA1202" s="5">
        <f>Z1202-Y1274</f>
        <v>-2.4747138768864991E-2</v>
      </c>
    </row>
    <row r="1203" spans="1:27">
      <c r="A1203" s="3" t="s">
        <v>1016</v>
      </c>
      <c r="B1203" s="222">
        <v>30.08</v>
      </c>
      <c r="C1203" s="227">
        <f t="shared" si="120"/>
        <v>-1.3280212483400833E-3</v>
      </c>
      <c r="D1203" s="5">
        <f>C1203-C1275</f>
        <v>-1.4060668178989726E-3</v>
      </c>
      <c r="E1203" s="1"/>
      <c r="F1203" s="8"/>
      <c r="H1203" t="s">
        <v>1015</v>
      </c>
      <c r="I1203">
        <v>32.74</v>
      </c>
      <c r="J1203" s="227">
        <f t="shared" si="121"/>
        <v>-3.8755137991779209E-2</v>
      </c>
      <c r="K1203" s="5">
        <f>J1203-J1276</f>
        <v>-4.0891093907389167E-2</v>
      </c>
      <c r="M1203" s="240" t="s">
        <v>1013</v>
      </c>
      <c r="N1203">
        <v>2912.43</v>
      </c>
      <c r="O1203" s="227">
        <f t="shared" si="122"/>
        <v>2.8869082315037486E-2</v>
      </c>
      <c r="P1203" s="5">
        <f>O1203-O1278</f>
        <v>2.9234839515950659E-2</v>
      </c>
      <c r="Q1203" s="8">
        <f t="shared" si="124"/>
        <v>8.546758415233902E-4</v>
      </c>
      <c r="X1203" t="s">
        <v>1013</v>
      </c>
      <c r="Y1203">
        <v>29.896799999999999</v>
      </c>
      <c r="Z1203" s="48">
        <f t="shared" si="123"/>
        <v>3.5598615821068158E-2</v>
      </c>
      <c r="AA1203" s="5">
        <f>Z1203-Y1274</f>
        <v>3.1381296351794027E-2</v>
      </c>
    </row>
    <row r="1204" spans="1:27">
      <c r="A1204" s="3" t="s">
        <v>1017</v>
      </c>
      <c r="B1204" s="222">
        <v>29.49</v>
      </c>
      <c r="C1204" s="227">
        <f t="shared" si="120"/>
        <v>-1.9614361702127603E-2</v>
      </c>
      <c r="D1204" s="5">
        <f>C1204-C1275</f>
        <v>-1.9692407271686491E-2</v>
      </c>
      <c r="E1204" s="1"/>
      <c r="F1204" s="8"/>
      <c r="H1204" t="s">
        <v>1016</v>
      </c>
      <c r="I1204">
        <v>34.32</v>
      </c>
      <c r="J1204" s="227">
        <f t="shared" si="121"/>
        <v>4.8259010384850365E-2</v>
      </c>
      <c r="K1204" s="5">
        <f>J1204-J1276</f>
        <v>4.6123054469240407E-2</v>
      </c>
      <c r="M1204" s="240" t="s">
        <v>1014</v>
      </c>
      <c r="N1204">
        <v>2939.51</v>
      </c>
      <c r="O1204" s="227">
        <f t="shared" si="122"/>
        <v>9.2980775503619384E-3</v>
      </c>
      <c r="P1204" s="5">
        <f>O1204-O1278</f>
        <v>9.6638347512751094E-3</v>
      </c>
      <c r="Q1204" s="8">
        <f t="shared" si="124"/>
        <v>9.338970209995246E-5</v>
      </c>
      <c r="X1204" t="s">
        <v>1014</v>
      </c>
      <c r="Y1204">
        <v>30.5062</v>
      </c>
      <c r="Z1204" s="48">
        <f t="shared" si="123"/>
        <v>2.0383452409622471E-2</v>
      </c>
      <c r="AA1204" s="5">
        <f>Z1204-Y1274</f>
        <v>1.6166132940348337E-2</v>
      </c>
    </row>
    <row r="1205" spans="1:27">
      <c r="A1205" s="3" t="s">
        <v>1018</v>
      </c>
      <c r="B1205" s="222">
        <v>28.33</v>
      </c>
      <c r="C1205" s="227">
        <f t="shared" si="120"/>
        <v>-3.9335367921329301E-2</v>
      </c>
      <c r="D1205" s="5">
        <f>C1205-C1275</f>
        <v>-3.9413413490888193E-2</v>
      </c>
      <c r="E1205" s="1"/>
      <c r="F1205" s="8"/>
      <c r="H1205" t="s">
        <v>1017</v>
      </c>
      <c r="I1205">
        <v>31.96</v>
      </c>
      <c r="J1205" s="227">
        <f t="shared" si="121"/>
        <v>-6.8764568764568712E-2</v>
      </c>
      <c r="K1205" s="5">
        <f>J1205-J1276</f>
        <v>-7.090052468017867E-2</v>
      </c>
      <c r="M1205" s="240" t="s">
        <v>1015</v>
      </c>
      <c r="N1205">
        <v>2863.39</v>
      </c>
      <c r="O1205" s="227">
        <f t="shared" si="122"/>
        <v>-2.5895472374647621E-2</v>
      </c>
      <c r="P1205" s="5">
        <f>O1205-O1278</f>
        <v>-2.5529715173734448E-2</v>
      </c>
      <c r="Q1205" s="8">
        <f t="shared" si="124"/>
        <v>6.5176635685200695E-4</v>
      </c>
      <c r="X1205" t="s">
        <v>1015</v>
      </c>
      <c r="Y1205">
        <v>29.661000000000001</v>
      </c>
      <c r="Z1205" s="48">
        <f t="shared" si="123"/>
        <v>-2.7705843402324737E-2</v>
      </c>
      <c r="AA1205" s="5">
        <f>Z1205-Y1274</f>
        <v>-3.1923162871598867E-2</v>
      </c>
    </row>
    <row r="1206" spans="1:27">
      <c r="A1206" s="3" t="s">
        <v>1019</v>
      </c>
      <c r="B1206" s="222">
        <v>28.24</v>
      </c>
      <c r="C1206" s="227">
        <f t="shared" si="120"/>
        <v>-3.1768443346276154E-3</v>
      </c>
      <c r="D1206" s="5">
        <f>C1206-C1275</f>
        <v>-3.2548899041865047E-3</v>
      </c>
      <c r="E1206" s="1"/>
      <c r="F1206" s="8"/>
      <c r="H1206" t="s">
        <v>1018</v>
      </c>
      <c r="I1206">
        <v>30.09</v>
      </c>
      <c r="J1206" s="227">
        <f t="shared" si="121"/>
        <v>-5.8510638297872397E-2</v>
      </c>
      <c r="K1206" s="5">
        <f>J1206-J1276</f>
        <v>-6.0646594213482355E-2</v>
      </c>
      <c r="M1206" s="240" t="s">
        <v>1016</v>
      </c>
      <c r="N1206">
        <v>2878.48</v>
      </c>
      <c r="O1206" s="227">
        <f t="shared" si="122"/>
        <v>5.26997719486344E-3</v>
      </c>
      <c r="P1206" s="5">
        <f>O1206-O1278</f>
        <v>5.6357343957766119E-3</v>
      </c>
      <c r="Q1206" s="8">
        <f t="shared" si="124"/>
        <v>3.1761502179739574E-5</v>
      </c>
      <c r="X1206" t="s">
        <v>1016</v>
      </c>
      <c r="Y1206">
        <v>29.373899999999999</v>
      </c>
      <c r="Z1206" s="48">
        <f t="shared" si="123"/>
        <v>-9.6793769596440482E-3</v>
      </c>
      <c r="AA1206" s="5">
        <f>Z1206-Y1274</f>
        <v>-1.3896696428918182E-2</v>
      </c>
    </row>
    <row r="1207" spans="1:27">
      <c r="A1207" s="3" t="s">
        <v>1020</v>
      </c>
      <c r="B1207" s="222">
        <v>27.19</v>
      </c>
      <c r="C1207" s="227">
        <f t="shared" si="120"/>
        <v>-3.7181303116147202E-2</v>
      </c>
      <c r="D1207" s="5">
        <f>C1207-C1275</f>
        <v>-3.7259348685706094E-2</v>
      </c>
      <c r="E1207" s="1"/>
      <c r="F1207" s="8"/>
      <c r="H1207" t="s">
        <v>1019</v>
      </c>
      <c r="I1207">
        <v>30.7</v>
      </c>
      <c r="J1207" s="227">
        <f t="shared" si="121"/>
        <v>2.0272515785975331E-2</v>
      </c>
      <c r="K1207" s="5">
        <f>J1207-J1276</f>
        <v>1.8136559870365374E-2</v>
      </c>
      <c r="M1207" s="240" t="s">
        <v>1017</v>
      </c>
      <c r="N1207">
        <v>2836.74</v>
      </c>
      <c r="O1207" s="227">
        <f t="shared" si="122"/>
        <v>-1.4500708707373411E-2</v>
      </c>
      <c r="P1207" s="5">
        <f>O1207-O1278</f>
        <v>-1.413495150646024E-2</v>
      </c>
      <c r="Q1207" s="8">
        <f t="shared" si="124"/>
        <v>1.997968540899826E-4</v>
      </c>
      <c r="X1207" t="s">
        <v>1017</v>
      </c>
      <c r="Y1207">
        <v>26.952300000000001</v>
      </c>
      <c r="Z1207" s="48">
        <f t="shared" si="123"/>
        <v>-8.2440533943398675E-2</v>
      </c>
      <c r="AA1207" s="5">
        <f>Z1207-Y1274</f>
        <v>-8.6657853412672806E-2</v>
      </c>
    </row>
    <row r="1208" spans="1:27">
      <c r="A1208" s="3" t="s">
        <v>1021</v>
      </c>
      <c r="B1208" s="222">
        <v>28.19</v>
      </c>
      <c r="C1208" s="227">
        <f t="shared" si="120"/>
        <v>3.6778227289444576E-2</v>
      </c>
      <c r="D1208" s="5">
        <f>C1208-C1275</f>
        <v>3.6700181719885684E-2</v>
      </c>
      <c r="E1208" s="1"/>
      <c r="F1208" s="8"/>
      <c r="H1208" t="s">
        <v>1020</v>
      </c>
      <c r="I1208">
        <v>29.25</v>
      </c>
      <c r="J1208" s="227">
        <f t="shared" si="121"/>
        <v>-4.723127035830621E-2</v>
      </c>
      <c r="K1208" s="5">
        <f>J1208-J1276</f>
        <v>-4.9367226273916168E-2</v>
      </c>
      <c r="M1208" s="240" t="s">
        <v>1018</v>
      </c>
      <c r="N1208">
        <v>2797.8</v>
      </c>
      <c r="O1208" s="227">
        <f t="shared" si="122"/>
        <v>-1.3727024683263034E-2</v>
      </c>
      <c r="P1208" s="5">
        <f>O1208-O1278</f>
        <v>-1.3361267482349863E-2</v>
      </c>
      <c r="Q1208" s="8">
        <f t="shared" si="124"/>
        <v>1.7852346873489984E-4</v>
      </c>
      <c r="X1208" t="s">
        <v>1018</v>
      </c>
      <c r="Y1208">
        <v>27.427199999999999</v>
      </c>
      <c r="Z1208" s="48">
        <f t="shared" si="123"/>
        <v>1.7620017586625236E-2</v>
      </c>
      <c r="AA1208" s="5">
        <f>Z1208-Y1274</f>
        <v>1.3402698117351102E-2</v>
      </c>
    </row>
    <row r="1209" spans="1:27">
      <c r="A1209" s="3" t="s">
        <v>1022</v>
      </c>
      <c r="B1209" s="222">
        <v>28</v>
      </c>
      <c r="C1209" s="227">
        <f t="shared" si="120"/>
        <v>-6.7399787158567426E-3</v>
      </c>
      <c r="D1209" s="5">
        <f>C1209-C1275</f>
        <v>-6.8180242854156319E-3</v>
      </c>
      <c r="E1209" s="1"/>
      <c r="F1209" s="8"/>
      <c r="H1209" t="s">
        <v>1021</v>
      </c>
      <c r="I1209">
        <v>30.1</v>
      </c>
      <c r="J1209" s="227">
        <f t="shared" si="121"/>
        <v>2.9059829059829179E-2</v>
      </c>
      <c r="K1209" s="5">
        <f>J1209-J1276</f>
        <v>2.6923873144219221E-2</v>
      </c>
      <c r="M1209" s="240" t="s">
        <v>1019</v>
      </c>
      <c r="N1209">
        <v>2799.31</v>
      </c>
      <c r="O1209" s="227">
        <f t="shared" si="122"/>
        <v>5.3970977196349246E-4</v>
      </c>
      <c r="P1209" s="5">
        <f>O1209-O1278</f>
        <v>9.0546697287666395E-4</v>
      </c>
      <c r="Q1209" s="8">
        <f t="shared" si="124"/>
        <v>8.1987043897042934E-7</v>
      </c>
      <c r="X1209" t="s">
        <v>1019</v>
      </c>
      <c r="Y1209">
        <v>27.176400000000001</v>
      </c>
      <c r="Z1209" s="48">
        <f t="shared" si="123"/>
        <v>-9.1442072103604666E-3</v>
      </c>
      <c r="AA1209" s="5">
        <f>Z1209-Y1274</f>
        <v>-1.3361526679634601E-2</v>
      </c>
    </row>
    <row r="1210" spans="1:27">
      <c r="A1210" s="3" t="s">
        <v>1023</v>
      </c>
      <c r="B1210" s="222">
        <v>27.03</v>
      </c>
      <c r="C1210" s="227">
        <f t="shared" si="120"/>
        <v>-3.4642857142857086E-2</v>
      </c>
      <c r="D1210" s="5">
        <f>C1210-C1275</f>
        <v>-3.4720902712415978E-2</v>
      </c>
      <c r="F1210" s="8"/>
      <c r="H1210" t="s">
        <v>1022</v>
      </c>
      <c r="I1210">
        <v>29.07</v>
      </c>
      <c r="J1210" s="227">
        <f t="shared" si="121"/>
        <v>-3.4219269102990113E-2</v>
      </c>
      <c r="K1210" s="5">
        <f>J1210-J1276</f>
        <v>-3.6355225018600071E-2</v>
      </c>
      <c r="M1210" s="240" t="s">
        <v>1020</v>
      </c>
      <c r="N1210">
        <v>2736.56</v>
      </c>
      <c r="O1210" s="227">
        <f t="shared" si="122"/>
        <v>-2.2416238287292223E-2</v>
      </c>
      <c r="P1210" s="5">
        <f>O1210-O1278</f>
        <v>-2.205048108637905E-2</v>
      </c>
      <c r="Q1210" s="8">
        <f t="shared" si="124"/>
        <v>4.8622371614076023E-4</v>
      </c>
      <c r="X1210" t="s">
        <v>1020</v>
      </c>
      <c r="Y1210">
        <v>27.6599</v>
      </c>
      <c r="Z1210" s="48">
        <f t="shared" si="123"/>
        <v>1.779117175196121E-2</v>
      </c>
      <c r="AA1210" s="5">
        <f>Z1210-Y1274</f>
        <v>1.3573852282687076E-2</v>
      </c>
    </row>
    <row r="1211" spans="1:27">
      <c r="A1211" s="3" t="s">
        <v>1024</v>
      </c>
      <c r="B1211" s="222">
        <v>27.41</v>
      </c>
      <c r="C1211" s="227">
        <f t="shared" si="120"/>
        <v>1.4058453570107154E-2</v>
      </c>
      <c r="D1211" s="5">
        <f>C1211-C1275</f>
        <v>1.3980408000548266E-2</v>
      </c>
      <c r="F1211" s="8"/>
      <c r="H1211" t="s">
        <v>1023</v>
      </c>
      <c r="I1211">
        <v>27.14</v>
      </c>
      <c r="J1211" s="227">
        <f t="shared" si="121"/>
        <v>-6.6391468868249093E-2</v>
      </c>
      <c r="K1211" s="5">
        <f>J1211-J1276</f>
        <v>-6.8527424783859051E-2</v>
      </c>
      <c r="M1211" s="240" t="s">
        <v>1021</v>
      </c>
      <c r="N1211">
        <v>2823.16</v>
      </c>
      <c r="O1211" s="227">
        <f t="shared" si="122"/>
        <v>3.1645569620253111E-2</v>
      </c>
      <c r="P1211" s="5">
        <f>O1211-O1278</f>
        <v>3.201132682116628E-2</v>
      </c>
      <c r="Q1211" s="8">
        <f t="shared" si="124"/>
        <v>1.0247250448515196E-3</v>
      </c>
      <c r="X1211" t="s">
        <v>1021</v>
      </c>
      <c r="Y1211">
        <v>27.7805</v>
      </c>
      <c r="Z1211" s="48">
        <f t="shared" si="123"/>
        <v>4.3601025311008623E-3</v>
      </c>
      <c r="AA1211" s="5">
        <f>Z1211-Y1274</f>
        <v>1.4278306182672826E-4</v>
      </c>
    </row>
    <row r="1212" spans="1:27">
      <c r="A1212" s="3" t="s">
        <v>1025</v>
      </c>
      <c r="B1212" s="222">
        <v>27.75</v>
      </c>
      <c r="C1212" s="227">
        <f t="shared" si="120"/>
        <v>1.2404232032105167E-2</v>
      </c>
      <c r="D1212" s="5">
        <f>C1212-C1275</f>
        <v>1.2326186462546278E-2</v>
      </c>
      <c r="F1212" s="8"/>
      <c r="H1212" t="s">
        <v>1024</v>
      </c>
      <c r="I1212">
        <v>28.39</v>
      </c>
      <c r="J1212" s="227">
        <f t="shared" si="121"/>
        <v>4.6057479734708862E-2</v>
      </c>
      <c r="K1212" s="5">
        <f>J1212-J1276</f>
        <v>4.3921523819098904E-2</v>
      </c>
      <c r="M1212" s="240" t="s">
        <v>1022</v>
      </c>
      <c r="N1212">
        <v>2874.56</v>
      </c>
      <c r="O1212" s="227">
        <f t="shared" si="122"/>
        <v>1.8206548690120394E-2</v>
      </c>
      <c r="P1212" s="5">
        <f>O1212-O1278</f>
        <v>1.8572305891033567E-2</v>
      </c>
      <c r="Q1212" s="8">
        <f t="shared" si="124"/>
        <v>3.4493054611012014E-4</v>
      </c>
      <c r="X1212" t="s">
        <v>1022</v>
      </c>
      <c r="Y1212">
        <v>29.376000000000001</v>
      </c>
      <c r="Z1212" s="48">
        <f t="shared" si="123"/>
        <v>5.7432371627580636E-2</v>
      </c>
      <c r="AA1212" s="5">
        <f>Z1212-Y1274</f>
        <v>5.3215052158306506E-2</v>
      </c>
    </row>
    <row r="1213" spans="1:27">
      <c r="A1213" s="3" t="s">
        <v>1026</v>
      </c>
      <c r="B1213" s="222">
        <v>27.99</v>
      </c>
      <c r="C1213" s="227">
        <f t="shared" si="120"/>
        <v>8.6486486486485603E-3</v>
      </c>
      <c r="D1213" s="5">
        <f>C1213-C1275</f>
        <v>8.5706030790896719E-3</v>
      </c>
      <c r="F1213" s="8"/>
      <c r="H1213" t="s">
        <v>1025</v>
      </c>
      <c r="I1213">
        <v>30.5</v>
      </c>
      <c r="J1213" s="227">
        <f t="shared" si="121"/>
        <v>7.4321944346600999E-2</v>
      </c>
      <c r="K1213" s="5">
        <f>J1213-J1276</f>
        <v>7.2185988430991041E-2</v>
      </c>
      <c r="M1213" s="240" t="s">
        <v>1023</v>
      </c>
      <c r="N1213">
        <v>2799.55</v>
      </c>
      <c r="O1213" s="227">
        <f t="shared" si="122"/>
        <v>-2.6094428364688782E-2</v>
      </c>
      <c r="P1213" s="5">
        <f>O1213-O1278</f>
        <v>-2.5728671163775609E-2</v>
      </c>
      <c r="Q1213" s="8">
        <f t="shared" si="124"/>
        <v>6.6196451985369852E-4</v>
      </c>
      <c r="X1213" t="s">
        <v>1023</v>
      </c>
      <c r="Y1213">
        <v>28.5916</v>
      </c>
      <c r="Z1213" s="48">
        <f t="shared" si="123"/>
        <v>-2.6702069716775689E-2</v>
      </c>
      <c r="AA1213" s="5">
        <f>Z1213-Y1274</f>
        <v>-3.0919389186049823E-2</v>
      </c>
    </row>
    <row r="1214" spans="1:27">
      <c r="A1214" s="220">
        <v>44078</v>
      </c>
      <c r="B1214" s="222">
        <v>27.11</v>
      </c>
      <c r="C1214" s="227">
        <f t="shared" si="120"/>
        <v>-3.1439799928545842E-2</v>
      </c>
      <c r="D1214" s="5">
        <f>C1214-C1275</f>
        <v>-3.1517845498104734E-2</v>
      </c>
      <c r="F1214" s="8"/>
      <c r="H1214" t="s">
        <v>1026</v>
      </c>
      <c r="I1214">
        <v>30.66</v>
      </c>
      <c r="J1214" s="227">
        <f t="shared" si="121"/>
        <v>5.2459016393442415E-3</v>
      </c>
      <c r="K1214" s="5">
        <f>J1214-J1276</f>
        <v>3.1099457237342837E-3</v>
      </c>
      <c r="M1214" s="240" t="s">
        <v>1024</v>
      </c>
      <c r="N1214">
        <v>2783.36</v>
      </c>
      <c r="O1214" s="227">
        <f t="shared" si="122"/>
        <v>-5.7830722794735001E-3</v>
      </c>
      <c r="P1214" s="5">
        <f>O1214-O1278</f>
        <v>-5.4173150785603282E-3</v>
      </c>
      <c r="Q1214" s="8">
        <f t="shared" si="124"/>
        <v>2.9347302660397096E-5</v>
      </c>
      <c r="X1214" t="s">
        <v>1024</v>
      </c>
      <c r="Y1214">
        <v>27.971499999999999</v>
      </c>
      <c r="Z1214" s="48">
        <f t="shared" si="123"/>
        <v>-2.1688188139173725E-2</v>
      </c>
      <c r="AA1214" s="5">
        <f>Z1214-Y1274</f>
        <v>-2.5905507608447859E-2</v>
      </c>
    </row>
    <row r="1215" spans="1:27">
      <c r="A1215" s="220">
        <v>44047</v>
      </c>
      <c r="B1215" s="222">
        <v>26.94</v>
      </c>
      <c r="C1215" s="227">
        <f t="shared" si="120"/>
        <v>-6.2707488011802814E-3</v>
      </c>
      <c r="D1215" s="5">
        <f>C1215-C1275</f>
        <v>-6.3487943707391708E-3</v>
      </c>
      <c r="F1215" s="8"/>
      <c r="H1215" s="1">
        <v>44078</v>
      </c>
      <c r="I1215">
        <v>30.33</v>
      </c>
      <c r="J1215" s="227">
        <f t="shared" si="121"/>
        <v>-1.0763209393346407E-2</v>
      </c>
      <c r="K1215" s="5">
        <f>J1215-J1276</f>
        <v>-1.2899165308956365E-2</v>
      </c>
      <c r="M1215" s="240" t="s">
        <v>1025</v>
      </c>
      <c r="N1215">
        <v>2846.06</v>
      </c>
      <c r="O1215" s="227">
        <f t="shared" si="122"/>
        <v>2.2526730282823593E-2</v>
      </c>
      <c r="P1215" s="5">
        <f>O1215-O1278</f>
        <v>2.2892487483736765E-2</v>
      </c>
      <c r="Q1215" s="8">
        <f t="shared" si="124"/>
        <v>5.2406598319304444E-4</v>
      </c>
      <c r="X1215" t="s">
        <v>1025</v>
      </c>
      <c r="Y1215">
        <v>27.7559</v>
      </c>
      <c r="Z1215" s="48">
        <f t="shared" si="123"/>
        <v>-7.7078454855834533E-3</v>
      </c>
      <c r="AA1215" s="5">
        <f>Z1215-Y1274</f>
        <v>-1.1925164954857587E-2</v>
      </c>
    </row>
    <row r="1216" spans="1:27">
      <c r="A1216" s="220">
        <v>44016</v>
      </c>
      <c r="B1216" s="222">
        <v>25.74</v>
      </c>
      <c r="C1216" s="227">
        <f t="shared" si="120"/>
        <v>-4.4543429844098092E-2</v>
      </c>
      <c r="D1216" s="5">
        <f>C1216-C1275</f>
        <v>-4.4621475413656984E-2</v>
      </c>
      <c r="F1216" s="8"/>
      <c r="H1216" s="1">
        <v>44047</v>
      </c>
      <c r="I1216">
        <v>29.64</v>
      </c>
      <c r="J1216" s="227">
        <f t="shared" si="121"/>
        <v>-2.2749752720079064E-2</v>
      </c>
      <c r="K1216" s="5">
        <f>J1216-J1276</f>
        <v>-2.4885708635689022E-2</v>
      </c>
      <c r="M1216" s="240" t="s">
        <v>1026</v>
      </c>
      <c r="N1216">
        <v>2761.63</v>
      </c>
      <c r="O1216" s="227">
        <f t="shared" si="122"/>
        <v>-2.9665572756723324E-2</v>
      </c>
      <c r="P1216" s="5">
        <f>O1216-O1278</f>
        <v>-2.9299815555810151E-2</v>
      </c>
      <c r="Q1216" s="8">
        <f t="shared" si="124"/>
        <v>8.5847919160449452E-4</v>
      </c>
      <c r="X1216" t="s">
        <v>1026</v>
      </c>
      <c r="Y1216">
        <v>28.5307</v>
      </c>
      <c r="Z1216" s="48">
        <f t="shared" si="123"/>
        <v>2.7914785685205556E-2</v>
      </c>
      <c r="AA1216" s="5">
        <f>Z1216-Y1274</f>
        <v>2.3697466215931422E-2</v>
      </c>
    </row>
    <row r="1217" spans="1:27">
      <c r="A1217" s="220">
        <v>43986</v>
      </c>
      <c r="B1217" s="222">
        <v>25.99</v>
      </c>
      <c r="C1217" s="227">
        <f t="shared" si="120"/>
        <v>9.7125097125096982E-3</v>
      </c>
      <c r="D1217" s="5">
        <f>C1217-C1275</f>
        <v>9.6344641429508097E-3</v>
      </c>
      <c r="F1217" s="8"/>
      <c r="H1217" s="1">
        <v>44016</v>
      </c>
      <c r="I1217">
        <v>27.5</v>
      </c>
      <c r="J1217" s="227">
        <f t="shared" si="121"/>
        <v>-7.2199730094467007E-2</v>
      </c>
      <c r="K1217" s="5">
        <f>J1217-J1276</f>
        <v>-7.4335686010076965E-2</v>
      </c>
      <c r="M1217" s="241">
        <v>44078</v>
      </c>
      <c r="N1217">
        <v>2789.82</v>
      </c>
      <c r="O1217" s="227">
        <f t="shared" si="122"/>
        <v>1.0207739632029034E-2</v>
      </c>
      <c r="P1217" s="5">
        <f>O1217-O1278</f>
        <v>1.0573496832942205E-2</v>
      </c>
      <c r="Q1217" s="8">
        <f t="shared" si="124"/>
        <v>1.1179883527623883E-4</v>
      </c>
      <c r="X1217" s="1">
        <v>44078</v>
      </c>
      <c r="Y1217">
        <v>29.6524</v>
      </c>
      <c r="Z1217" s="48">
        <f t="shared" si="123"/>
        <v>3.9315544308411665E-2</v>
      </c>
      <c r="AA1217" s="5">
        <f>Z1217-Y1274</f>
        <v>3.5098224839137535E-2</v>
      </c>
    </row>
    <row r="1218" spans="1:27">
      <c r="A1218" s="220">
        <v>43894</v>
      </c>
      <c r="B1218" s="222">
        <v>22.82</v>
      </c>
      <c r="C1218" s="227">
        <f t="shared" si="120"/>
        <v>-0.12196998845709883</v>
      </c>
      <c r="D1218" s="5">
        <f>C1218-C1275</f>
        <v>-0.12204803402665772</v>
      </c>
      <c r="F1218" s="8"/>
      <c r="H1218" s="1">
        <v>43986</v>
      </c>
      <c r="I1218">
        <v>25.73</v>
      </c>
      <c r="J1218" s="227">
        <f t="shared" si="121"/>
        <v>-6.4363636363636401E-2</v>
      </c>
      <c r="K1218" s="5">
        <f>J1218-J1276</f>
        <v>-6.6499592279246358E-2</v>
      </c>
      <c r="M1218" s="241">
        <v>44047</v>
      </c>
      <c r="N1218">
        <v>2749.98</v>
      </c>
      <c r="O1218" s="227">
        <f t="shared" si="122"/>
        <v>-1.4280491214487046E-2</v>
      </c>
      <c r="P1218" s="5">
        <f>O1218-O1278</f>
        <v>-1.3914734013573874E-2</v>
      </c>
      <c r="Q1218" s="8">
        <f t="shared" si="124"/>
        <v>1.9361982266850969E-4</v>
      </c>
      <c r="X1218" s="1">
        <v>44047</v>
      </c>
      <c r="Y1218">
        <v>27.955500000000001</v>
      </c>
      <c r="Z1218" s="48">
        <f t="shared" si="123"/>
        <v>-5.7226396514278743E-2</v>
      </c>
      <c r="AA1218" s="5">
        <f>Z1218-Y1274</f>
        <v>-6.1443715983552874E-2</v>
      </c>
    </row>
    <row r="1219" spans="1:27">
      <c r="A1219" s="220">
        <v>43865</v>
      </c>
      <c r="B1219" s="222">
        <v>23.68</v>
      </c>
      <c r="C1219" s="227">
        <f t="shared" si="120"/>
        <v>3.7686240140227811E-2</v>
      </c>
      <c r="D1219" s="5">
        <f>C1219-C1275</f>
        <v>3.7608194570668919E-2</v>
      </c>
      <c r="F1219" s="8"/>
      <c r="H1219" s="1">
        <v>43894</v>
      </c>
      <c r="I1219">
        <v>22</v>
      </c>
      <c r="J1219" s="227">
        <f t="shared" si="121"/>
        <v>-0.14496696463272452</v>
      </c>
      <c r="K1219" s="5">
        <f>J1219-J1276</f>
        <v>-0.14710292054833446</v>
      </c>
      <c r="M1219" s="241">
        <v>44016</v>
      </c>
      <c r="N1219">
        <v>2659.41</v>
      </c>
      <c r="O1219" s="227">
        <f t="shared" si="122"/>
        <v>-3.2934784980254483E-2</v>
      </c>
      <c r="P1219" s="5">
        <f>O1219-O1278</f>
        <v>-3.2569027779341314E-2</v>
      </c>
      <c r="Q1219" s="8">
        <f t="shared" si="124"/>
        <v>1.0607415704915063E-3</v>
      </c>
      <c r="X1219" s="1">
        <v>44016</v>
      </c>
      <c r="Y1219">
        <v>28.173200000000001</v>
      </c>
      <c r="Z1219" s="48">
        <f t="shared" si="123"/>
        <v>7.7873763660103457E-3</v>
      </c>
      <c r="AA1219" s="5">
        <f>Z1219-Y1274</f>
        <v>3.5700568967362116E-3</v>
      </c>
    </row>
    <row r="1220" spans="1:27">
      <c r="A1220" s="220">
        <v>43834</v>
      </c>
      <c r="B1220" s="222">
        <v>25.42</v>
      </c>
      <c r="C1220" s="227">
        <f t="shared" si="120"/>
        <v>7.3479729729729826E-2</v>
      </c>
      <c r="D1220" s="5">
        <f>C1220-C1275</f>
        <v>7.3401684160170941E-2</v>
      </c>
      <c r="F1220" s="8"/>
      <c r="H1220" s="1">
        <v>43865</v>
      </c>
      <c r="I1220">
        <v>22.45</v>
      </c>
      <c r="J1220" s="227">
        <f t="shared" si="121"/>
        <v>2.0454545454545503E-2</v>
      </c>
      <c r="K1220" s="5">
        <f>J1220-J1276</f>
        <v>1.8318589538935545E-2</v>
      </c>
      <c r="M1220" s="241">
        <v>43986</v>
      </c>
      <c r="N1220">
        <v>2663.68</v>
      </c>
      <c r="O1220" s="227">
        <f t="shared" si="122"/>
        <v>1.6056192914970513E-3</v>
      </c>
      <c r="P1220" s="5">
        <f>O1220-O1278</f>
        <v>1.9713764924102228E-3</v>
      </c>
      <c r="Q1220" s="8">
        <f t="shared" si="124"/>
        <v>3.8863252748276329E-6</v>
      </c>
      <c r="X1220" s="1">
        <v>43986</v>
      </c>
      <c r="Y1220">
        <v>27.976800000000001</v>
      </c>
      <c r="Z1220" s="48">
        <f t="shared" si="123"/>
        <v>-6.9711640850169676E-3</v>
      </c>
      <c r="AA1220" s="5">
        <f>Z1220-Y1274</f>
        <v>-1.1188483554291102E-2</v>
      </c>
    </row>
    <row r="1221" spans="1:27">
      <c r="A1221" s="3" t="s">
        <v>1027</v>
      </c>
      <c r="B1221" s="222">
        <v>27.92</v>
      </c>
      <c r="C1221" s="227">
        <f t="shared" si="120"/>
        <v>9.8347757671125136E-2</v>
      </c>
      <c r="D1221" s="5">
        <f>C1221-C1275</f>
        <v>9.8269712101566251E-2</v>
      </c>
      <c r="F1221" s="8"/>
      <c r="H1221" s="1">
        <v>43834</v>
      </c>
      <c r="I1221">
        <v>23.5</v>
      </c>
      <c r="J1221" s="227">
        <f t="shared" si="121"/>
        <v>4.6770601336302953E-2</v>
      </c>
      <c r="K1221" s="5">
        <f>J1221-J1276</f>
        <v>4.4634645420692995E-2</v>
      </c>
      <c r="M1221" s="241">
        <v>43894</v>
      </c>
      <c r="N1221">
        <v>2488.65</v>
      </c>
      <c r="O1221" s="227">
        <f t="shared" si="122"/>
        <v>-6.5709845026429514E-2</v>
      </c>
      <c r="P1221" s="5">
        <f>O1221-O1278</f>
        <v>-6.5344087825516345E-2</v>
      </c>
      <c r="Q1221" s="8">
        <f t="shared" si="124"/>
        <v>4.2698498137487932E-3</v>
      </c>
      <c r="X1221" s="1">
        <v>43894</v>
      </c>
      <c r="Y1221">
        <v>26.784700000000001</v>
      </c>
      <c r="Z1221" s="48">
        <f t="shared" si="123"/>
        <v>-4.2610305681850646E-2</v>
      </c>
      <c r="AA1221" s="5">
        <f>Z1221-Y1274</f>
        <v>-4.6827625151124777E-2</v>
      </c>
    </row>
    <row r="1222" spans="1:27">
      <c r="A1222" s="3" t="s">
        <v>1028</v>
      </c>
      <c r="B1222" s="222">
        <v>27.83</v>
      </c>
      <c r="C1222" s="227">
        <f t="shared" si="120"/>
        <v>-3.223495702005863E-3</v>
      </c>
      <c r="D1222" s="5">
        <f>C1222-C1275</f>
        <v>-3.3015412715647523E-3</v>
      </c>
      <c r="F1222" s="8"/>
      <c r="H1222" t="s">
        <v>1027</v>
      </c>
      <c r="I1222">
        <v>26.85</v>
      </c>
      <c r="J1222" s="227">
        <f t="shared" si="121"/>
        <v>0.14255319148936185</v>
      </c>
      <c r="K1222" s="5">
        <f>J1222-J1276</f>
        <v>0.14041723557375191</v>
      </c>
      <c r="M1222" s="241">
        <v>43865</v>
      </c>
      <c r="N1222">
        <v>2526.9</v>
      </c>
      <c r="O1222" s="227">
        <f t="shared" si="122"/>
        <v>1.5369778795732536E-2</v>
      </c>
      <c r="P1222" s="5">
        <f>O1222-O1278</f>
        <v>1.5735535996645709E-2</v>
      </c>
      <c r="Q1222" s="8">
        <f t="shared" si="124"/>
        <v>2.4760709310173287E-4</v>
      </c>
      <c r="X1222" s="1">
        <v>43865</v>
      </c>
      <c r="Y1222">
        <v>28.1006</v>
      </c>
      <c r="Z1222" s="48">
        <f t="shared" si="123"/>
        <v>4.9128793676987303E-2</v>
      </c>
      <c r="AA1222" s="5">
        <f>Z1222-Y1274</f>
        <v>4.4911474207713173E-2</v>
      </c>
    </row>
    <row r="1223" spans="1:27">
      <c r="A1223" s="3" t="s">
        <v>1029</v>
      </c>
      <c r="B1223" s="222">
        <v>27.28</v>
      </c>
      <c r="C1223" s="227">
        <f t="shared" si="120"/>
        <v>-1.9762845849802257E-2</v>
      </c>
      <c r="D1223" s="5">
        <f>C1223-C1275</f>
        <v>-1.9840891419361146E-2</v>
      </c>
      <c r="E1223" s="1"/>
      <c r="F1223" s="8"/>
      <c r="H1223" t="s">
        <v>1028</v>
      </c>
      <c r="I1223">
        <v>26.92</v>
      </c>
      <c r="J1223" s="227">
        <f t="shared" si="121"/>
        <v>2.6070763500931626E-3</v>
      </c>
      <c r="K1223" s="5">
        <f>J1223-J1276</f>
        <v>4.7112043448320484E-4</v>
      </c>
      <c r="M1223" s="241">
        <v>43834</v>
      </c>
      <c r="N1223">
        <v>2470.5</v>
      </c>
      <c r="O1223" s="227">
        <f t="shared" si="122"/>
        <v>-2.2319838537338321E-2</v>
      </c>
      <c r="P1223" s="5">
        <f>O1223-O1278</f>
        <v>-2.1954081336425148E-2</v>
      </c>
      <c r="Q1223" s="8">
        <f t="shared" si="124"/>
        <v>4.8198168732637104E-4</v>
      </c>
      <c r="X1223" s="1">
        <v>43834</v>
      </c>
      <c r="Y1223">
        <v>28.8157</v>
      </c>
      <c r="Z1223" s="48">
        <f t="shared" si="123"/>
        <v>2.544785520593873E-2</v>
      </c>
      <c r="AA1223" s="5">
        <f>Z1223-Y1274</f>
        <v>2.1230535736664596E-2</v>
      </c>
    </row>
    <row r="1224" spans="1:27">
      <c r="A1224" s="3" t="s">
        <v>1030</v>
      </c>
      <c r="B1224" s="222">
        <v>28.12</v>
      </c>
      <c r="C1224" s="227">
        <f t="shared" si="120"/>
        <v>3.0791788856304958E-2</v>
      </c>
      <c r="D1224" s="5">
        <f>C1224-C1275</f>
        <v>3.071374328674607E-2</v>
      </c>
      <c r="E1224" s="1"/>
      <c r="F1224" s="8"/>
      <c r="H1224" t="s">
        <v>1029</v>
      </c>
      <c r="I1224">
        <v>27.6</v>
      </c>
      <c r="J1224" s="227">
        <f t="shared" si="121"/>
        <v>2.5260029717681931E-2</v>
      </c>
      <c r="K1224" s="5">
        <f>J1224-J1276</f>
        <v>2.3124073802071973E-2</v>
      </c>
      <c r="M1224" s="240" t="s">
        <v>1027</v>
      </c>
      <c r="N1224">
        <v>2584.59</v>
      </c>
      <c r="O1224" s="227">
        <f t="shared" si="122"/>
        <v>4.6180935033394155E-2</v>
      </c>
      <c r="P1224" s="5">
        <f>O1224-O1278</f>
        <v>4.6546692234307324E-2</v>
      </c>
      <c r="Q1224" s="8">
        <f t="shared" si="124"/>
        <v>2.1665945579553256E-3</v>
      </c>
      <c r="X1224" t="s">
        <v>1027</v>
      </c>
      <c r="Y1224">
        <v>31.008900000000001</v>
      </c>
      <c r="Z1224" s="48">
        <f t="shared" si="123"/>
        <v>7.6111286555593072E-2</v>
      </c>
      <c r="AA1224" s="5">
        <f>Z1224-Y1274</f>
        <v>7.1893967086318941E-2</v>
      </c>
    </row>
    <row r="1225" spans="1:27">
      <c r="A1225" s="3" t="s">
        <v>1031</v>
      </c>
      <c r="B1225" s="222">
        <v>26.19</v>
      </c>
      <c r="C1225" s="227">
        <f t="shared" si="120"/>
        <v>-6.8634423897581787E-2</v>
      </c>
      <c r="D1225" s="5">
        <f>C1225-C1275</f>
        <v>-6.8712469467140672E-2</v>
      </c>
      <c r="E1225" s="1"/>
      <c r="F1225" s="8"/>
      <c r="H1225" t="s">
        <v>1030</v>
      </c>
      <c r="I1225">
        <v>29.94</v>
      </c>
      <c r="J1225" s="227">
        <f t="shared" si="121"/>
        <v>8.478260869565224E-2</v>
      </c>
      <c r="K1225" s="5">
        <f>J1225-J1276</f>
        <v>8.2646652780042282E-2</v>
      </c>
      <c r="M1225" s="240" t="s">
        <v>1028</v>
      </c>
      <c r="N1225">
        <v>2626.65</v>
      </c>
      <c r="O1225" s="227">
        <f t="shared" si="122"/>
        <v>1.627337411349572E-2</v>
      </c>
      <c r="P1225" s="5">
        <f>O1225-O1278</f>
        <v>1.6639131314408893E-2</v>
      </c>
      <c r="Q1225" s="8">
        <f t="shared" si="124"/>
        <v>2.768606908981426E-4</v>
      </c>
      <c r="X1225" t="s">
        <v>1028</v>
      </c>
      <c r="Y1225">
        <v>31.5884</v>
      </c>
      <c r="Z1225" s="48">
        <f t="shared" si="123"/>
        <v>1.8688183070021847E-2</v>
      </c>
      <c r="AA1225" s="5">
        <f>Z1225-Y1274</f>
        <v>1.4470863600747712E-2</v>
      </c>
    </row>
    <row r="1226" spans="1:27">
      <c r="A1226" s="3" t="s">
        <v>1032</v>
      </c>
      <c r="B1226" s="222">
        <v>26.39</v>
      </c>
      <c r="C1226" s="227">
        <f t="shared" si="120"/>
        <v>7.6365024818632055E-3</v>
      </c>
      <c r="D1226" s="5">
        <f>C1226-C1275</f>
        <v>7.5584569123043161E-3</v>
      </c>
      <c r="E1226" s="1"/>
      <c r="F1226" s="8"/>
      <c r="H1226" t="s">
        <v>1031</v>
      </c>
      <c r="I1226">
        <v>27.95</v>
      </c>
      <c r="J1226" s="227">
        <f t="shared" si="121"/>
        <v>-6.6466265865063545E-2</v>
      </c>
      <c r="K1226" s="5">
        <f>J1226-J1276</f>
        <v>-6.8602221780673503E-2</v>
      </c>
      <c r="M1226" s="240" t="s">
        <v>1029</v>
      </c>
      <c r="N1226">
        <v>2541.4699999999998</v>
      </c>
      <c r="O1226" s="227">
        <f t="shared" si="122"/>
        <v>-3.2429139778805793E-2</v>
      </c>
      <c r="P1226" s="5">
        <f>O1226-O1278</f>
        <v>-3.2063382577892624E-2</v>
      </c>
      <c r="Q1226" s="8">
        <f t="shared" si="124"/>
        <v>1.0280605023363083E-3</v>
      </c>
      <c r="X1226" t="s">
        <v>1029</v>
      </c>
      <c r="Y1226">
        <v>30.7624</v>
      </c>
      <c r="Z1226" s="48">
        <f t="shared" si="123"/>
        <v>-2.6148839447392103E-2</v>
      </c>
      <c r="AA1226" s="5">
        <f>Z1226-Y1274</f>
        <v>-3.0366158916666237E-2</v>
      </c>
    </row>
    <row r="1227" spans="1:27">
      <c r="A1227" s="3" t="s">
        <v>1033</v>
      </c>
      <c r="B1227" s="222">
        <v>22.4</v>
      </c>
      <c r="C1227" s="227">
        <f t="shared" si="120"/>
        <v>-0.15119363395225471</v>
      </c>
      <c r="D1227" s="5">
        <f>C1227-C1275</f>
        <v>-0.15127167952181361</v>
      </c>
      <c r="E1227" s="1"/>
      <c r="F1227" s="8"/>
      <c r="H1227" t="s">
        <v>1032</v>
      </c>
      <c r="I1227">
        <v>27.06</v>
      </c>
      <c r="J1227" s="227">
        <f t="shared" si="121"/>
        <v>-3.1842576028622616E-2</v>
      </c>
      <c r="K1227" s="5">
        <f>J1227-J1276</f>
        <v>-3.3978531944232573E-2</v>
      </c>
      <c r="M1227" s="240" t="s">
        <v>1030</v>
      </c>
      <c r="N1227">
        <v>2630.07</v>
      </c>
      <c r="O1227" s="227">
        <f t="shared" si="122"/>
        <v>3.4861713889992929E-2</v>
      </c>
      <c r="P1227" s="5">
        <f>O1227-O1278</f>
        <v>3.5227471090906098E-2</v>
      </c>
      <c r="Q1227" s="8">
        <f t="shared" si="124"/>
        <v>1.2409747194606249E-3</v>
      </c>
      <c r="X1227" t="s">
        <v>1030</v>
      </c>
      <c r="Y1227">
        <v>30.203099999999999</v>
      </c>
      <c r="Z1227" s="48">
        <f t="shared" si="123"/>
        <v>-1.8181286245546491E-2</v>
      </c>
      <c r="AA1227" s="5">
        <f>Z1227-Y1274</f>
        <v>-2.2398605714820625E-2</v>
      </c>
    </row>
    <row r="1228" spans="1:27">
      <c r="A1228" s="3" t="s">
        <v>1034</v>
      </c>
      <c r="B1228" s="222">
        <v>21.33</v>
      </c>
      <c r="C1228" s="227">
        <f t="shared" si="120"/>
        <v>-4.776785714285714E-2</v>
      </c>
      <c r="D1228" s="5">
        <f>C1228-C1275</f>
        <v>-4.7845902712416032E-2</v>
      </c>
      <c r="E1228" s="1"/>
      <c r="F1228" s="8"/>
      <c r="H1228" t="s">
        <v>1033</v>
      </c>
      <c r="I1228">
        <v>22.61</v>
      </c>
      <c r="J1228" s="227">
        <f t="shared" si="121"/>
        <v>-0.16444937176644492</v>
      </c>
      <c r="K1228" s="5">
        <f>J1228-J1276</f>
        <v>-0.16658532768205486</v>
      </c>
      <c r="M1228" s="240" t="s">
        <v>1031</v>
      </c>
      <c r="N1228">
        <v>2475.56</v>
      </c>
      <c r="O1228" s="227">
        <f t="shared" si="122"/>
        <v>-5.8747485808362643E-2</v>
      </c>
      <c r="P1228" s="5">
        <f>O1228-O1278</f>
        <v>-5.8381728607449473E-2</v>
      </c>
      <c r="Q1228" s="8">
        <f t="shared" si="124"/>
        <v>3.4084262351938843E-3</v>
      </c>
      <c r="X1228" t="s">
        <v>1031</v>
      </c>
      <c r="Y1228">
        <v>30.169</v>
      </c>
      <c r="Z1228" s="48">
        <f t="shared" si="123"/>
        <v>-1.1290231797397299E-3</v>
      </c>
      <c r="AA1228" s="5">
        <f>Z1228-Y1274</f>
        <v>-5.3463426490138639E-3</v>
      </c>
    </row>
    <row r="1229" spans="1:27">
      <c r="A1229" s="3" t="s">
        <v>1035</v>
      </c>
      <c r="B1229" s="222">
        <v>20.49</v>
      </c>
      <c r="C1229" s="227">
        <f t="shared" si="120"/>
        <v>-3.9381153305203975E-2</v>
      </c>
      <c r="D1229" s="5">
        <f>C1229-C1275</f>
        <v>-3.9459198874762867E-2</v>
      </c>
      <c r="E1229" s="1"/>
      <c r="F1229" s="8"/>
      <c r="H1229" t="s">
        <v>1034</v>
      </c>
      <c r="I1229">
        <v>21.27</v>
      </c>
      <c r="J1229" s="227">
        <f t="shared" si="121"/>
        <v>-5.9265811587792983E-2</v>
      </c>
      <c r="K1229" s="5">
        <f>J1229-J1276</f>
        <v>-6.140176750340294E-2</v>
      </c>
      <c r="M1229" s="240" t="s">
        <v>1032</v>
      </c>
      <c r="N1229">
        <v>2447.33</v>
      </c>
      <c r="O1229" s="227">
        <f t="shared" si="122"/>
        <v>-1.140348042463124E-2</v>
      </c>
      <c r="P1229" s="5">
        <f>O1229-O1278</f>
        <v>-1.1037723223718069E-2</v>
      </c>
      <c r="Q1229" s="8">
        <f t="shared" si="124"/>
        <v>1.2183133396340521E-4</v>
      </c>
      <c r="X1229" t="s">
        <v>1032</v>
      </c>
      <c r="Y1229">
        <v>29.308800000000002</v>
      </c>
      <c r="Z1229" s="48">
        <f t="shared" si="123"/>
        <v>-2.8512711723954975E-2</v>
      </c>
      <c r="AA1229" s="5">
        <f>Z1229-Y1274</f>
        <v>-3.2730031193229106E-2</v>
      </c>
    </row>
    <row r="1230" spans="1:27">
      <c r="A1230" s="3" t="s">
        <v>1036</v>
      </c>
      <c r="B1230" s="222">
        <v>14.82</v>
      </c>
      <c r="C1230" s="227">
        <f t="shared" si="120"/>
        <v>-0.27672035139092233</v>
      </c>
      <c r="D1230" s="5">
        <f>C1230-C1275</f>
        <v>-0.2767983969604812</v>
      </c>
      <c r="E1230" s="1"/>
      <c r="F1230" s="8"/>
      <c r="H1230" t="s">
        <v>1035</v>
      </c>
      <c r="I1230">
        <v>20.7</v>
      </c>
      <c r="J1230" s="227">
        <f t="shared" si="121"/>
        <v>-2.6798307475317418E-2</v>
      </c>
      <c r="K1230" s="5">
        <f>J1230-J1276</f>
        <v>-2.8934263390927376E-2</v>
      </c>
      <c r="M1230" s="240" t="s">
        <v>1033</v>
      </c>
      <c r="N1230">
        <v>2237.4</v>
      </c>
      <c r="O1230" s="227">
        <f t="shared" si="122"/>
        <v>-8.5779196103508704E-2</v>
      </c>
      <c r="P1230" s="5">
        <f>O1230-O1278</f>
        <v>-8.5413438902595534E-2</v>
      </c>
      <c r="Q1230" s="8">
        <f t="shared" si="124"/>
        <v>7.2954555451674201E-3</v>
      </c>
      <c r="X1230" t="s">
        <v>1033</v>
      </c>
      <c r="Y1230">
        <v>26.254300000000001</v>
      </c>
      <c r="Z1230" s="48">
        <f t="shared" si="123"/>
        <v>-0.10421784583469818</v>
      </c>
      <c r="AA1230" s="5">
        <f>Z1230-Y1274</f>
        <v>-0.10843516530397231</v>
      </c>
    </row>
    <row r="1231" spans="1:27">
      <c r="A1231" s="3" t="s">
        <v>1037</v>
      </c>
      <c r="B1231" s="222">
        <v>18.91</v>
      </c>
      <c r="C1231" s="227">
        <f t="shared" si="120"/>
        <v>0.27597840755735481</v>
      </c>
      <c r="D1231" s="5">
        <f>C1231-C1275</f>
        <v>0.27590036198779594</v>
      </c>
      <c r="E1231" s="1"/>
      <c r="F1231" s="8"/>
      <c r="H1231" t="s">
        <v>1036</v>
      </c>
      <c r="I1231">
        <v>16.05</v>
      </c>
      <c r="J1231" s="227">
        <f t="shared" si="121"/>
        <v>-0.22463768115942018</v>
      </c>
      <c r="K1231" s="5">
        <f>J1231-J1276</f>
        <v>-0.22677363707503012</v>
      </c>
      <c r="M1231" s="240" t="s">
        <v>1034</v>
      </c>
      <c r="N1231">
        <v>2304.92</v>
      </c>
      <c r="O1231" s="227">
        <f t="shared" si="122"/>
        <v>3.0177885045141739E-2</v>
      </c>
      <c r="P1231" s="5">
        <f>O1231-O1278</f>
        <v>3.0543642246054912E-2</v>
      </c>
      <c r="Q1231" s="8">
        <f t="shared" si="124"/>
        <v>9.3291408165499035E-4</v>
      </c>
      <c r="X1231" t="s">
        <v>1034</v>
      </c>
      <c r="Y1231">
        <v>25.785799999999998</v>
      </c>
      <c r="Z1231" s="48">
        <f t="shared" si="123"/>
        <v>-1.7844695916478526E-2</v>
      </c>
      <c r="AA1231" s="5">
        <f>Z1231-Y1274</f>
        <v>-2.206201538575266E-2</v>
      </c>
    </row>
    <row r="1232" spans="1:27">
      <c r="A1232" s="3" t="s">
        <v>1038</v>
      </c>
      <c r="B1232" s="222">
        <v>20.29</v>
      </c>
      <c r="C1232" s="227">
        <f t="shared" si="120"/>
        <v>7.2977260708619651E-2</v>
      </c>
      <c r="D1232" s="5">
        <f>C1232-C1275</f>
        <v>7.2899215139060766E-2</v>
      </c>
      <c r="F1232" s="8"/>
      <c r="H1232" t="s">
        <v>1037</v>
      </c>
      <c r="I1232">
        <v>18.66</v>
      </c>
      <c r="J1232" s="227">
        <f t="shared" si="121"/>
        <v>0.16261682242990649</v>
      </c>
      <c r="K1232" s="5">
        <f>J1232-J1276</f>
        <v>0.16048086651429655</v>
      </c>
      <c r="M1232" s="240" t="s">
        <v>1035</v>
      </c>
      <c r="N1232">
        <v>2409.39</v>
      </c>
      <c r="O1232" s="227">
        <f t="shared" si="122"/>
        <v>4.5324783506585753E-2</v>
      </c>
      <c r="P1232" s="5">
        <f>O1232-O1278</f>
        <v>4.5690540707498922E-2</v>
      </c>
      <c r="Q1232" s="8">
        <f t="shared" si="124"/>
        <v>2.0876255101436162E-3</v>
      </c>
      <c r="X1232" t="s">
        <v>1035</v>
      </c>
      <c r="Y1232">
        <v>29.6449</v>
      </c>
      <c r="Z1232" s="48">
        <f t="shared" si="123"/>
        <v>0.14965989032723437</v>
      </c>
      <c r="AA1232" s="5">
        <f>Z1232-Y1274</f>
        <v>0.14544257085796022</v>
      </c>
    </row>
    <row r="1233" spans="1:27">
      <c r="A1233" s="3" t="s">
        <v>1039</v>
      </c>
      <c r="B1233" s="222">
        <v>22.6</v>
      </c>
      <c r="C1233" s="227">
        <f t="shared" si="120"/>
        <v>0.113849186791523</v>
      </c>
      <c r="D1233" s="5">
        <f>C1233-C1275</f>
        <v>0.11377114122196412</v>
      </c>
      <c r="F1233" s="8"/>
      <c r="H1233" t="s">
        <v>1038</v>
      </c>
      <c r="I1233">
        <v>19.12</v>
      </c>
      <c r="J1233" s="227">
        <f t="shared" si="121"/>
        <v>2.4651661307609984E-2</v>
      </c>
      <c r="K1233" s="5">
        <f>J1233-J1276</f>
        <v>2.2515705392000027E-2</v>
      </c>
      <c r="M1233" s="240" t="s">
        <v>1036</v>
      </c>
      <c r="N1233">
        <v>2398.1</v>
      </c>
      <c r="O1233" s="227">
        <f t="shared" si="122"/>
        <v>-4.6858333437094224E-3</v>
      </c>
      <c r="P1233" s="5">
        <f>O1233-O1278</f>
        <v>-4.3200761427962505E-3</v>
      </c>
      <c r="Q1233" s="8">
        <f t="shared" si="124"/>
        <v>1.8663057879557328E-5</v>
      </c>
      <c r="X1233" t="s">
        <v>1036</v>
      </c>
      <c r="Y1233">
        <v>29.444299999999998</v>
      </c>
      <c r="Z1233" s="48">
        <f t="shared" si="123"/>
        <v>-6.7667625797355191E-3</v>
      </c>
      <c r="AA1233" s="5">
        <f>Z1233-Y1274</f>
        <v>-1.0984082049009653E-2</v>
      </c>
    </row>
    <row r="1234" spans="1:27">
      <c r="A1234" s="220">
        <v>44168</v>
      </c>
      <c r="B1234" s="222">
        <v>22.61</v>
      </c>
      <c r="C1234" s="227">
        <f t="shared" ref="C1234:C1273" si="125">B1234/B1233-1</f>
        <v>4.4247787610607325E-4</v>
      </c>
      <c r="D1234" s="5">
        <f>C1234-C1275</f>
        <v>3.6443230654718405E-4</v>
      </c>
      <c r="F1234" s="8"/>
      <c r="H1234" t="s">
        <v>1039</v>
      </c>
      <c r="I1234">
        <v>24.17</v>
      </c>
      <c r="J1234" s="227">
        <f t="shared" si="121"/>
        <v>0.26412133891213396</v>
      </c>
      <c r="K1234" s="5">
        <f>J1234-J1276</f>
        <v>0.26198538299652402</v>
      </c>
      <c r="M1234" s="240" t="s">
        <v>1037</v>
      </c>
      <c r="N1234">
        <v>2529.19</v>
      </c>
      <c r="O1234" s="227">
        <f t="shared" si="122"/>
        <v>5.4664109086359991E-2</v>
      </c>
      <c r="P1234" s="5">
        <f>O1234-O1278</f>
        <v>5.502986628727316E-2</v>
      </c>
      <c r="Q1234" s="8">
        <f t="shared" si="124"/>
        <v>3.0282861835951632E-3</v>
      </c>
      <c r="X1234" t="s">
        <v>1037</v>
      </c>
      <c r="Y1234">
        <v>30.3002</v>
      </c>
      <c r="Z1234" s="48">
        <f t="shared" si="123"/>
        <v>2.9068444486708866E-2</v>
      </c>
      <c r="AA1234" s="5">
        <f>Z1234-Y1274</f>
        <v>2.4851125017434732E-2</v>
      </c>
    </row>
    <row r="1235" spans="1:27">
      <c r="A1235" s="220">
        <v>44138</v>
      </c>
      <c r="B1235" s="222">
        <v>26.24</v>
      </c>
      <c r="C1235" s="227">
        <f t="shared" si="125"/>
        <v>0.16054842989827511</v>
      </c>
      <c r="D1235" s="5">
        <f>C1235-C1275</f>
        <v>0.16047038432871621</v>
      </c>
      <c r="F1235" s="8"/>
      <c r="H1235" s="1">
        <v>44168</v>
      </c>
      <c r="I1235">
        <v>23.88</v>
      </c>
      <c r="J1235" s="227">
        <f t="shared" si="121"/>
        <v>-1.1998345055854509E-2</v>
      </c>
      <c r="K1235" s="5">
        <f>J1235-J1276</f>
        <v>-1.4134300971464467E-2</v>
      </c>
      <c r="M1235" s="240" t="s">
        <v>1038</v>
      </c>
      <c r="N1235">
        <v>2386.13</v>
      </c>
      <c r="O1235" s="227">
        <f t="shared" si="122"/>
        <v>-5.6563563828735619E-2</v>
      </c>
      <c r="P1235" s="5">
        <f>O1235-O1278</f>
        <v>-5.619780662782245E-2</v>
      </c>
      <c r="Q1235" s="8">
        <f t="shared" si="124"/>
        <v>3.1581934697781249E-3</v>
      </c>
      <c r="X1235" t="s">
        <v>1038</v>
      </c>
      <c r="Y1235">
        <v>29.293800000000001</v>
      </c>
      <c r="Z1235" s="48">
        <f t="shared" si="123"/>
        <v>-3.3214302215826885E-2</v>
      </c>
      <c r="AA1235" s="5">
        <f>Z1235-Y1274</f>
        <v>-3.7431621685101016E-2</v>
      </c>
    </row>
    <row r="1236" spans="1:27">
      <c r="A1236" s="220">
        <v>44107</v>
      </c>
      <c r="B1236" s="222">
        <v>28.97</v>
      </c>
      <c r="C1236" s="227">
        <f t="shared" si="125"/>
        <v>0.10403963414634143</v>
      </c>
      <c r="D1236" s="5">
        <f>C1236-C1275</f>
        <v>0.10396158857678255</v>
      </c>
      <c r="F1236" s="8"/>
      <c r="H1236" s="1">
        <v>44138</v>
      </c>
      <c r="I1236">
        <v>29.01</v>
      </c>
      <c r="J1236" s="227">
        <f t="shared" ref="J1236:J1274" si="126">I1236/I1235-1</f>
        <v>0.21482412060301526</v>
      </c>
      <c r="K1236" s="5">
        <f>J1236-J1276</f>
        <v>0.21268816468740531</v>
      </c>
      <c r="M1236" s="240" t="s">
        <v>1039</v>
      </c>
      <c r="N1236">
        <v>2711.02</v>
      </c>
      <c r="O1236" s="227">
        <f t="shared" si="122"/>
        <v>0.1361577114407011</v>
      </c>
      <c r="P1236" s="5">
        <f>O1236-O1278</f>
        <v>0.13652346864161427</v>
      </c>
      <c r="Q1236" s="8">
        <f t="shared" si="124"/>
        <v>1.8638657489937836E-2</v>
      </c>
      <c r="X1236" t="s">
        <v>1039</v>
      </c>
      <c r="Y1236">
        <v>32.8446</v>
      </c>
      <c r="Z1236" s="48">
        <f t="shared" si="123"/>
        <v>0.12121336255453374</v>
      </c>
      <c r="AA1236" s="5">
        <f>Z1236-Y1274</f>
        <v>0.11699604308525961</v>
      </c>
    </row>
    <row r="1237" spans="1:27">
      <c r="A1237" s="220">
        <v>44077</v>
      </c>
      <c r="B1237" s="222">
        <v>28.17</v>
      </c>
      <c r="C1237" s="227">
        <f t="shared" si="125"/>
        <v>-2.7614773904038548E-2</v>
      </c>
      <c r="D1237" s="5">
        <f>C1237-C1275</f>
        <v>-2.7692819473597436E-2</v>
      </c>
      <c r="F1237" s="8"/>
      <c r="H1237" s="1">
        <v>44107</v>
      </c>
      <c r="I1237">
        <v>32.89</v>
      </c>
      <c r="J1237" s="227">
        <f t="shared" si="126"/>
        <v>0.13374698379868999</v>
      </c>
      <c r="K1237" s="5">
        <f>J1237-J1276</f>
        <v>0.13161102788308005</v>
      </c>
      <c r="M1237" s="241">
        <v>44168</v>
      </c>
      <c r="N1237">
        <v>2480.64</v>
      </c>
      <c r="O1237" s="227">
        <f t="shared" si="122"/>
        <v>-8.497908536270482E-2</v>
      </c>
      <c r="P1237" s="5">
        <f>O1237-O1278</f>
        <v>-8.4613328161791651E-2</v>
      </c>
      <c r="Q1237" s="8">
        <f t="shared" si="124"/>
        <v>7.1594153026150438E-3</v>
      </c>
      <c r="X1237" s="1">
        <v>44168</v>
      </c>
      <c r="Y1237">
        <v>28.505099999999999</v>
      </c>
      <c r="Z1237" s="48">
        <f t="shared" si="123"/>
        <v>-0.13212217533475823</v>
      </c>
      <c r="AA1237" s="5">
        <f>Z1237-Y1274</f>
        <v>-0.13633949480403237</v>
      </c>
    </row>
    <row r="1238" spans="1:27">
      <c r="A1238" s="220">
        <v>43985</v>
      </c>
      <c r="B1238" s="222">
        <v>31.68</v>
      </c>
      <c r="C1238" s="227">
        <f t="shared" si="125"/>
        <v>0.12460063897763574</v>
      </c>
      <c r="D1238" s="5">
        <f>C1238-C1275</f>
        <v>0.12452259340807685</v>
      </c>
      <c r="F1238" s="8"/>
      <c r="H1238" s="1">
        <v>44077</v>
      </c>
      <c r="I1238">
        <v>32.81</v>
      </c>
      <c r="J1238" s="227">
        <f t="shared" si="126"/>
        <v>-2.4323502584371326E-3</v>
      </c>
      <c r="K1238" s="5">
        <f>J1238-J1276</f>
        <v>-4.5683061740470904E-3</v>
      </c>
      <c r="M1238" s="241">
        <v>44138</v>
      </c>
      <c r="N1238">
        <v>2741.38</v>
      </c>
      <c r="O1238" s="227">
        <f t="shared" ref="O1238:O1276" si="127">N1238/N1237-1</f>
        <v>0.10510997162022706</v>
      </c>
      <c r="P1238" s="5">
        <f>O1238-O1278</f>
        <v>0.10547572882114023</v>
      </c>
      <c r="Q1238" s="8">
        <f t="shared" si="124"/>
        <v>1.1125129370350711E-2</v>
      </c>
      <c r="X1238" s="1">
        <v>44138</v>
      </c>
      <c r="Y1238">
        <v>31.718599999999999</v>
      </c>
      <c r="Z1238" s="48">
        <f t="shared" ref="Z1238:Z1270" si="128">Y1238/Y1237-1</f>
        <v>0.11273421247425897</v>
      </c>
      <c r="AA1238" s="5">
        <f>Z1238-Y1274</f>
        <v>0.10851689300498484</v>
      </c>
    </row>
    <row r="1239" spans="1:27">
      <c r="A1239" s="220">
        <v>43954</v>
      </c>
      <c r="B1239" s="222">
        <v>32.21</v>
      </c>
      <c r="C1239" s="227">
        <f t="shared" si="125"/>
        <v>1.6729797979798011E-2</v>
      </c>
      <c r="D1239" s="5">
        <f>C1239-C1275</f>
        <v>1.6651752410239123E-2</v>
      </c>
      <c r="F1239" s="8"/>
      <c r="H1239" s="1">
        <v>43985</v>
      </c>
      <c r="I1239">
        <v>36.020000000000003</v>
      </c>
      <c r="J1239" s="227">
        <f t="shared" si="126"/>
        <v>9.7836025601950594E-2</v>
      </c>
      <c r="K1239" s="5">
        <f>J1239-J1276</f>
        <v>9.5700069686340636E-2</v>
      </c>
      <c r="M1239" s="241">
        <v>44107</v>
      </c>
      <c r="N1239">
        <v>2882.23</v>
      </c>
      <c r="O1239" s="227">
        <f t="shared" si="127"/>
        <v>5.1379232357425808E-2</v>
      </c>
      <c r="P1239" s="5">
        <f>O1239-O1278</f>
        <v>5.1744989558338977E-2</v>
      </c>
      <c r="Q1239" s="8">
        <f t="shared" ref="Q1239:Q1276" si="129">P1239*P1239</f>
        <v>2.6775439443926098E-3</v>
      </c>
      <c r="X1239" s="1">
        <v>44107</v>
      </c>
      <c r="Y1239">
        <v>33.779499999999999</v>
      </c>
      <c r="Z1239" s="48">
        <f t="shared" si="128"/>
        <v>6.497449446066339E-2</v>
      </c>
      <c r="AA1239" s="5">
        <f>Z1239-Y1274</f>
        <v>6.0757174991389259E-2</v>
      </c>
    </row>
    <row r="1240" spans="1:27">
      <c r="A1240" s="220">
        <v>43924</v>
      </c>
      <c r="B1240" s="222">
        <v>34.53</v>
      </c>
      <c r="C1240" s="227">
        <f t="shared" si="125"/>
        <v>7.2027320707854781E-2</v>
      </c>
      <c r="D1240" s="5">
        <f>C1240-C1275</f>
        <v>7.1949275138295896E-2</v>
      </c>
      <c r="F1240" s="8"/>
      <c r="H1240" s="1">
        <v>43954</v>
      </c>
      <c r="I1240">
        <v>37.08</v>
      </c>
      <c r="J1240" s="227">
        <f t="shared" si="126"/>
        <v>2.9428095502498586E-2</v>
      </c>
      <c r="K1240" s="5">
        <f>J1240-J1276</f>
        <v>2.7292139586888628E-2</v>
      </c>
      <c r="M1240" s="241">
        <v>44077</v>
      </c>
      <c r="N1240">
        <v>2746.56</v>
      </c>
      <c r="O1240" s="227">
        <f t="shared" si="127"/>
        <v>-4.7071191403878276E-2</v>
      </c>
      <c r="P1240" s="5">
        <f>O1240-O1278</f>
        <v>-4.6705434202965107E-2</v>
      </c>
      <c r="Q1240" s="8">
        <f t="shared" si="129"/>
        <v>2.181397584087503E-3</v>
      </c>
      <c r="X1240" s="1">
        <v>44077</v>
      </c>
      <c r="Y1240">
        <v>33.146599999999999</v>
      </c>
      <c r="Z1240" s="48">
        <f t="shared" si="128"/>
        <v>-1.8736215752157337E-2</v>
      </c>
      <c r="AA1240" s="5">
        <f>Z1240-Y1274</f>
        <v>-2.2953535221431471E-2</v>
      </c>
    </row>
    <row r="1241" spans="1:27">
      <c r="A1241" s="220">
        <v>43893</v>
      </c>
      <c r="B1241" s="222">
        <v>33.04</v>
      </c>
      <c r="C1241" s="227">
        <f t="shared" si="125"/>
        <v>-4.3150883289892916E-2</v>
      </c>
      <c r="D1241" s="5">
        <f>C1241-C1275</f>
        <v>-4.3228928859451808E-2</v>
      </c>
      <c r="F1241" s="8"/>
      <c r="H1241" s="1">
        <v>43924</v>
      </c>
      <c r="I1241">
        <v>40.270000000000003</v>
      </c>
      <c r="J1241" s="227">
        <f t="shared" si="126"/>
        <v>8.6030204962243895E-2</v>
      </c>
      <c r="K1241" s="5">
        <f>J1241-J1276</f>
        <v>8.3894249046633937E-2</v>
      </c>
      <c r="M1241" s="241">
        <v>43985</v>
      </c>
      <c r="N1241">
        <v>2972.37</v>
      </c>
      <c r="O1241" s="227">
        <f t="shared" si="127"/>
        <v>8.2215571478504001E-2</v>
      </c>
      <c r="P1241" s="5">
        <f>O1241-O1278</f>
        <v>8.2581328679417171E-2</v>
      </c>
      <c r="Q1241" s="8">
        <f t="shared" si="129"/>
        <v>6.8196758464579288E-3</v>
      </c>
      <c r="X1241" s="1">
        <v>43985</v>
      </c>
      <c r="Y1241">
        <v>34.603400000000001</v>
      </c>
      <c r="Z1241" s="48">
        <f t="shared" si="128"/>
        <v>4.3950209071216939E-2</v>
      </c>
      <c r="AA1241" s="5">
        <f>Z1241-Y1274</f>
        <v>3.9732889601942808E-2</v>
      </c>
    </row>
    <row r="1242" spans="1:27">
      <c r="A1242" s="220">
        <v>43864</v>
      </c>
      <c r="B1242" s="222">
        <v>32.85</v>
      </c>
      <c r="C1242" s="227">
        <f t="shared" si="125"/>
        <v>-5.7506053268764346E-3</v>
      </c>
      <c r="D1242" s="5">
        <f>C1242-C1275</f>
        <v>-5.8286508964353239E-3</v>
      </c>
      <c r="F1242" s="8"/>
      <c r="H1242" s="1">
        <v>43893</v>
      </c>
      <c r="I1242">
        <v>36.97</v>
      </c>
      <c r="J1242" s="227">
        <f t="shared" si="126"/>
        <v>-8.1946858703749736E-2</v>
      </c>
      <c r="K1242" s="5">
        <f>J1242-J1276</f>
        <v>-8.4082814619359694E-2</v>
      </c>
      <c r="M1242" s="241">
        <v>43954</v>
      </c>
      <c r="N1242">
        <v>3023.94</v>
      </c>
      <c r="O1242" s="227">
        <f t="shared" si="127"/>
        <v>1.7349791580456131E-2</v>
      </c>
      <c r="P1242" s="5">
        <f>O1242-O1278</f>
        <v>1.7715548781369304E-2</v>
      </c>
      <c r="Q1242" s="8">
        <f t="shared" si="129"/>
        <v>3.1384066862507541E-4</v>
      </c>
      <c r="X1242" s="1">
        <v>43954</v>
      </c>
      <c r="Y1242">
        <v>34.355800000000002</v>
      </c>
      <c r="Z1242" s="48">
        <f t="shared" si="128"/>
        <v>-7.1553662356877989E-3</v>
      </c>
      <c r="AA1242" s="5">
        <f>Z1242-Y1274</f>
        <v>-1.1372685704961933E-2</v>
      </c>
    </row>
    <row r="1243" spans="1:27">
      <c r="A1243" s="3" t="s">
        <v>1040</v>
      </c>
      <c r="B1243" s="222">
        <v>33.869999999999997</v>
      </c>
      <c r="C1243" s="227">
        <f t="shared" si="125"/>
        <v>3.1050228310502082E-2</v>
      </c>
      <c r="D1243" s="5">
        <f>C1243-C1275</f>
        <v>3.0972182740943193E-2</v>
      </c>
      <c r="E1243" s="1"/>
      <c r="F1243" s="8"/>
      <c r="H1243" s="1">
        <v>43864</v>
      </c>
      <c r="I1243">
        <v>36.909999999999997</v>
      </c>
      <c r="J1243" s="227">
        <f t="shared" si="126"/>
        <v>-1.6229375169056759E-3</v>
      </c>
      <c r="K1243" s="5">
        <f>J1243-J1276</f>
        <v>-3.7588934325156337E-3</v>
      </c>
      <c r="M1243" s="241">
        <v>43924</v>
      </c>
      <c r="N1243">
        <v>3130.12</v>
      </c>
      <c r="O1243" s="227">
        <f t="shared" si="127"/>
        <v>3.5113130551531979E-2</v>
      </c>
      <c r="P1243" s="5">
        <f>O1243-O1278</f>
        <v>3.5478887752445148E-2</v>
      </c>
      <c r="Q1243" s="8">
        <f t="shared" si="129"/>
        <v>1.2587514761506025E-3</v>
      </c>
      <c r="X1243" s="1">
        <v>43924</v>
      </c>
      <c r="Y1243">
        <v>35.785899999999998</v>
      </c>
      <c r="Z1243" s="48">
        <f t="shared" si="128"/>
        <v>4.1626159192916345E-2</v>
      </c>
      <c r="AA1243" s="5">
        <f>Z1243-Y1274</f>
        <v>3.7408839723642215E-2</v>
      </c>
    </row>
    <row r="1244" spans="1:27">
      <c r="A1244" s="3" t="s">
        <v>1041</v>
      </c>
      <c r="B1244" s="222">
        <v>32.450000000000003</v>
      </c>
      <c r="C1244" s="227">
        <f t="shared" si="125"/>
        <v>-4.1925007381163115E-2</v>
      </c>
      <c r="D1244" s="5">
        <f>C1244-C1275</f>
        <v>-4.2003052950722007E-2</v>
      </c>
      <c r="E1244" s="1"/>
      <c r="F1244" s="8"/>
      <c r="H1244" t="s">
        <v>1040</v>
      </c>
      <c r="I1244">
        <v>38.119999999999997</v>
      </c>
      <c r="J1244" s="227">
        <f t="shared" si="126"/>
        <v>3.2782443782172876E-2</v>
      </c>
      <c r="K1244" s="5">
        <f>J1244-J1276</f>
        <v>3.0646487866562919E-2</v>
      </c>
      <c r="M1244" s="241">
        <v>43893</v>
      </c>
      <c r="N1244">
        <v>3003.37</v>
      </c>
      <c r="O1244" s="227">
        <f t="shared" si="127"/>
        <v>-4.0493655195327993E-2</v>
      </c>
      <c r="P1244" s="5">
        <f>O1244-O1278</f>
        <v>-4.0127897994414824E-2</v>
      </c>
      <c r="Q1244" s="8">
        <f t="shared" si="129"/>
        <v>1.6102481974501611E-3</v>
      </c>
      <c r="X1244" s="1">
        <v>43893</v>
      </c>
      <c r="Y1244">
        <v>35.006799999999998</v>
      </c>
      <c r="Z1244" s="48">
        <f t="shared" si="128"/>
        <v>-2.1771144501046447E-2</v>
      </c>
      <c r="AA1244" s="5">
        <f>Z1244-Y1274</f>
        <v>-2.5988463970320581E-2</v>
      </c>
    </row>
    <row r="1245" spans="1:27">
      <c r="A1245" s="3" t="s">
        <v>1042</v>
      </c>
      <c r="B1245" s="222">
        <v>34.450000000000003</v>
      </c>
      <c r="C1245" s="227">
        <f t="shared" si="125"/>
        <v>6.1633281972264919E-2</v>
      </c>
      <c r="D1245" s="5">
        <f>C1245-C1275</f>
        <v>6.1555236402706028E-2</v>
      </c>
      <c r="E1245" s="1"/>
      <c r="F1245" s="8"/>
      <c r="H1245" t="s">
        <v>1041</v>
      </c>
      <c r="I1245">
        <v>37.78</v>
      </c>
      <c r="J1245" s="227">
        <f t="shared" si="126"/>
        <v>-8.9192025183629786E-3</v>
      </c>
      <c r="K1245" s="5">
        <f>J1245-J1276</f>
        <v>-1.1055158433972936E-2</v>
      </c>
      <c r="M1245" s="241">
        <v>43864</v>
      </c>
      <c r="N1245">
        <v>3090.23</v>
      </c>
      <c r="O1245" s="227">
        <f t="shared" si="127"/>
        <v>2.8920845583461308E-2</v>
      </c>
      <c r="P1245" s="5">
        <f>O1245-O1278</f>
        <v>2.928660278437448E-2</v>
      </c>
      <c r="Q1245" s="8">
        <f t="shared" si="129"/>
        <v>8.5770510264973111E-4</v>
      </c>
      <c r="X1245" s="1">
        <v>43864</v>
      </c>
      <c r="Y1245">
        <v>35.756</v>
      </c>
      <c r="Z1245" s="48">
        <f t="shared" si="128"/>
        <v>2.1401556269067701E-2</v>
      </c>
      <c r="AA1245" s="5">
        <f>Z1245-Y1274</f>
        <v>1.7184236799793567E-2</v>
      </c>
    </row>
    <row r="1246" spans="1:27">
      <c r="A1246" s="3" t="s">
        <v>1043</v>
      </c>
      <c r="B1246" s="222">
        <v>35.89</v>
      </c>
      <c r="C1246" s="227">
        <f t="shared" si="125"/>
        <v>4.1799709724237966E-2</v>
      </c>
      <c r="D1246" s="5">
        <f>C1246-C1275</f>
        <v>4.1721664154679074E-2</v>
      </c>
      <c r="E1246" s="1"/>
      <c r="F1246" s="8"/>
      <c r="H1246" t="s">
        <v>1042</v>
      </c>
      <c r="I1246">
        <v>39.86</v>
      </c>
      <c r="J1246" s="227">
        <f t="shared" si="126"/>
        <v>5.5055584965590265E-2</v>
      </c>
      <c r="K1246" s="5">
        <f>J1246-J1276</f>
        <v>5.2919629049980307E-2</v>
      </c>
      <c r="M1246" s="240" t="s">
        <v>1040</v>
      </c>
      <c r="N1246">
        <v>2954.22</v>
      </c>
      <c r="O1246" s="227">
        <f t="shared" si="127"/>
        <v>-4.4012905188287044E-2</v>
      </c>
      <c r="P1246" s="5">
        <f>O1246-O1278</f>
        <v>-4.3647147987373874E-2</v>
      </c>
      <c r="Q1246" s="8">
        <f t="shared" si="129"/>
        <v>1.9050735274317152E-3</v>
      </c>
      <c r="X1246" t="s">
        <v>1040</v>
      </c>
      <c r="Y1246">
        <v>34.419800000000002</v>
      </c>
      <c r="Z1246" s="48">
        <f t="shared" si="128"/>
        <v>-3.7369951896185194E-2</v>
      </c>
      <c r="AA1246" s="5">
        <f>Z1246-Y1274</f>
        <v>-4.1587271365459325E-2</v>
      </c>
    </row>
    <row r="1247" spans="1:27">
      <c r="A1247" s="3" t="s">
        <v>1044</v>
      </c>
      <c r="B1247" s="222">
        <v>38.31</v>
      </c>
      <c r="C1247" s="227">
        <f t="shared" si="125"/>
        <v>6.7428252995263449E-2</v>
      </c>
      <c r="D1247" s="5">
        <f>C1247-C1275</f>
        <v>6.7350207425704564E-2</v>
      </c>
      <c r="E1247" s="1"/>
      <c r="F1247" s="8"/>
      <c r="H1247" t="s">
        <v>1043</v>
      </c>
      <c r="I1247">
        <v>41.82</v>
      </c>
      <c r="J1247" s="227">
        <f t="shared" si="126"/>
        <v>4.9172102358253866E-2</v>
      </c>
      <c r="K1247" s="5">
        <f>J1247-J1276</f>
        <v>4.7036146442643909E-2</v>
      </c>
      <c r="M1247" s="240" t="s">
        <v>1041</v>
      </c>
      <c r="N1247">
        <v>2978.76</v>
      </c>
      <c r="O1247" s="227">
        <f t="shared" si="127"/>
        <v>8.3067611755389681E-3</v>
      </c>
      <c r="P1247" s="5">
        <f>O1247-O1278</f>
        <v>8.6725183764521391E-3</v>
      </c>
      <c r="Q1247" s="8">
        <f t="shared" si="129"/>
        <v>7.5212574989900051E-5</v>
      </c>
      <c r="X1247" t="s">
        <v>1041</v>
      </c>
      <c r="Y1247">
        <v>32.043100000000003</v>
      </c>
      <c r="Z1247" s="48">
        <f t="shared" si="128"/>
        <v>-6.9050372169507046E-2</v>
      </c>
      <c r="AA1247" s="5">
        <f>Z1247-Y1274</f>
        <v>-7.3267691638781177E-2</v>
      </c>
    </row>
    <row r="1248" spans="1:27">
      <c r="A1248" s="3" t="s">
        <v>1045</v>
      </c>
      <c r="B1248" s="222">
        <v>40.72</v>
      </c>
      <c r="C1248" s="227">
        <f t="shared" si="125"/>
        <v>6.2907856956408104E-2</v>
      </c>
      <c r="D1248" s="5">
        <f>C1248-C1275</f>
        <v>6.2829811386849219E-2</v>
      </c>
      <c r="E1248" s="1"/>
      <c r="F1248" s="8"/>
      <c r="H1248" t="s">
        <v>1044</v>
      </c>
      <c r="I1248">
        <v>42.52</v>
      </c>
      <c r="J1248" s="227">
        <f t="shared" si="126"/>
        <v>1.6738402678144526E-2</v>
      </c>
      <c r="K1248" s="5">
        <f>J1248-J1276</f>
        <v>1.4602446762534568E-2</v>
      </c>
      <c r="M1248" s="240" t="s">
        <v>1042</v>
      </c>
      <c r="N1248">
        <v>3116.39</v>
      </c>
      <c r="O1248" s="227">
        <f t="shared" si="127"/>
        <v>4.6203789496300329E-2</v>
      </c>
      <c r="P1248" s="5">
        <f>O1248-O1278</f>
        <v>4.6569546697213499E-2</v>
      </c>
      <c r="Q1248" s="8">
        <f t="shared" si="129"/>
        <v>2.1687226795839487E-3</v>
      </c>
      <c r="X1248" t="s">
        <v>1042</v>
      </c>
      <c r="Y1248">
        <v>35.498800000000003</v>
      </c>
      <c r="Z1248" s="48">
        <f t="shared" si="128"/>
        <v>0.10784537076624923</v>
      </c>
      <c r="AA1248" s="5">
        <f>Z1248-Y1274</f>
        <v>0.1036280512969751</v>
      </c>
    </row>
    <row r="1249" spans="1:27">
      <c r="A1249" s="3" t="s">
        <v>1046</v>
      </c>
      <c r="B1249" s="222">
        <v>40.92</v>
      </c>
      <c r="C1249" s="227">
        <f t="shared" si="125"/>
        <v>4.9115913555992652E-3</v>
      </c>
      <c r="D1249" s="5">
        <f>C1249-C1275</f>
        <v>4.8335457860403759E-3</v>
      </c>
      <c r="E1249" s="1"/>
      <c r="F1249" s="8"/>
      <c r="H1249" t="s">
        <v>1045</v>
      </c>
      <c r="I1249">
        <v>44.7</v>
      </c>
      <c r="J1249" s="227">
        <f t="shared" si="126"/>
        <v>5.1269990592662351E-2</v>
      </c>
      <c r="K1249" s="5">
        <f>J1249-J1276</f>
        <v>4.9134034677052393E-2</v>
      </c>
      <c r="M1249" s="240" t="s">
        <v>1043</v>
      </c>
      <c r="N1249">
        <v>3128.21</v>
      </c>
      <c r="O1249" s="227">
        <f t="shared" si="127"/>
        <v>3.7928500604866855E-3</v>
      </c>
      <c r="P1249" s="5">
        <f>O1249-O1278</f>
        <v>4.1586072613998574E-3</v>
      </c>
      <c r="Q1249" s="8">
        <f t="shared" si="129"/>
        <v>1.7294014354567621E-5</v>
      </c>
      <c r="X1249" t="s">
        <v>1043</v>
      </c>
      <c r="Y1249">
        <v>36.118899999999996</v>
      </c>
      <c r="Z1249" s="48">
        <f t="shared" si="128"/>
        <v>1.7468196108037182E-2</v>
      </c>
      <c r="AA1249" s="5">
        <f>Z1249-Y1274</f>
        <v>1.3250876638763048E-2</v>
      </c>
    </row>
    <row r="1250" spans="1:27">
      <c r="A1250" s="3" t="s">
        <v>1047</v>
      </c>
      <c r="B1250" s="222">
        <v>41.05</v>
      </c>
      <c r="C1250" s="227">
        <f t="shared" si="125"/>
        <v>3.1769305962854322E-3</v>
      </c>
      <c r="D1250" s="5">
        <f>C1250-C1275</f>
        <v>3.0988850267265429E-3</v>
      </c>
      <c r="E1250" s="1"/>
      <c r="F1250" s="8"/>
      <c r="H1250" t="s">
        <v>1046</v>
      </c>
      <c r="I1250">
        <v>45.47</v>
      </c>
      <c r="J1250" s="227">
        <f t="shared" si="126"/>
        <v>1.7225950782997712E-2</v>
      </c>
      <c r="K1250" s="5">
        <f>J1250-J1276</f>
        <v>1.5089994867387754E-2</v>
      </c>
      <c r="M1250" s="240" t="s">
        <v>1044</v>
      </c>
      <c r="N1250">
        <v>3225.89</v>
      </c>
      <c r="O1250" s="227">
        <f t="shared" si="127"/>
        <v>3.1225525140575527E-2</v>
      </c>
      <c r="P1250" s="5">
        <f>O1250-O1278</f>
        <v>3.1591282341488697E-2</v>
      </c>
      <c r="Q1250" s="8">
        <f t="shared" si="129"/>
        <v>9.9800911997965556E-4</v>
      </c>
      <c r="X1250" t="s">
        <v>1044</v>
      </c>
      <c r="Y1250">
        <v>36.655700000000003</v>
      </c>
      <c r="Z1250" s="48">
        <f t="shared" si="128"/>
        <v>1.4862025144730451E-2</v>
      </c>
      <c r="AA1250" s="5">
        <f>Z1250-Y1274</f>
        <v>1.0644705675456317E-2</v>
      </c>
    </row>
    <row r="1251" spans="1:27">
      <c r="A1251" s="3" t="s">
        <v>1048</v>
      </c>
      <c r="B1251" s="222">
        <v>40.18</v>
      </c>
      <c r="C1251" s="227">
        <f t="shared" si="125"/>
        <v>-2.1193666260657662E-2</v>
      </c>
      <c r="D1251" s="5">
        <f>C1251-C1275</f>
        <v>-2.127171183021655E-2</v>
      </c>
      <c r="F1251" s="8"/>
      <c r="H1251" t="s">
        <v>1047</v>
      </c>
      <c r="I1251">
        <v>46.24</v>
      </c>
      <c r="J1251" s="227">
        <f t="shared" si="126"/>
        <v>1.6934242357598439E-2</v>
      </c>
      <c r="K1251" s="5">
        <f>J1251-J1276</f>
        <v>1.4798286441988481E-2</v>
      </c>
      <c r="M1251" s="240" t="s">
        <v>1045</v>
      </c>
      <c r="N1251">
        <v>3337.75</v>
      </c>
      <c r="O1251" s="227">
        <f t="shared" si="127"/>
        <v>3.4675701899320899E-2</v>
      </c>
      <c r="P1251" s="5">
        <f>O1251-O1278</f>
        <v>3.5041459100234068E-2</v>
      </c>
      <c r="Q1251" s="8">
        <f t="shared" si="129"/>
        <v>1.227903855873377E-3</v>
      </c>
      <c r="X1251" t="s">
        <v>1045</v>
      </c>
      <c r="Y1251">
        <v>36.581000000000003</v>
      </c>
      <c r="Z1251" s="48">
        <f t="shared" si="128"/>
        <v>-2.037882239324329E-3</v>
      </c>
      <c r="AA1251" s="5">
        <f>Z1251-Y1274</f>
        <v>-6.2552017085984631E-3</v>
      </c>
    </row>
    <row r="1252" spans="1:27">
      <c r="A1252" s="3" t="s">
        <v>1049</v>
      </c>
      <c r="B1252" s="222">
        <v>39.659999999999997</v>
      </c>
      <c r="C1252" s="227">
        <f t="shared" si="125"/>
        <v>-1.2941762070681984E-2</v>
      </c>
      <c r="D1252" s="5">
        <f>C1252-C1275</f>
        <v>-1.3019807640240872E-2</v>
      </c>
      <c r="F1252" s="8"/>
      <c r="H1252" t="s">
        <v>1048</v>
      </c>
      <c r="I1252">
        <v>45.1</v>
      </c>
      <c r="J1252" s="227">
        <f t="shared" si="126"/>
        <v>-2.4653979238754342E-2</v>
      </c>
      <c r="K1252" s="5">
        <f>J1252-J1276</f>
        <v>-2.67899351543643E-2</v>
      </c>
      <c r="M1252" s="240" t="s">
        <v>1046</v>
      </c>
      <c r="N1252">
        <v>3373.23</v>
      </c>
      <c r="O1252" s="227">
        <f t="shared" si="127"/>
        <v>1.0629915362145193E-2</v>
      </c>
      <c r="P1252" s="5">
        <f>O1252-O1278</f>
        <v>1.0995672563058364E-2</v>
      </c>
      <c r="Q1252" s="8">
        <f t="shared" si="129"/>
        <v>1.2090481511399448E-4</v>
      </c>
      <c r="X1252" t="s">
        <v>1046</v>
      </c>
      <c r="Y1252">
        <v>36.608699999999999</v>
      </c>
      <c r="Z1252" s="48">
        <f t="shared" si="128"/>
        <v>7.5722369536079803E-4</v>
      </c>
      <c r="AA1252" s="5">
        <f>Z1252-Y1274</f>
        <v>-3.460095773913336E-3</v>
      </c>
    </row>
    <row r="1253" spans="1:27">
      <c r="A1253" s="3" t="s">
        <v>1050</v>
      </c>
      <c r="B1253" s="222">
        <v>40.090000000000003</v>
      </c>
      <c r="C1253" s="227">
        <f t="shared" si="125"/>
        <v>1.08421583459406E-2</v>
      </c>
      <c r="D1253" s="5">
        <f>C1253-C1275</f>
        <v>1.0764112776381712E-2</v>
      </c>
      <c r="F1253" s="8"/>
      <c r="H1253" t="s">
        <v>1049</v>
      </c>
      <c r="I1253">
        <v>44.69</v>
      </c>
      <c r="J1253" s="227">
        <f t="shared" si="126"/>
        <v>-9.0909090909091494E-3</v>
      </c>
      <c r="K1253" s="5">
        <f>J1253-J1276</f>
        <v>-1.1226865006519107E-2</v>
      </c>
      <c r="M1253" s="240" t="s">
        <v>1047</v>
      </c>
      <c r="N1253">
        <v>3386.15</v>
      </c>
      <c r="O1253" s="227">
        <f t="shared" si="127"/>
        <v>3.8301568526308838E-3</v>
      </c>
      <c r="P1253" s="5">
        <f>O1253-O1278</f>
        <v>4.1959140535440557E-3</v>
      </c>
      <c r="Q1253" s="8">
        <f t="shared" si="129"/>
        <v>1.7605694744728508E-5</v>
      </c>
      <c r="X1253" t="s">
        <v>1047</v>
      </c>
      <c r="Y1253">
        <v>36.845700000000001</v>
      </c>
      <c r="Z1253" s="48">
        <f t="shared" si="128"/>
        <v>6.4738709650984383E-3</v>
      </c>
      <c r="AA1253" s="5">
        <f>Z1253-Y1274</f>
        <v>2.2565514958243042E-3</v>
      </c>
    </row>
    <row r="1254" spans="1:27">
      <c r="A1254" s="220">
        <v>44167</v>
      </c>
      <c r="B1254" s="222">
        <v>41.25</v>
      </c>
      <c r="C1254" s="227">
        <f t="shared" si="125"/>
        <v>2.8934896482913253E-2</v>
      </c>
      <c r="D1254" s="5">
        <f>C1254-C1275</f>
        <v>2.8856850913354364E-2</v>
      </c>
      <c r="F1254" s="8"/>
      <c r="H1254" t="s">
        <v>1050</v>
      </c>
      <c r="I1254">
        <v>47.03</v>
      </c>
      <c r="J1254" s="227">
        <f t="shared" si="126"/>
        <v>5.2360707093309644E-2</v>
      </c>
      <c r="K1254" s="5">
        <f>J1254-J1276</f>
        <v>5.0224751177699686E-2</v>
      </c>
      <c r="M1254" s="240" t="s">
        <v>1048</v>
      </c>
      <c r="N1254">
        <v>3370.29</v>
      </c>
      <c r="O1254" s="227">
        <f t="shared" si="127"/>
        <v>-4.6837854200197926E-3</v>
      </c>
      <c r="P1254" s="5">
        <f>O1254-O1278</f>
        <v>-4.3180282191066207E-3</v>
      </c>
      <c r="Q1254" s="8">
        <f t="shared" si="129"/>
        <v>1.8645367701001095E-5</v>
      </c>
      <c r="X1254" t="s">
        <v>1048</v>
      </c>
      <c r="Y1254">
        <v>37.129600000000003</v>
      </c>
      <c r="Z1254" s="48">
        <f t="shared" si="128"/>
        <v>7.7051053447214635E-3</v>
      </c>
      <c r="AA1254" s="5">
        <f>Z1254-Y1274</f>
        <v>3.4877858754473294E-3</v>
      </c>
    </row>
    <row r="1255" spans="1:27">
      <c r="A1255" s="220">
        <v>44137</v>
      </c>
      <c r="B1255" s="222">
        <v>41.27</v>
      </c>
      <c r="C1255" s="227">
        <f t="shared" si="125"/>
        <v>4.8484848484853238E-4</v>
      </c>
      <c r="D1255" s="5">
        <f>C1255-C1275</f>
        <v>4.0680291528964318E-4</v>
      </c>
      <c r="F1255" s="8"/>
      <c r="H1255" s="1">
        <v>44167</v>
      </c>
      <c r="I1255">
        <v>48.46</v>
      </c>
      <c r="J1255" s="227">
        <f t="shared" si="126"/>
        <v>3.040612375079732E-2</v>
      </c>
      <c r="K1255" s="5">
        <f>J1255-J1276</f>
        <v>2.8270167835187363E-2</v>
      </c>
      <c r="M1255" s="240" t="s">
        <v>1049</v>
      </c>
      <c r="N1255">
        <v>3380.16</v>
      </c>
      <c r="O1255" s="227">
        <f t="shared" si="127"/>
        <v>2.9285313726712392E-3</v>
      </c>
      <c r="P1255" s="5">
        <f>O1255-O1278</f>
        <v>3.2942885735844107E-3</v>
      </c>
      <c r="Q1255" s="8">
        <f t="shared" si="129"/>
        <v>1.0852337206048812E-5</v>
      </c>
      <c r="X1255" t="s">
        <v>1049</v>
      </c>
      <c r="Y1255">
        <v>36.953499999999998</v>
      </c>
      <c r="Z1255" s="48">
        <f t="shared" si="128"/>
        <v>-4.7428466775835121E-3</v>
      </c>
      <c r="AA1255" s="5">
        <f>Z1255-Y1274</f>
        <v>-8.9601661468576461E-3</v>
      </c>
    </row>
    <row r="1256" spans="1:27">
      <c r="A1256" s="220">
        <v>44106</v>
      </c>
      <c r="B1256" s="222">
        <v>40.01</v>
      </c>
      <c r="C1256" s="227">
        <f t="shared" si="125"/>
        <v>-3.0530651805185438E-2</v>
      </c>
      <c r="D1256" s="5">
        <f>C1256-C1275</f>
        <v>-3.0608697374744327E-2</v>
      </c>
      <c r="F1256" s="8"/>
      <c r="H1256" s="1">
        <v>44137</v>
      </c>
      <c r="I1256">
        <v>53.94</v>
      </c>
      <c r="J1256" s="227">
        <f t="shared" si="126"/>
        <v>0.11308295501444476</v>
      </c>
      <c r="K1256" s="5">
        <f>J1256-J1276</f>
        <v>0.11094699909883481</v>
      </c>
      <c r="M1256" s="240" t="s">
        <v>1050</v>
      </c>
      <c r="N1256">
        <v>3373.94</v>
      </c>
      <c r="O1256" s="227">
        <f t="shared" si="127"/>
        <v>-1.8401495787181421E-3</v>
      </c>
      <c r="P1256" s="5">
        <f>O1256-O1278</f>
        <v>-1.4743923778049706E-3</v>
      </c>
      <c r="Q1256" s="8">
        <f t="shared" si="129"/>
        <v>2.1738328837293951E-6</v>
      </c>
      <c r="X1256" t="s">
        <v>1050</v>
      </c>
      <c r="Y1256">
        <v>37.024999999999999</v>
      </c>
      <c r="Z1256" s="48">
        <f t="shared" si="128"/>
        <v>1.9348640859457866E-3</v>
      </c>
      <c r="AA1256" s="5">
        <f>Z1256-Y1274</f>
        <v>-2.2824553833283474E-3</v>
      </c>
    </row>
    <row r="1257" spans="1:27">
      <c r="A1257" s="220">
        <v>44014</v>
      </c>
      <c r="B1257" s="222">
        <v>40.630000000000003</v>
      </c>
      <c r="C1257" s="227">
        <f t="shared" si="125"/>
        <v>1.5496125968508023E-2</v>
      </c>
      <c r="D1257" s="5">
        <f>C1257-C1275</f>
        <v>1.5418080398949135E-2</v>
      </c>
      <c r="F1257" s="8"/>
      <c r="H1257" s="1">
        <v>44106</v>
      </c>
      <c r="I1257">
        <v>53.72</v>
      </c>
      <c r="J1257" s="227">
        <f t="shared" si="126"/>
        <v>-4.0786058583611728E-3</v>
      </c>
      <c r="K1257" s="5">
        <f>J1257-J1276</f>
        <v>-6.2145617739711306E-3</v>
      </c>
      <c r="M1257" s="241">
        <v>44167</v>
      </c>
      <c r="N1257">
        <v>3379.45</v>
      </c>
      <c r="O1257" s="227">
        <f t="shared" si="127"/>
        <v>1.6331055086931112E-3</v>
      </c>
      <c r="P1257" s="5">
        <f>O1257-O1278</f>
        <v>1.9988627096062827E-3</v>
      </c>
      <c r="Q1257" s="8">
        <f t="shared" si="129"/>
        <v>3.9954521318545701E-6</v>
      </c>
      <c r="X1257" s="1">
        <v>44167</v>
      </c>
      <c r="Y1257">
        <v>36.6845</v>
      </c>
      <c r="Z1257" s="48">
        <f t="shared" si="128"/>
        <v>-9.1964888588791371E-3</v>
      </c>
      <c r="AA1257" s="5">
        <f>Z1257-Y1274</f>
        <v>-1.3413808328153271E-2</v>
      </c>
    </row>
    <row r="1258" spans="1:27">
      <c r="A1258" s="220">
        <v>43984</v>
      </c>
      <c r="B1258" s="222">
        <v>37.090000000000003</v>
      </c>
      <c r="C1258" s="227">
        <f t="shared" si="125"/>
        <v>-8.7127738124538445E-2</v>
      </c>
      <c r="D1258" s="5">
        <f>C1258-C1275</f>
        <v>-8.720578369409733E-2</v>
      </c>
      <c r="F1258" s="8"/>
      <c r="H1258" s="1">
        <v>44014</v>
      </c>
      <c r="I1258">
        <v>49.92</v>
      </c>
      <c r="J1258" s="227">
        <f t="shared" si="126"/>
        <v>-7.073715562174232E-2</v>
      </c>
      <c r="K1258" s="5">
        <f>J1258-J1276</f>
        <v>-7.2873111537352278E-2</v>
      </c>
      <c r="M1258" s="241">
        <v>44137</v>
      </c>
      <c r="N1258">
        <v>3357.75</v>
      </c>
      <c r="O1258" s="227">
        <f t="shared" si="127"/>
        <v>-6.4211632070306779E-3</v>
      </c>
      <c r="P1258" s="5">
        <f>O1258-O1278</f>
        <v>-6.055406006117506E-3</v>
      </c>
      <c r="Q1258" s="8">
        <f t="shared" si="129"/>
        <v>3.6667941898923962E-5</v>
      </c>
      <c r="X1258" s="1">
        <v>44137</v>
      </c>
      <c r="Y1258">
        <v>37.1648</v>
      </c>
      <c r="Z1258" s="48">
        <f t="shared" si="128"/>
        <v>1.3092723084681568E-2</v>
      </c>
      <c r="AA1258" s="5">
        <f>Z1258-Y1274</f>
        <v>8.8754036154074338E-3</v>
      </c>
    </row>
    <row r="1259" spans="1:27">
      <c r="A1259" s="220">
        <v>43953</v>
      </c>
      <c r="B1259" s="222">
        <v>36.81</v>
      </c>
      <c r="C1259" s="227">
        <f t="shared" si="125"/>
        <v>-7.5492046373686339E-3</v>
      </c>
      <c r="D1259" s="5">
        <f>C1259-C1275</f>
        <v>-7.6272502069275232E-3</v>
      </c>
      <c r="F1259" s="8"/>
      <c r="H1259" s="1">
        <v>43984</v>
      </c>
      <c r="I1259">
        <v>47.42</v>
      </c>
      <c r="J1259" s="227">
        <f t="shared" si="126"/>
        <v>-5.0080128205128194E-2</v>
      </c>
      <c r="K1259" s="5">
        <f>J1259-J1276</f>
        <v>-5.2216084120738152E-2</v>
      </c>
      <c r="M1259" s="241">
        <v>44106</v>
      </c>
      <c r="N1259">
        <v>3352.09</v>
      </c>
      <c r="O1259" s="227">
        <f t="shared" si="127"/>
        <v>-1.6856525947435141E-3</v>
      </c>
      <c r="P1259" s="5">
        <f>O1259-O1278</f>
        <v>-1.3198953938303427E-3</v>
      </c>
      <c r="Q1259" s="8">
        <f t="shared" si="129"/>
        <v>1.7421238506545554E-6</v>
      </c>
      <c r="X1259" s="1">
        <v>44106</v>
      </c>
      <c r="Y1259">
        <v>36.3611</v>
      </c>
      <c r="Z1259" s="48">
        <f t="shared" si="128"/>
        <v>-2.1625301360427063E-2</v>
      </c>
      <c r="AA1259" s="5">
        <f>Z1259-Y1274</f>
        <v>-2.5842620829701197E-2</v>
      </c>
    </row>
    <row r="1260" spans="1:27">
      <c r="A1260" s="220">
        <v>43923</v>
      </c>
      <c r="B1260" s="222">
        <v>38.53</v>
      </c>
      <c r="C1260" s="227">
        <f t="shared" si="125"/>
        <v>4.6726433034501413E-2</v>
      </c>
      <c r="D1260" s="5">
        <f>C1260-C1275</f>
        <v>4.6648387464942521E-2</v>
      </c>
      <c r="F1260" s="8"/>
      <c r="H1260" s="1">
        <v>43953</v>
      </c>
      <c r="I1260">
        <v>48.06</v>
      </c>
      <c r="J1260" s="227">
        <f t="shared" si="126"/>
        <v>1.349641501476162E-2</v>
      </c>
      <c r="K1260" s="5">
        <f>J1260-J1276</f>
        <v>1.1360459099151662E-2</v>
      </c>
      <c r="M1260" s="241">
        <v>44014</v>
      </c>
      <c r="N1260">
        <v>3327.71</v>
      </c>
      <c r="O1260" s="227">
        <f t="shared" si="127"/>
        <v>-7.2730744102933453E-3</v>
      </c>
      <c r="P1260" s="5">
        <f>O1260-O1278</f>
        <v>-6.9073172093801734E-3</v>
      </c>
      <c r="Q1260" s="8">
        <f t="shared" si="129"/>
        <v>4.7711031030999504E-5</v>
      </c>
      <c r="X1260" s="1">
        <v>44014</v>
      </c>
      <c r="Y1260">
        <v>37.101799999999997</v>
      </c>
      <c r="Z1260" s="48">
        <f t="shared" si="128"/>
        <v>2.0370670854291895E-2</v>
      </c>
      <c r="AA1260" s="5">
        <f>Z1260-Y1274</f>
        <v>1.6153351385017761E-2</v>
      </c>
    </row>
    <row r="1261" spans="1:27">
      <c r="A1261" s="220">
        <v>43892</v>
      </c>
      <c r="B1261" s="222">
        <v>37.590000000000003</v>
      </c>
      <c r="C1261" s="227">
        <f t="shared" si="125"/>
        <v>-2.4396574098105361E-2</v>
      </c>
      <c r="D1261" s="5">
        <f>C1261-C1275</f>
        <v>-2.447461966766425E-2</v>
      </c>
      <c r="F1261" s="8"/>
      <c r="H1261" s="1">
        <v>43923</v>
      </c>
      <c r="I1261">
        <v>50</v>
      </c>
      <c r="J1261" s="227">
        <f t="shared" si="126"/>
        <v>4.0366208905534773E-2</v>
      </c>
      <c r="K1261" s="5">
        <f>J1261-J1276</f>
        <v>3.8230252989924815E-2</v>
      </c>
      <c r="M1261" s="241">
        <v>43984</v>
      </c>
      <c r="N1261">
        <v>3345.78</v>
      </c>
      <c r="O1261" s="227">
        <f t="shared" si="127"/>
        <v>5.4301606810689407E-3</v>
      </c>
      <c r="P1261" s="5">
        <f>O1261-O1278</f>
        <v>5.7959178819821126E-3</v>
      </c>
      <c r="Q1261" s="8">
        <f t="shared" si="129"/>
        <v>3.3592664094680017E-5</v>
      </c>
      <c r="X1261" s="1">
        <v>43984</v>
      </c>
      <c r="Y1261">
        <v>37.138100000000001</v>
      </c>
      <c r="Z1261" s="48">
        <f t="shared" si="128"/>
        <v>9.7838918866477442E-4</v>
      </c>
      <c r="AA1261" s="5">
        <f>Z1261-Y1274</f>
        <v>-3.2389302806093596E-3</v>
      </c>
    </row>
    <row r="1262" spans="1:27">
      <c r="A1262" s="3" t="s">
        <v>1051</v>
      </c>
      <c r="B1262" s="222">
        <v>36.29</v>
      </c>
      <c r="C1262" s="227">
        <f t="shared" si="125"/>
        <v>-3.4583665868582192E-2</v>
      </c>
      <c r="D1262" s="5">
        <f>C1262-C1275</f>
        <v>-3.4661711438141084E-2</v>
      </c>
      <c r="F1262" s="8"/>
      <c r="H1262" s="1">
        <v>43892</v>
      </c>
      <c r="I1262">
        <v>47.96</v>
      </c>
      <c r="J1262" s="227">
        <f t="shared" si="126"/>
        <v>-4.0799999999999947E-2</v>
      </c>
      <c r="K1262" s="5">
        <f>J1262-J1276</f>
        <v>-4.2935955915609905E-2</v>
      </c>
      <c r="M1262" s="241">
        <v>43953</v>
      </c>
      <c r="N1262">
        <v>3334.69</v>
      </c>
      <c r="O1262" s="227">
        <f t="shared" si="127"/>
        <v>-3.3146231969825024E-3</v>
      </c>
      <c r="P1262" s="5">
        <f>O1262-O1278</f>
        <v>-2.9488659960693309E-3</v>
      </c>
      <c r="Q1262" s="8">
        <f t="shared" si="129"/>
        <v>8.6958106627739668E-6</v>
      </c>
      <c r="X1262" s="1">
        <v>43953</v>
      </c>
      <c r="Y1262">
        <v>39.274700000000003</v>
      </c>
      <c r="Z1262" s="48">
        <f t="shared" si="128"/>
        <v>5.7531214574789713E-2</v>
      </c>
      <c r="AA1262" s="5">
        <f>Z1262-Y1274</f>
        <v>5.3313895105515582E-2</v>
      </c>
    </row>
    <row r="1263" spans="1:27">
      <c r="A1263" s="3" t="s">
        <v>1052</v>
      </c>
      <c r="B1263" s="222">
        <v>36.68</v>
      </c>
      <c r="C1263" s="227">
        <f t="shared" si="125"/>
        <v>1.0746762193441839E-2</v>
      </c>
      <c r="D1263" s="5">
        <f>C1263-C1275</f>
        <v>1.066871662388295E-2</v>
      </c>
      <c r="F1263" s="8"/>
      <c r="H1263" t="s">
        <v>1051</v>
      </c>
      <c r="I1263">
        <v>47.48</v>
      </c>
      <c r="J1263" s="227">
        <f t="shared" si="126"/>
        <v>-1.0008340283569672E-2</v>
      </c>
      <c r="K1263" s="5">
        <f>J1263-J1276</f>
        <v>-1.214429619917963E-2</v>
      </c>
      <c r="M1263" s="241">
        <v>43923</v>
      </c>
      <c r="N1263">
        <v>3297.59</v>
      </c>
      <c r="O1263" s="227">
        <f t="shared" si="127"/>
        <v>-1.1125471932923237E-2</v>
      </c>
      <c r="P1263" s="5">
        <f>O1263-O1278</f>
        <v>-1.0759714732010065E-2</v>
      </c>
      <c r="Q1263" s="8">
        <f t="shared" si="129"/>
        <v>1.1577146111423444E-4</v>
      </c>
      <c r="X1263" s="1">
        <v>43923</v>
      </c>
      <c r="Y1263">
        <v>39.840400000000002</v>
      </c>
      <c r="Z1263" s="48">
        <f t="shared" si="128"/>
        <v>1.4403674630232732E-2</v>
      </c>
      <c r="AA1263" s="5">
        <f>Z1263-Y1274</f>
        <v>1.0186355160958598E-2</v>
      </c>
    </row>
    <row r="1264" spans="1:27">
      <c r="A1264" s="3" t="s">
        <v>1053</v>
      </c>
      <c r="B1264" s="222">
        <v>36.99</v>
      </c>
      <c r="C1264" s="227">
        <f t="shared" si="125"/>
        <v>8.4514721919302094E-3</v>
      </c>
      <c r="D1264" s="5">
        <f>C1264-C1275</f>
        <v>8.3734266223713209E-3</v>
      </c>
      <c r="F1264" s="8"/>
      <c r="H1264" t="s">
        <v>1052</v>
      </c>
      <c r="I1264">
        <v>47.79</v>
      </c>
      <c r="J1264" s="227">
        <f t="shared" si="126"/>
        <v>6.5290648694187325E-3</v>
      </c>
      <c r="K1264" s="5">
        <f>J1264-J1276</f>
        <v>4.3931089538087748E-3</v>
      </c>
      <c r="M1264" s="241">
        <v>43892</v>
      </c>
      <c r="N1264">
        <v>3248.92</v>
      </c>
      <c r="O1264" s="227">
        <f t="shared" si="127"/>
        <v>-1.4759263583404847E-2</v>
      </c>
      <c r="P1264" s="5">
        <f>O1264-O1278</f>
        <v>-1.4393506382491676E-2</v>
      </c>
      <c r="Q1264" s="8">
        <f t="shared" si="129"/>
        <v>2.071730259828286E-4</v>
      </c>
      <c r="X1264" s="1">
        <v>43892</v>
      </c>
      <c r="Y1264">
        <v>38.853200000000001</v>
      </c>
      <c r="Z1264" s="48">
        <f t="shared" si="128"/>
        <v>-2.4778867682051398E-2</v>
      </c>
      <c r="AA1264" s="5">
        <f>Z1264-Y1274</f>
        <v>-2.8996187151325532E-2</v>
      </c>
    </row>
    <row r="1265" spans="1:32">
      <c r="A1265" s="3" t="s">
        <v>1054</v>
      </c>
      <c r="B1265" s="222">
        <v>37.01</v>
      </c>
      <c r="C1265" s="227">
        <f t="shared" si="125"/>
        <v>5.4068667207340937E-4</v>
      </c>
      <c r="D1265" s="5">
        <f>C1265-C1275</f>
        <v>4.6264110251452017E-4</v>
      </c>
      <c r="F1265" s="8"/>
      <c r="H1265" t="s">
        <v>1053</v>
      </c>
      <c r="I1265">
        <v>46.84</v>
      </c>
      <c r="J1265" s="227">
        <f t="shared" si="126"/>
        <v>-1.9878635697844649E-2</v>
      </c>
      <c r="K1265" s="5">
        <f>J1265-J1276</f>
        <v>-2.2014591613454607E-2</v>
      </c>
      <c r="M1265" s="240" t="s">
        <v>1051</v>
      </c>
      <c r="N1265">
        <v>3225.52</v>
      </c>
      <c r="O1265" s="227">
        <f t="shared" si="127"/>
        <v>-7.2023934107334764E-3</v>
      </c>
      <c r="P1265" s="5">
        <f>O1265-O1278</f>
        <v>-6.8366362098203045E-3</v>
      </c>
      <c r="Q1265" s="8">
        <f t="shared" si="129"/>
        <v>4.6739594665426135E-5</v>
      </c>
      <c r="X1265" t="s">
        <v>1051</v>
      </c>
      <c r="Y1265">
        <v>39.623699999999999</v>
      </c>
      <c r="Z1265" s="48">
        <f t="shared" si="128"/>
        <v>1.9831056386603985E-2</v>
      </c>
      <c r="AA1265" s="5">
        <f>Z1265-Y1274</f>
        <v>1.5613736917329851E-2</v>
      </c>
    </row>
    <row r="1266" spans="1:32">
      <c r="A1266" s="3" t="s">
        <v>1055</v>
      </c>
      <c r="B1266" s="222">
        <v>36.299999999999997</v>
      </c>
      <c r="C1266" s="227">
        <f t="shared" si="125"/>
        <v>-1.9184004323155923E-2</v>
      </c>
      <c r="D1266" s="5">
        <f>C1266-C1275</f>
        <v>-1.9262049892714812E-2</v>
      </c>
      <c r="F1266" s="8"/>
      <c r="H1266" t="s">
        <v>1054</v>
      </c>
      <c r="I1266">
        <v>48.21</v>
      </c>
      <c r="J1266" s="227">
        <f t="shared" si="126"/>
        <v>2.9248505550811155E-2</v>
      </c>
      <c r="K1266" s="5">
        <f>J1266-J1276</f>
        <v>2.7112549635201197E-2</v>
      </c>
      <c r="M1266" s="240" t="s">
        <v>1052</v>
      </c>
      <c r="N1266">
        <v>3283.66</v>
      </c>
      <c r="O1266" s="227">
        <f t="shared" si="127"/>
        <v>1.8025000620055076E-2</v>
      </c>
      <c r="P1266" s="5">
        <f>O1266-O1278</f>
        <v>1.8390757820968249E-2</v>
      </c>
      <c r="Q1266" s="8">
        <f t="shared" si="129"/>
        <v>3.3821997322950481E-4</v>
      </c>
      <c r="X1266" t="s">
        <v>1052</v>
      </c>
      <c r="Y1266">
        <v>39.578899999999997</v>
      </c>
      <c r="Z1266" s="48">
        <f t="shared" si="128"/>
        <v>-1.1306364625212062E-3</v>
      </c>
      <c r="AA1266" s="5">
        <f>Z1266-Y1274</f>
        <v>-5.3479559317953403E-3</v>
      </c>
    </row>
    <row r="1267" spans="1:32">
      <c r="A1267" s="3" t="s">
        <v>1056</v>
      </c>
      <c r="B1267" s="222">
        <v>36.799999999999997</v>
      </c>
      <c r="C1267" s="227">
        <f t="shared" si="125"/>
        <v>1.377410468319562E-2</v>
      </c>
      <c r="D1267" s="5">
        <f>C1267-C1275</f>
        <v>1.3696059113636732E-2</v>
      </c>
      <c r="F1267" s="8"/>
      <c r="H1267" t="s">
        <v>1055</v>
      </c>
      <c r="I1267">
        <v>47.36</v>
      </c>
      <c r="J1267" s="227">
        <f t="shared" si="126"/>
        <v>-1.7631196847127217E-2</v>
      </c>
      <c r="K1267" s="5">
        <f>J1267-J1276</f>
        <v>-1.9767152762737175E-2</v>
      </c>
      <c r="M1267" s="240" t="s">
        <v>1053</v>
      </c>
      <c r="N1267">
        <v>3273.4</v>
      </c>
      <c r="O1267" s="227">
        <f t="shared" si="127"/>
        <v>-3.1245622262962014E-3</v>
      </c>
      <c r="P1267" s="5">
        <f>O1267-O1278</f>
        <v>-2.7588050253830299E-3</v>
      </c>
      <c r="Q1267" s="8">
        <f t="shared" si="129"/>
        <v>7.6110051680786603E-6</v>
      </c>
      <c r="X1267" t="s">
        <v>1053</v>
      </c>
      <c r="Y1267">
        <v>39.643999999999998</v>
      </c>
      <c r="Z1267" s="48">
        <f t="shared" si="128"/>
        <v>1.6448157983168787E-3</v>
      </c>
      <c r="AA1267" s="5">
        <f>Z1267-Y1274</f>
        <v>-2.5725036709572553E-3</v>
      </c>
    </row>
    <row r="1268" spans="1:32">
      <c r="A1268" s="3" t="s">
        <v>1057</v>
      </c>
      <c r="B1268" s="222">
        <v>37.4</v>
      </c>
      <c r="C1268" s="227">
        <f t="shared" si="125"/>
        <v>1.6304347826086918E-2</v>
      </c>
      <c r="D1268" s="5">
        <f>C1268-C1275</f>
        <v>1.6226302256528029E-2</v>
      </c>
      <c r="F1268" s="8"/>
      <c r="H1268" t="s">
        <v>1056</v>
      </c>
      <c r="I1268">
        <v>48.43</v>
      </c>
      <c r="J1268" s="227">
        <f t="shared" si="126"/>
        <v>2.2592905405405483E-2</v>
      </c>
      <c r="K1268" s="5">
        <f>J1268-J1276</f>
        <v>2.0456949489795526E-2</v>
      </c>
      <c r="M1268" s="240" t="s">
        <v>1054</v>
      </c>
      <c r="N1268">
        <v>3276.24</v>
      </c>
      <c r="O1268" s="227">
        <f t="shared" si="127"/>
        <v>8.6759943789327387E-4</v>
      </c>
      <c r="P1268" s="5">
        <f>O1268-O1278</f>
        <v>1.2333566388064454E-3</v>
      </c>
      <c r="Q1268" s="8">
        <f t="shared" si="129"/>
        <v>1.5211685984879324E-6</v>
      </c>
      <c r="X1268" t="s">
        <v>1054</v>
      </c>
      <c r="Y1268">
        <v>39.6387</v>
      </c>
      <c r="Z1268" s="48">
        <f t="shared" si="128"/>
        <v>-1.3368983957218195E-4</v>
      </c>
      <c r="AA1268" s="5">
        <f>Z1268-Y1274</f>
        <v>-4.351009308846316E-3</v>
      </c>
    </row>
    <row r="1269" spans="1:32">
      <c r="A1269" s="3" t="s">
        <v>1058</v>
      </c>
      <c r="B1269" s="222">
        <v>37.04</v>
      </c>
      <c r="C1269" s="227">
        <f t="shared" si="125"/>
        <v>-9.6256684491978772E-3</v>
      </c>
      <c r="D1269" s="5">
        <f>C1269-C1275</f>
        <v>-9.7037140187567657E-3</v>
      </c>
      <c r="F1269" s="8"/>
      <c r="H1269" t="s">
        <v>1057</v>
      </c>
      <c r="I1269">
        <v>48.48</v>
      </c>
      <c r="J1269" s="227">
        <f t="shared" si="126"/>
        <v>1.0324179227749752E-3</v>
      </c>
      <c r="K1269" s="5">
        <f>J1269-J1276</f>
        <v>-1.1035379928349826E-3</v>
      </c>
      <c r="M1269" s="240" t="s">
        <v>1055</v>
      </c>
      <c r="N1269">
        <v>3243.63</v>
      </c>
      <c r="O1269" s="227">
        <f t="shared" si="127"/>
        <v>-9.9534832612994117E-3</v>
      </c>
      <c r="P1269" s="5">
        <f>O1269-O1278</f>
        <v>-9.5877260603862407E-3</v>
      </c>
      <c r="Q1269" s="8">
        <f t="shared" si="129"/>
        <v>9.1924491009009462E-5</v>
      </c>
      <c r="X1269" t="s">
        <v>1055</v>
      </c>
      <c r="Y1269">
        <v>39.717599999999997</v>
      </c>
      <c r="Z1269" s="48">
        <f t="shared" si="128"/>
        <v>1.9904790015816687E-3</v>
      </c>
      <c r="AA1269" s="5">
        <f>Z1269-Y1274</f>
        <v>-2.2268404676924654E-3</v>
      </c>
    </row>
    <row r="1270" spans="1:32">
      <c r="A1270" s="3" t="s">
        <v>1059</v>
      </c>
      <c r="B1270" s="222">
        <v>37.6</v>
      </c>
      <c r="C1270" s="227">
        <f t="shared" si="125"/>
        <v>1.5118790496760237E-2</v>
      </c>
      <c r="D1270" s="5">
        <f>C1270-C1275</f>
        <v>1.5040744927201349E-2</v>
      </c>
      <c r="F1270" s="8"/>
      <c r="H1270" t="s">
        <v>1058</v>
      </c>
      <c r="I1270">
        <v>47.47</v>
      </c>
      <c r="J1270" s="227">
        <f t="shared" si="126"/>
        <v>-2.0833333333333259E-2</v>
      </c>
      <c r="K1270" s="5">
        <f>J1270-J1276</f>
        <v>-2.2969289248943217E-2</v>
      </c>
      <c r="M1270" s="240" t="s">
        <v>1056</v>
      </c>
      <c r="N1270">
        <v>3295.47</v>
      </c>
      <c r="O1270" s="227">
        <f t="shared" si="127"/>
        <v>1.5982094135274183E-2</v>
      </c>
      <c r="P1270" s="5">
        <f>O1270-O1278</f>
        <v>1.6347851336187356E-2</v>
      </c>
      <c r="Q1270" s="8">
        <f t="shared" si="129"/>
        <v>2.6725224331008269E-4</v>
      </c>
      <c r="X1270" t="s">
        <v>1056</v>
      </c>
      <c r="Y1270">
        <v>39.623699999999999</v>
      </c>
      <c r="Z1270" s="48">
        <f t="shared" si="128"/>
        <v>-2.3641911897999135E-3</v>
      </c>
      <c r="AA1270" s="5">
        <f>Z1270-Y1274</f>
        <v>-6.5815106590740476E-3</v>
      </c>
    </row>
    <row r="1271" spans="1:32">
      <c r="A1271" s="3" t="s">
        <v>1060</v>
      </c>
      <c r="B1271" s="222">
        <v>35.130000000000003</v>
      </c>
      <c r="C1271" s="227">
        <f t="shared" si="125"/>
        <v>-6.5691489361702105E-2</v>
      </c>
      <c r="D1271" s="5">
        <f>C1271-C1275</f>
        <v>-6.5769534931260989E-2</v>
      </c>
      <c r="F1271" s="8"/>
      <c r="H1271" t="s">
        <v>1059</v>
      </c>
      <c r="I1271">
        <v>47.98</v>
      </c>
      <c r="J1271" s="227">
        <f t="shared" si="126"/>
        <v>1.0743627554244739E-2</v>
      </c>
      <c r="K1271" s="5">
        <f>J1271-J1276</f>
        <v>8.6076716386347812E-3</v>
      </c>
      <c r="M1271" s="240" t="s">
        <v>1057</v>
      </c>
      <c r="N1271">
        <v>3325.54</v>
      </c>
      <c r="O1271" s="227">
        <f t="shared" si="127"/>
        <v>9.124646863725161E-3</v>
      </c>
      <c r="P1271" s="5">
        <f>O1271-O1278</f>
        <v>9.490404064638332E-3</v>
      </c>
      <c r="Q1271" s="8">
        <f t="shared" si="129"/>
        <v>9.006776931010377E-5</v>
      </c>
    </row>
    <row r="1272" spans="1:32">
      <c r="A1272" s="3" t="s">
        <v>1061</v>
      </c>
      <c r="B1272" s="222">
        <v>34.68</v>
      </c>
      <c r="C1272" s="227">
        <f t="shared" si="125"/>
        <v>-1.2809564474807966E-2</v>
      </c>
      <c r="D1272" s="5">
        <f>C1272-C1275</f>
        <v>-1.2887610044366855E-2</v>
      </c>
      <c r="F1272" s="8"/>
      <c r="H1272" t="s">
        <v>1060</v>
      </c>
      <c r="I1272">
        <v>46.52</v>
      </c>
      <c r="J1272" s="227">
        <f t="shared" si="126"/>
        <v>-3.0429345560650134E-2</v>
      </c>
      <c r="K1272" s="5">
        <f>J1272-J1276</f>
        <v>-3.2565301476260092E-2</v>
      </c>
      <c r="M1272" s="240" t="s">
        <v>1058</v>
      </c>
      <c r="N1272">
        <v>3321.75</v>
      </c>
      <c r="O1272" s="227">
        <f t="shared" si="127"/>
        <v>-1.1396645356843704E-3</v>
      </c>
      <c r="P1272" s="5">
        <f>O1272-O1278</f>
        <v>-7.7390733477119894E-4</v>
      </c>
      <c r="Q1272" s="8">
        <f t="shared" si="129"/>
        <v>5.9893256281266062E-7</v>
      </c>
    </row>
    <row r="1273" spans="1:32">
      <c r="A1273" s="3" t="s">
        <v>1062</v>
      </c>
      <c r="B1273" s="222">
        <v>35.01</v>
      </c>
      <c r="C1273" s="227">
        <f t="shared" si="125"/>
        <v>9.5155709342560346E-3</v>
      </c>
      <c r="D1273" s="5">
        <f>C1273-C1275</f>
        <v>9.4375253646971462E-3</v>
      </c>
      <c r="F1273" s="8"/>
      <c r="H1273" t="s">
        <v>1061</v>
      </c>
      <c r="I1273">
        <v>46.83</v>
      </c>
      <c r="J1273" s="227">
        <f t="shared" si="126"/>
        <v>6.6638005159069813E-3</v>
      </c>
      <c r="K1273" s="5">
        <f>J1273-J1276</f>
        <v>4.5278446002970235E-3</v>
      </c>
      <c r="M1273" s="240" t="s">
        <v>1059</v>
      </c>
      <c r="N1273">
        <v>3320.79</v>
      </c>
      <c r="O1273" s="227">
        <f t="shared" si="127"/>
        <v>-2.89004289907413E-4</v>
      </c>
      <c r="P1273" s="5">
        <f>O1273-O1278</f>
        <v>7.6752911005758542E-5</v>
      </c>
      <c r="Q1273" s="8">
        <f t="shared" si="129"/>
        <v>5.891009347857891E-9</v>
      </c>
    </row>
    <row r="1274" spans="1:32">
      <c r="A1274" s="3"/>
      <c r="B1274" s="3"/>
      <c r="H1274" t="s">
        <v>1062</v>
      </c>
      <c r="I1274">
        <v>47.08</v>
      </c>
      <c r="J1274" s="227">
        <f t="shared" si="126"/>
        <v>5.3384582532565172E-3</v>
      </c>
      <c r="K1274" s="5">
        <f>J1274-J1276</f>
        <v>3.2025023376465594E-3</v>
      </c>
      <c r="M1274" s="240" t="s">
        <v>1060</v>
      </c>
      <c r="N1274">
        <v>3329.62</v>
      </c>
      <c r="O1274" s="227">
        <f t="shared" si="127"/>
        <v>2.6590058389719395E-3</v>
      </c>
      <c r="P1274" s="5">
        <f>O1274-O1278</f>
        <v>3.024763039885111E-3</v>
      </c>
      <c r="Q1274" s="8">
        <f t="shared" si="129"/>
        <v>9.1491914474550181E-6</v>
      </c>
      <c r="U1274" s="3" t="s">
        <v>1065</v>
      </c>
      <c r="V1274" s="5">
        <f>AVERAGE(U21:U805)</f>
        <v>1.736190775707038E-3</v>
      </c>
      <c r="X1274" s="3" t="s">
        <v>1065</v>
      </c>
      <c r="Y1274" s="5">
        <f>AVERAGE(Z21:Z1270)</f>
        <v>4.2173194692741341E-3</v>
      </c>
      <c r="AE1274" t="s">
        <v>1065</v>
      </c>
      <c r="AF1274" s="5">
        <f>AVERAGE(AF21:AF1048)</f>
        <v>8.3119215454259749E-4</v>
      </c>
    </row>
    <row r="1275" spans="1:32">
      <c r="A1275" s="3"/>
      <c r="B1275" s="3" t="s">
        <v>1065</v>
      </c>
      <c r="C1275" s="5">
        <f>AVERAGE(C18:C1273)</f>
        <v>7.8045569558889217E-5</v>
      </c>
      <c r="M1275" s="240" t="s">
        <v>1061</v>
      </c>
      <c r="N1275">
        <v>3316.81</v>
      </c>
      <c r="O1275" s="227">
        <f t="shared" si="127"/>
        <v>-3.847285876466322E-3</v>
      </c>
      <c r="P1275" s="5">
        <f>O1275-O1278</f>
        <v>-3.4815286755531505E-3</v>
      </c>
      <c r="Q1275" s="8">
        <f t="shared" si="129"/>
        <v>1.2121041918698875E-5</v>
      </c>
      <c r="U1275" t="s">
        <v>1066</v>
      </c>
      <c r="V1275">
        <f>COUNT(S20:S805)</f>
        <v>316</v>
      </c>
      <c r="X1275" t="s">
        <v>1066</v>
      </c>
      <c r="Y1275">
        <f>COUNT(X20:X1270)</f>
        <v>496</v>
      </c>
    </row>
    <row r="1276" spans="1:32">
      <c r="B1276" t="s">
        <v>1066</v>
      </c>
      <c r="C1276">
        <f>COUNT(A17:A1273)</f>
        <v>496</v>
      </c>
      <c r="I1276" s="3" t="s">
        <v>1065</v>
      </c>
      <c r="J1276" s="5">
        <f>AVERAGE(J19:J1274)</f>
        <v>2.1359559156099578E-3</v>
      </c>
      <c r="M1276" s="240" t="s">
        <v>1062</v>
      </c>
      <c r="N1276">
        <v>3289.29</v>
      </c>
      <c r="O1276" s="227">
        <f t="shared" si="127"/>
        <v>-8.297128867797654E-3</v>
      </c>
      <c r="P1276" s="5">
        <f>O1276-O1278</f>
        <v>-7.931371666884483E-3</v>
      </c>
      <c r="Q1276" s="8">
        <f t="shared" si="129"/>
        <v>6.2906656518257941E-5</v>
      </c>
      <c r="U1276" t="s">
        <v>1076</v>
      </c>
      <c r="V1276" s="395">
        <f>O1280</f>
        <v>4.6869484874600379E-4</v>
      </c>
      <c r="X1276" t="s">
        <v>1076</v>
      </c>
      <c r="Y1276" s="395">
        <f>V1276</f>
        <v>4.6869484874600379E-4</v>
      </c>
      <c r="AD1276" t="s">
        <v>1080</v>
      </c>
      <c r="AE1276" s="242">
        <f>SLOPE(AF21:AF1048,O21:O1048)</f>
        <v>1.8908834382368798</v>
      </c>
    </row>
    <row r="1277" spans="1:32">
      <c r="B1277" t="s">
        <v>1077</v>
      </c>
      <c r="C1277" t="e">
        <f>_xlfn.COVARIANCE.P(D1:D1273,T1:T14)</f>
        <v>#N/A</v>
      </c>
      <c r="I1277" t="s">
        <v>1066</v>
      </c>
      <c r="J1277">
        <f>COUNT(H18:H1274)</f>
        <v>496</v>
      </c>
      <c r="U1277" t="s">
        <v>1077</v>
      </c>
      <c r="V1277" s="243">
        <f>_xlfn.COVARIANCE.P(P21:P805,V21:V805)</f>
        <v>1.4155304389247016E-4</v>
      </c>
      <c r="X1277" t="s">
        <v>1234</v>
      </c>
      <c r="Y1277" s="243">
        <f>SLOPE(Z21:Z1270,O21:O1270)</f>
        <v>0.49275408268861193</v>
      </c>
    </row>
    <row r="1278" spans="1:32">
      <c r="B1278" t="s">
        <v>1076</v>
      </c>
      <c r="C1278">
        <f>J1279</f>
        <v>4.6869484874600379E-4</v>
      </c>
      <c r="I1278" t="s">
        <v>1077</v>
      </c>
      <c r="J1278" s="243">
        <f>_xlfn.COVARIANCE.P(K19:K1274,P21:P1276)</f>
        <v>2.8949528106256896E-4</v>
      </c>
      <c r="N1278" s="3" t="s">
        <v>1065</v>
      </c>
      <c r="O1278" s="5">
        <f>AVERAGE(O21:O1276)</f>
        <v>-3.6575720091317155E-4</v>
      </c>
    </row>
    <row r="1279" spans="1:32">
      <c r="C1279" s="10"/>
      <c r="I1279" t="s">
        <v>1076</v>
      </c>
      <c r="J1279">
        <f>O1280</f>
        <v>4.6869484874600379E-4</v>
      </c>
      <c r="N1279" t="s">
        <v>1066</v>
      </c>
      <c r="O1279">
        <f>COUNT(M20:M1276)</f>
        <v>496</v>
      </c>
      <c r="R1279" t="s">
        <v>1078</v>
      </c>
      <c r="S1279">
        <f>O1280/O1281</f>
        <v>1</v>
      </c>
      <c r="V1279" s="10"/>
    </row>
    <row r="1280" spans="1:32">
      <c r="B1280" t="s">
        <v>1079</v>
      </c>
      <c r="C1280" s="10" t="e">
        <f>C1277/C1278</f>
        <v>#N/A</v>
      </c>
      <c r="I1280" t="s">
        <v>1079</v>
      </c>
      <c r="J1280" s="10">
        <f>J1278/J1279</f>
        <v>0.61766260465015888</v>
      </c>
      <c r="N1280" t="s">
        <v>1076</v>
      </c>
      <c r="O1280">
        <f>SUMPRODUCT(P21:P1276,P21:P1276)/(C1276-1)</f>
        <v>4.6869484874600379E-4</v>
      </c>
      <c r="U1280" t="s">
        <v>1228</v>
      </c>
      <c r="V1280" s="390">
        <f>SLOPE(O21:O805,U21:U805)</f>
        <v>7.8013656123146438E-2</v>
      </c>
      <c r="X1280" t="s">
        <v>1234</v>
      </c>
      <c r="Y1280" s="390">
        <f>SLOPE(Z21:Z1270,O21:O1270)</f>
        <v>0.49275408268861193</v>
      </c>
      <c r="Z1280" t="s">
        <v>1339</v>
      </c>
    </row>
    <row r="1281" spans="1:16">
      <c r="I1281" t="s">
        <v>1081</v>
      </c>
      <c r="J1281" s="242">
        <f>SLOPE(J19:J1274,O21:O1276)</f>
        <v>1.5672408715971708</v>
      </c>
      <c r="N1281" t="s">
        <v>1077</v>
      </c>
      <c r="O1281">
        <f>O1280</f>
        <v>4.6869484874600379E-4</v>
      </c>
    </row>
    <row r="1282" spans="1:16">
      <c r="P1282" s="5"/>
    </row>
    <row r="1284" spans="1:16">
      <c r="A1284" t="s">
        <v>1080</v>
      </c>
      <c r="B1284" s="242">
        <f>SLOPE(C18:C1273,O21:O1276)</f>
        <v>1.3064970561749105</v>
      </c>
    </row>
  </sheetData>
  <hyperlinks>
    <hyperlink ref="B14" r:id="rId1" display="https://www.nasdaq.com/market-activity/stocks/uber" xr:uid="{9C2D90E2-C0A6-4495-A110-93D22912CE4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53571-FBEE-4256-8C93-CD14750F338D}">
  <dimension ref="A2:P54"/>
  <sheetViews>
    <sheetView topLeftCell="A13" workbookViewId="0">
      <selection activeCell="A13" sqref="A13"/>
    </sheetView>
  </sheetViews>
  <sheetFormatPr defaultRowHeight="14.4"/>
  <cols>
    <col min="1" max="1" width="50.77734375" bestFit="1" customWidth="1"/>
    <col min="2" max="2" width="19.109375" bestFit="1" customWidth="1"/>
    <col min="3" max="3" width="12.33203125" bestFit="1" customWidth="1"/>
    <col min="4" max="4" width="20.21875" bestFit="1" customWidth="1"/>
    <col min="5" max="5" width="15.88671875" bestFit="1" customWidth="1"/>
    <col min="6" max="6" width="14.88671875" bestFit="1" customWidth="1"/>
    <col min="7" max="7" width="28.44140625" bestFit="1" customWidth="1"/>
    <col min="10" max="10" width="10" bestFit="1" customWidth="1"/>
    <col min="12" max="12" width="31.88671875" bestFit="1" customWidth="1"/>
    <col min="13" max="13" width="15" bestFit="1" customWidth="1"/>
    <col min="14" max="14" width="16" customWidth="1"/>
    <col min="16" max="16" width="22.44140625" bestFit="1" customWidth="1"/>
  </cols>
  <sheetData>
    <row r="2" spans="1:16">
      <c r="A2" s="3" t="s">
        <v>1087</v>
      </c>
    </row>
    <row r="3" spans="1:16">
      <c r="A3" t="s">
        <v>1400</v>
      </c>
    </row>
    <row r="4" spans="1:16">
      <c r="D4">
        <v>1</v>
      </c>
      <c r="E4" t="s">
        <v>1088</v>
      </c>
      <c r="G4" s="3" t="s">
        <v>1106</v>
      </c>
    </row>
    <row r="5" spans="1:16" ht="15.6">
      <c r="A5" s="3" t="s">
        <v>1089</v>
      </c>
      <c r="B5" t="s">
        <v>1086</v>
      </c>
      <c r="C5" t="s">
        <v>1094</v>
      </c>
      <c r="D5" t="s">
        <v>1095</v>
      </c>
      <c r="G5" s="247" t="s">
        <v>1090</v>
      </c>
      <c r="H5" s="247" t="s">
        <v>1107</v>
      </c>
      <c r="I5" s="247"/>
      <c r="J5" s="247" t="s">
        <v>1097</v>
      </c>
      <c r="L5" s="249" t="s">
        <v>1111</v>
      </c>
    </row>
    <row r="6" spans="1:16" ht="15.6">
      <c r="A6" t="s">
        <v>1090</v>
      </c>
      <c r="C6" t="s">
        <v>1091</v>
      </c>
      <c r="D6" s="3" t="s">
        <v>1092</v>
      </c>
      <c r="G6" s="247" t="s">
        <v>1108</v>
      </c>
      <c r="H6" s="247"/>
      <c r="I6" s="247"/>
      <c r="J6" s="258">
        <f>D8+1.55%</f>
        <v>5.7500000000000002E-2</v>
      </c>
      <c r="L6" s="250" t="s">
        <v>1090</v>
      </c>
      <c r="M6" s="250" t="s">
        <v>1122</v>
      </c>
      <c r="N6" s="250" t="s">
        <v>1090</v>
      </c>
      <c r="O6" s="250" t="s">
        <v>1123</v>
      </c>
      <c r="P6" s="250" t="s">
        <v>1097</v>
      </c>
    </row>
    <row r="7" spans="1:16" ht="15.6">
      <c r="G7" s="248" t="s">
        <v>1109</v>
      </c>
      <c r="J7" s="7">
        <v>0.27</v>
      </c>
      <c r="L7" s="251" t="s">
        <v>1112</v>
      </c>
      <c r="M7" s="285">
        <f>(C36)/(C36+F36)</f>
        <v>6.701363623287214E-2</v>
      </c>
      <c r="N7" s="250" t="s">
        <v>1124</v>
      </c>
      <c r="O7" s="259">
        <f>J8</f>
        <v>4.1974999999999998E-2</v>
      </c>
      <c r="P7" s="250"/>
    </row>
    <row r="8" spans="1:16" ht="15.6">
      <c r="A8" t="s">
        <v>1093</v>
      </c>
      <c r="D8" s="8">
        <v>4.2000000000000003E-2</v>
      </c>
      <c r="G8" s="248" t="s">
        <v>1110</v>
      </c>
      <c r="J8" s="5">
        <f>J6*(1-E19)</f>
        <v>4.1974999999999998E-2</v>
      </c>
      <c r="L8" s="252" t="s">
        <v>1113</v>
      </c>
      <c r="M8" s="5">
        <f>1-M7</f>
        <v>0.93298636376712785</v>
      </c>
      <c r="N8" s="3" t="s">
        <v>1125</v>
      </c>
      <c r="O8" s="262">
        <f>D12</f>
        <v>0.12038982337049464</v>
      </c>
    </row>
    <row r="9" spans="1:16" ht="15.6">
      <c r="L9" s="264" t="s">
        <v>1114</v>
      </c>
      <c r="M9" s="250"/>
      <c r="N9" s="250"/>
      <c r="O9" s="250"/>
      <c r="P9" s="263">
        <f>(M7*O7)+(M8*O8)</f>
        <v>0.1151349609218794</v>
      </c>
    </row>
    <row r="10" spans="1:16">
      <c r="A10" t="s">
        <v>1078</v>
      </c>
      <c r="D10" s="10">
        <f>CHOOSE(D4,N13,F19)</f>
        <v>1.3064970561749105</v>
      </c>
    </row>
    <row r="11" spans="1:16">
      <c r="A11" t="s">
        <v>1096</v>
      </c>
      <c r="D11" s="5">
        <v>0.06</v>
      </c>
    </row>
    <row r="12" spans="1:16">
      <c r="A12" t="s">
        <v>1098</v>
      </c>
      <c r="D12" s="8">
        <f>D8+D10*D11</f>
        <v>0.12038982337049464</v>
      </c>
      <c r="L12">
        <v>1</v>
      </c>
      <c r="M12" s="260" t="s">
        <v>1345</v>
      </c>
      <c r="N12" s="508">
        <f>F22*(1+C36*(1-E21)/(F36))</f>
        <v>0.68368508845902543</v>
      </c>
    </row>
    <row r="13" spans="1:16">
      <c r="L13" s="507">
        <v>2</v>
      </c>
      <c r="M13" s="260" t="s">
        <v>1126</v>
      </c>
      <c r="N13" s="261">
        <f>BETA!B1284</f>
        <v>1.3064970561749105</v>
      </c>
    </row>
    <row r="16" spans="1:16">
      <c r="A16" s="3" t="s">
        <v>1099</v>
      </c>
    </row>
    <row r="17" spans="1:7">
      <c r="A17" s="246" t="s">
        <v>1090</v>
      </c>
      <c r="B17" s="246" t="s">
        <v>1100</v>
      </c>
      <c r="C17" s="246" t="s">
        <v>1101</v>
      </c>
      <c r="D17" s="246" t="s">
        <v>1102</v>
      </c>
      <c r="E17" s="246" t="s">
        <v>1103</v>
      </c>
      <c r="F17" s="246" t="s">
        <v>1104</v>
      </c>
      <c r="G17" s="246" t="s">
        <v>1105</v>
      </c>
    </row>
    <row r="18" spans="1:7">
      <c r="A18" s="3" t="s">
        <v>1088</v>
      </c>
    </row>
    <row r="19" spans="1:7">
      <c r="A19" t="s">
        <v>1072</v>
      </c>
      <c r="B19" s="242">
        <f>BETA!B3</f>
        <v>1.5672408715971708</v>
      </c>
      <c r="C19" s="4">
        <f>C43/(C43+(E43*D43))</f>
        <v>0.15676900244835726</v>
      </c>
      <c r="D19" s="4">
        <f>(E43*D43)/(C43+(E43*D43))</f>
        <v>0.84323099755164266</v>
      </c>
      <c r="E19" s="8">
        <v>0.27</v>
      </c>
      <c r="F19" s="49">
        <f>B19/(1+C43*(1-E19)/(F43))</f>
        <v>1.3799563669909547</v>
      </c>
      <c r="G19" s="10">
        <f>$F$22*(1+C43*(1-E19)/(F43))</f>
        <v>0.7377882661395021</v>
      </c>
    </row>
    <row r="20" spans="1:7">
      <c r="A20" t="s">
        <v>1235</v>
      </c>
      <c r="B20" s="14">
        <f>BETA!B4</f>
        <v>7.8013656123146438E-2</v>
      </c>
      <c r="C20" s="48">
        <f>C48/(C48+(E48*D48))</f>
        <v>2.1221243209784465E-2</v>
      </c>
      <c r="D20" s="4">
        <f>(E48*D48)/(C48+(E48*D48))</f>
        <v>0.97877875679021553</v>
      </c>
      <c r="E20" s="8">
        <v>0.27</v>
      </c>
      <c r="F20" s="49">
        <f>B20/(1+C48*(1-E20)/(F48))</f>
        <v>7.6798142408562836E-2</v>
      </c>
      <c r="G20" s="10">
        <f>$F$22*(1+C48*(1-E20)/(F48))</f>
        <v>0.65990476717070601</v>
      </c>
    </row>
    <row r="21" spans="1:7">
      <c r="A21" t="s">
        <v>1342</v>
      </c>
      <c r="B21" s="14">
        <f>BETA!B5</f>
        <v>0.49275408268861193</v>
      </c>
      <c r="C21" s="48">
        <f>C52/(C52+(E52*D52))</f>
        <v>1.7777604152302128E-3</v>
      </c>
      <c r="D21" s="4">
        <f>(E52*D52)/(C52+(E52*D52))</f>
        <v>0.99822223958476974</v>
      </c>
      <c r="E21" s="8">
        <v>0.27</v>
      </c>
      <c r="F21" s="49">
        <f>B21/(1+C52*(1-E21)/(F52))</f>
        <v>0.49211429654132821</v>
      </c>
      <c r="G21" s="10">
        <f>$F$22*(1+C52*(1-E21)/(F52))</f>
        <v>0.65046749471351983</v>
      </c>
    </row>
    <row r="22" spans="1:7">
      <c r="A22" s="260"/>
      <c r="B22" s="260"/>
      <c r="C22" s="506">
        <f>AVERAGE(C19:C21)</f>
        <v>5.9922668691123976E-2</v>
      </c>
      <c r="D22" s="563">
        <f>AVERAGE(D19:D21)</f>
        <v>0.94007733130887594</v>
      </c>
      <c r="E22" s="505" t="s">
        <v>1343</v>
      </c>
      <c r="F22" s="561">
        <f>AVERAGE(F19:F21)</f>
        <v>0.64962293531361526</v>
      </c>
    </row>
    <row r="34" spans="1:7" ht="15.6">
      <c r="A34" s="3" t="s">
        <v>1121</v>
      </c>
      <c r="C34" s="253" t="s">
        <v>1115</v>
      </c>
      <c r="D34" s="570" t="s">
        <v>1116</v>
      </c>
      <c r="E34" s="571"/>
      <c r="F34" s="571"/>
      <c r="G34" s="254"/>
    </row>
    <row r="35" spans="1:7" ht="15.6">
      <c r="C35" s="254"/>
      <c r="D35" s="253" t="s">
        <v>1117</v>
      </c>
      <c r="E35" s="253" t="s">
        <v>1118</v>
      </c>
      <c r="F35" s="253" t="s">
        <v>1119</v>
      </c>
      <c r="G35" s="255" t="s">
        <v>1120</v>
      </c>
    </row>
    <row r="36" spans="1:7" ht="15.6">
      <c r="A36" s="3" t="s">
        <v>193</v>
      </c>
      <c r="B36" s="256">
        <v>45565</v>
      </c>
      <c r="C36">
        <f>BS!G34+BS!G36</f>
        <v>11624</v>
      </c>
      <c r="D36">
        <v>75.16</v>
      </c>
      <c r="E36" s="257">
        <f>2153183/1000</f>
        <v>2153.183</v>
      </c>
      <c r="F36" s="13">
        <f>D36*E36</f>
        <v>161833.23428</v>
      </c>
      <c r="G36" s="7">
        <v>0.27</v>
      </c>
    </row>
    <row r="37" spans="1:7" ht="15.6">
      <c r="B37" s="256">
        <v>45199</v>
      </c>
      <c r="C37">
        <f>871+9252</f>
        <v>10123</v>
      </c>
      <c r="D37">
        <v>45.57</v>
      </c>
      <c r="E37" s="257">
        <f>2080686/1000</f>
        <v>2080.6860000000001</v>
      </c>
      <c r="F37" s="53">
        <f>D37*E37</f>
        <v>94816.861020000011</v>
      </c>
      <c r="G37" s="7">
        <v>0.27</v>
      </c>
    </row>
    <row r="38" spans="1:7" ht="15.6">
      <c r="B38" s="256">
        <v>44834</v>
      </c>
      <c r="C38">
        <f>9265+ 786</f>
        <v>10051</v>
      </c>
      <c r="D38">
        <v>26.76</v>
      </c>
      <c r="E38" s="257">
        <f>1968228/1000</f>
        <v>1968.2280000000001</v>
      </c>
      <c r="F38" s="53">
        <f>D38*E38</f>
        <v>52669.781280000003</v>
      </c>
      <c r="G38" s="7">
        <v>0.27</v>
      </c>
    </row>
    <row r="42" spans="1:7" ht="15.6">
      <c r="A42" s="3" t="s">
        <v>1072</v>
      </c>
      <c r="B42" s="256"/>
      <c r="C42" s="14"/>
      <c r="E42" s="49"/>
      <c r="F42" s="265"/>
    </row>
    <row r="43" spans="1:7" ht="15.6">
      <c r="B43" s="256">
        <v>45565</v>
      </c>
      <c r="C43" s="13">
        <f>(389773+574475)/1000</f>
        <v>964.24800000000005</v>
      </c>
      <c r="D43">
        <v>12.75</v>
      </c>
      <c r="E43" s="257">
        <f>406785/1000</f>
        <v>406.78500000000003</v>
      </c>
      <c r="F43" s="53">
        <f>D43*E43</f>
        <v>5186.50875</v>
      </c>
      <c r="G43" s="7">
        <f>G36</f>
        <v>0.27</v>
      </c>
    </row>
    <row r="44" spans="1:7" ht="15.6">
      <c r="B44" s="256">
        <v>45199</v>
      </c>
      <c r="C44">
        <f>839362/1000</f>
        <v>839.36199999999997</v>
      </c>
      <c r="D44">
        <v>10.54</v>
      </c>
      <c r="E44" s="257">
        <f>381697/1000</f>
        <v>381.697</v>
      </c>
      <c r="F44" s="53">
        <f>D44*E44</f>
        <v>4023.0863799999997</v>
      </c>
      <c r="G44" s="7">
        <f>G37</f>
        <v>0.27</v>
      </c>
    </row>
    <row r="45" spans="1:7" ht="15.6">
      <c r="B45" s="256">
        <v>44834</v>
      </c>
      <c r="C45">
        <f>803207/1000</f>
        <v>803.20699999999999</v>
      </c>
      <c r="D45">
        <v>13.17</v>
      </c>
      <c r="E45" s="257">
        <f>351224/1000</f>
        <v>351.22399999999999</v>
      </c>
      <c r="F45" s="53">
        <f>D45*E45</f>
        <v>4625.6200799999997</v>
      </c>
      <c r="G45" s="7">
        <f>G37</f>
        <v>0.27</v>
      </c>
    </row>
    <row r="48" spans="1:7">
      <c r="A48" s="3" t="s">
        <v>1230</v>
      </c>
      <c r="B48" s="400">
        <v>45565</v>
      </c>
      <c r="C48">
        <f>228+100</f>
        <v>328</v>
      </c>
      <c r="D48">
        <v>3.8</v>
      </c>
      <c r="E48" s="257">
        <f>3981108/1000</f>
        <v>3981.1080000000002</v>
      </c>
      <c r="F48" s="53">
        <f>D48*E48</f>
        <v>15128.2104</v>
      </c>
      <c r="G48" s="7">
        <f>G43</f>
        <v>0.27</v>
      </c>
    </row>
    <row r="49" spans="1:7">
      <c r="B49" s="400">
        <v>45199</v>
      </c>
      <c r="C49">
        <f>668+125</f>
        <v>793</v>
      </c>
      <c r="D49">
        <v>3.54</v>
      </c>
      <c r="E49" s="12">
        <f>3887446/1000</f>
        <v>3887.4459999999999</v>
      </c>
      <c r="F49" s="53">
        <f>D49*E49</f>
        <v>13761.55884</v>
      </c>
      <c r="G49" s="7">
        <f>G44</f>
        <v>0.27</v>
      </c>
    </row>
    <row r="50" spans="1:7">
      <c r="B50" s="400">
        <v>44834</v>
      </c>
      <c r="C50">
        <f>2004+117</f>
        <v>2121</v>
      </c>
      <c r="D50">
        <v>2.63</v>
      </c>
      <c r="E50" s="12">
        <f>3806577/1000</f>
        <v>3806.5770000000002</v>
      </c>
      <c r="F50" s="53">
        <f>D50*E50</f>
        <v>10011.29751</v>
      </c>
      <c r="G50" s="7">
        <f>G45</f>
        <v>0.27</v>
      </c>
    </row>
    <row r="52" spans="1:7">
      <c r="A52" s="3" t="s">
        <v>1338</v>
      </c>
      <c r="B52" s="269">
        <v>45565</v>
      </c>
      <c r="C52">
        <f>642+9804</f>
        <v>10446</v>
      </c>
      <c r="D52">
        <v>4.7</v>
      </c>
      <c r="E52" s="12">
        <f>1247975827/1000</f>
        <v>1247975.827</v>
      </c>
      <c r="F52">
        <f>D52*E52</f>
        <v>5865486.3869000003</v>
      </c>
      <c r="G52" s="7">
        <f>G50</f>
        <v>0.27</v>
      </c>
    </row>
    <row r="53" spans="1:7">
      <c r="B53" s="269">
        <v>45199</v>
      </c>
      <c r="C53">
        <f>7697+1044</f>
        <v>8741</v>
      </c>
      <c r="D53">
        <f>3.23</f>
        <v>3.23</v>
      </c>
      <c r="E53" s="12">
        <f>1222658565/1000</f>
        <v>1222658.5649999999</v>
      </c>
      <c r="F53" s="53">
        <f>D53*E53</f>
        <v>3949187.1649499997</v>
      </c>
      <c r="G53" s="7">
        <f>G49</f>
        <v>0.27</v>
      </c>
    </row>
    <row r="54" spans="1:7">
      <c r="B54" s="269">
        <v>44834</v>
      </c>
      <c r="C54">
        <f>4940+150</f>
        <v>5090</v>
      </c>
      <c r="D54">
        <v>1.837</v>
      </c>
      <c r="E54" s="12">
        <f>1211552279/1000</f>
        <v>1211552.2790000001</v>
      </c>
      <c r="F54" s="53">
        <f>D54*E54</f>
        <v>2225621.5365230003</v>
      </c>
      <c r="G54" s="7">
        <f>G48</f>
        <v>0.27</v>
      </c>
    </row>
  </sheetData>
  <mergeCells count="1">
    <mergeCell ref="D34:F34"/>
  </mergeCells>
  <pageMargins left="0.7" right="0.7" top="0.75" bottom="0.75" header="0.3" footer="0.3"/>
  <legacy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E7AF9-D2CD-4E23-98AE-BA0F55C4D4D9}">
  <dimension ref="B2:R63"/>
  <sheetViews>
    <sheetView tabSelected="1" topLeftCell="A23" workbookViewId="0">
      <selection activeCell="K26" sqref="K26"/>
    </sheetView>
  </sheetViews>
  <sheetFormatPr defaultRowHeight="14.4"/>
  <cols>
    <col min="2" max="2" width="44.77734375" bestFit="1" customWidth="1"/>
    <col min="3" max="3" width="12.21875" customWidth="1"/>
    <col min="4" max="4" width="20.33203125" customWidth="1"/>
    <col min="9" max="9" width="12.5546875" customWidth="1"/>
  </cols>
  <sheetData>
    <row r="2" spans="2:7">
      <c r="B2" s="266" t="s">
        <v>1128</v>
      </c>
    </row>
    <row r="3" spans="2:7">
      <c r="B3" s="267" t="s">
        <v>1129</v>
      </c>
    </row>
    <row r="6" spans="2:7">
      <c r="B6" s="268" t="s">
        <v>1130</v>
      </c>
      <c r="C6" s="1">
        <v>45676</v>
      </c>
    </row>
    <row r="7" spans="2:7">
      <c r="B7" s="268" t="s">
        <v>1131</v>
      </c>
      <c r="C7" s="269">
        <v>45565</v>
      </c>
      <c r="G7">
        <f>C7-C6</f>
        <v>-111</v>
      </c>
    </row>
    <row r="8" spans="2:7" ht="28.8">
      <c r="B8" s="268" t="s">
        <v>1132</v>
      </c>
      <c r="C8" s="270" t="str">
        <f>IF(D8=B62,C62,C63)</f>
        <v>Year end discounting</v>
      </c>
      <c r="D8">
        <v>2</v>
      </c>
    </row>
    <row r="9" spans="2:7">
      <c r="B9" s="274" t="s">
        <v>1114</v>
      </c>
      <c r="C9" s="275">
        <f>WACC!P9</f>
        <v>0.1151349609218794</v>
      </c>
    </row>
    <row r="11" spans="2:7" ht="43.2">
      <c r="B11" s="273" t="s">
        <v>1135</v>
      </c>
      <c r="C11" s="271" t="s">
        <v>1401</v>
      </c>
      <c r="D11" s="272" t="s">
        <v>1136</v>
      </c>
      <c r="E11" s="272" t="s">
        <v>1137</v>
      </c>
      <c r="F11" s="272" t="s">
        <v>1138</v>
      </c>
      <c r="G11" s="272" t="s">
        <v>1139</v>
      </c>
    </row>
    <row r="13" spans="2:7">
      <c r="B13" s="276" t="s">
        <v>1140</v>
      </c>
      <c r="C13" s="12">
        <f>IS!P20</f>
        <v>10302.780052320661</v>
      </c>
      <c r="D13" s="12">
        <f>IS!Q20</f>
        <v>13023.549194447442</v>
      </c>
      <c r="E13" s="12">
        <f>IS!R20</f>
        <v>14592.662266601783</v>
      </c>
      <c r="F13" s="12">
        <f>IS!S20</f>
        <v>16055.836463009507</v>
      </c>
      <c r="G13" s="12">
        <f>IS!T20</f>
        <v>17138.557634221637</v>
      </c>
    </row>
    <row r="14" spans="2:7">
      <c r="B14" s="276" t="s">
        <v>1120</v>
      </c>
      <c r="C14" s="7">
        <f>IS!Q53</f>
        <v>0.14729019652925113</v>
      </c>
      <c r="D14" s="7">
        <f>C14</f>
        <v>0.14729019652925113</v>
      </c>
      <c r="E14" s="7">
        <f>D14</f>
        <v>0.14729019652925113</v>
      </c>
      <c r="F14" s="7">
        <f>E14</f>
        <v>0.14729019652925113</v>
      </c>
      <c r="G14" s="7">
        <f>F14</f>
        <v>0.14729019652925113</v>
      </c>
    </row>
    <row r="15" spans="2:7">
      <c r="B15" s="277" t="s">
        <v>1141</v>
      </c>
      <c r="C15" s="279">
        <f>C13*(1-C14)</f>
        <v>8785.2815536167018</v>
      </c>
      <c r="D15" s="279">
        <f>D13*(1-D14)</f>
        <v>11105.308074088907</v>
      </c>
      <c r="E15" s="279">
        <f>E13*(1-E14)</f>
        <v>12443.30617346902</v>
      </c>
      <c r="F15" s="279">
        <f>F13*(1-F14)</f>
        <v>13690.969154931321</v>
      </c>
      <c r="G15" s="279">
        <f>G13*(1-G14)</f>
        <v>14614.216112049235</v>
      </c>
    </row>
    <row r="16" spans="2:7">
      <c r="B16" s="278" t="s">
        <v>1142</v>
      </c>
      <c r="C16" s="12">
        <f>'Fixed Asset schdeule'!J7+'Fixed Asset schdeule'!J21</f>
        <v>1258.7670511145029</v>
      </c>
      <c r="D16" s="12">
        <f>'Fixed Asset schdeule'!K7+'Fixed Asset schdeule'!K21</f>
        <v>1356.6057603072236</v>
      </c>
      <c r="E16" s="12">
        <f>'Fixed Asset schdeule'!L7+'Fixed Asset schdeule'!L21</f>
        <v>1470.9491462760714</v>
      </c>
      <c r="F16" s="12">
        <f>'Fixed Asset schdeule'!M7+'Fixed Asset schdeule'!M21</f>
        <v>1587.2500447097204</v>
      </c>
      <c r="G16" s="12">
        <f>'Fixed Asset schdeule'!N7+'Fixed Asset schdeule'!N21</f>
        <v>1675.1634357104833</v>
      </c>
    </row>
    <row r="17" spans="2:18">
      <c r="B17" s="278" t="s">
        <v>1143</v>
      </c>
      <c r="C17" s="12">
        <f>SUM(CFS!K14:K17)</f>
        <v>-318.47637039720439</v>
      </c>
      <c r="D17" s="12">
        <f>SUM(CFS!M14:M17)</f>
        <v>-474.81108196629179</v>
      </c>
      <c r="E17" s="12">
        <f>SUM(CFS!N14:N17)</f>
        <v>-491.30691225404144</v>
      </c>
      <c r="F17" s="12">
        <f>SUM(CFS!O14:O17)</f>
        <v>-467.83528271390219</v>
      </c>
      <c r="G17" s="12">
        <f>SUM(CFS!P14:P17)</f>
        <v>-355.30789273778487</v>
      </c>
    </row>
    <row r="18" spans="2:18">
      <c r="B18" s="278" t="s">
        <v>1144</v>
      </c>
      <c r="C18" s="12">
        <f>CFS!K22</f>
        <v>-4019.1027490835977</v>
      </c>
      <c r="D18" s="12">
        <f>CFS!M22</f>
        <v>-1934.1558501630525</v>
      </c>
      <c r="E18" s="12">
        <f>CFS!N22</f>
        <v>-2111.5786665754586</v>
      </c>
      <c r="F18" s="12">
        <f>CFS!O22</f>
        <v>-2222.4635054249457</v>
      </c>
      <c r="G18" s="12">
        <f>CFS!P22</f>
        <v>-2156.1852985816595</v>
      </c>
    </row>
    <row r="19" spans="2:18">
      <c r="B19" s="277" t="s">
        <v>1145</v>
      </c>
      <c r="C19" s="279">
        <f>SUM(C15:C18)</f>
        <v>5706.4694852504026</v>
      </c>
      <c r="D19" s="279">
        <f>SUM(D15:D18)</f>
        <v>10052.946902266787</v>
      </c>
      <c r="E19" s="279">
        <f>SUM(E15:E18)</f>
        <v>11311.36974091559</v>
      </c>
      <c r="F19" s="279">
        <f>SUM(F15:F18)</f>
        <v>12587.920411502193</v>
      </c>
      <c r="G19" s="279">
        <f>SUM(G15:G18)</f>
        <v>13777.886356440275</v>
      </c>
    </row>
    <row r="20" spans="2:18">
      <c r="B20" s="276" t="s">
        <v>1146</v>
      </c>
      <c r="C20" s="242">
        <f>C9*100</f>
        <v>11.513496092187941</v>
      </c>
      <c r="D20">
        <f>C20</f>
        <v>11.513496092187941</v>
      </c>
      <c r="E20">
        <f>D20</f>
        <v>11.513496092187941</v>
      </c>
      <c r="F20">
        <f>E20</f>
        <v>11.513496092187941</v>
      </c>
      <c r="G20">
        <f>F20</f>
        <v>11.513496092187941</v>
      </c>
    </row>
    <row r="21" spans="2:18">
      <c r="B21" s="276" t="s">
        <v>1147</v>
      </c>
      <c r="C21" s="10">
        <f>71/365</f>
        <v>0.19452054794520549</v>
      </c>
      <c r="D21" s="10">
        <f>1+C21</f>
        <v>1.1945205479452055</v>
      </c>
      <c r="E21" s="10">
        <f>1+D21</f>
        <v>2.1945205479452055</v>
      </c>
      <c r="F21" s="10">
        <f>1+E21</f>
        <v>3.1945205479452055</v>
      </c>
      <c r="G21" s="10">
        <f>1+F21</f>
        <v>4.1945205479452055</v>
      </c>
    </row>
    <row r="22" spans="2:18">
      <c r="B22" s="276" t="s">
        <v>1148</v>
      </c>
    </row>
    <row r="23" spans="2:18">
      <c r="B23" s="276" t="s">
        <v>1149</v>
      </c>
    </row>
    <row r="24" spans="2:18">
      <c r="B24" s="278" t="s">
        <v>1150</v>
      </c>
      <c r="C24" s="12">
        <f>1/(1+C20%)^C21</f>
        <v>0.97902513554948578</v>
      </c>
      <c r="D24" s="10">
        <f>1/(1+D20%)^D21</f>
        <v>0.87794318163976126</v>
      </c>
      <c r="E24" s="10">
        <f>1/(1+E20%)^E21</f>
        <v>0.78729769257163962</v>
      </c>
      <c r="F24" s="10">
        <f>1/(1+F20%)^F21</f>
        <v>0.70601112884200357</v>
      </c>
      <c r="G24" s="10">
        <f>1/(1+G20%)^G21</f>
        <v>0.63311720426946871</v>
      </c>
    </row>
    <row r="25" spans="2:18">
      <c r="B25" s="278" t="s">
        <v>1151</v>
      </c>
      <c r="C25" s="12"/>
    </row>
    <row r="26" spans="2:18">
      <c r="B26" s="277" t="s">
        <v>1152</v>
      </c>
      <c r="C26" s="279">
        <f>C19*C24</f>
        <v>5586.7770613062794</v>
      </c>
      <c r="D26" s="279">
        <f>D19*D24</f>
        <v>8825.9161882316857</v>
      </c>
      <c r="E26" s="279">
        <f>E19*E24</f>
        <v>8905.41529684751</v>
      </c>
      <c r="F26" s="279">
        <f>F19*F24</f>
        <v>8887.211899497961</v>
      </c>
      <c r="G26" s="279">
        <f>G19*G24</f>
        <v>8723.0168907319239</v>
      </c>
    </row>
    <row r="27" spans="2:18">
      <c r="B27" s="276"/>
    </row>
    <row r="28" spans="2:18">
      <c r="B28" s="276" t="s">
        <v>1153</v>
      </c>
      <c r="C28" s="12">
        <f>SUM(C26:G26)</f>
        <v>40928.337336615361</v>
      </c>
    </row>
    <row r="30" spans="2:18" ht="15" thickBot="1"/>
    <row r="31" spans="2:18">
      <c r="B31" s="283" t="s">
        <v>1166</v>
      </c>
      <c r="C31" s="284"/>
      <c r="D31" s="290" t="s">
        <v>1167</v>
      </c>
    </row>
    <row r="32" spans="2:18" ht="15" thickBot="1">
      <c r="B32" s="281" t="s">
        <v>1165</v>
      </c>
      <c r="D32" s="564">
        <v>0.02</v>
      </c>
      <c r="I32" s="276"/>
      <c r="J32" s="575" t="s">
        <v>1114</v>
      </c>
      <c r="K32" s="571"/>
      <c r="L32" s="571"/>
      <c r="M32" s="571"/>
      <c r="N32" s="571"/>
      <c r="O32" s="571"/>
      <c r="P32" s="571"/>
      <c r="Q32" s="571"/>
      <c r="R32" s="571"/>
    </row>
    <row r="33" spans="2:18" ht="15" thickBot="1">
      <c r="B33" s="281" t="s">
        <v>1164</v>
      </c>
      <c r="D33" s="292">
        <f>G19*(1+D32)/(G20%-D32)</f>
        <v>147721.13161542307</v>
      </c>
      <c r="H33" s="574" t="s">
        <v>1172</v>
      </c>
      <c r="I33" s="293">
        <f>D43</f>
        <v>76.015825102583307</v>
      </c>
      <c r="J33" s="294">
        <v>0.105</v>
      </c>
      <c r="K33" s="295">
        <f>J33+0.25%</f>
        <v>0.1075</v>
      </c>
      <c r="L33" s="295">
        <f t="shared" ref="L33:R33" si="0">K33+0.25%</f>
        <v>0.11</v>
      </c>
      <c r="M33" s="295">
        <f t="shared" si="0"/>
        <v>0.1125</v>
      </c>
      <c r="N33" s="295">
        <f t="shared" si="0"/>
        <v>0.115</v>
      </c>
      <c r="O33" s="295">
        <f t="shared" si="0"/>
        <v>0.11750000000000001</v>
      </c>
      <c r="P33" s="295">
        <f t="shared" si="0"/>
        <v>0.12000000000000001</v>
      </c>
      <c r="Q33" s="295">
        <f t="shared" si="0"/>
        <v>0.12250000000000001</v>
      </c>
      <c r="R33" s="296">
        <f t="shared" si="0"/>
        <v>0.125</v>
      </c>
    </row>
    <row r="34" spans="2:18">
      <c r="B34" s="281" t="s">
        <v>1163</v>
      </c>
      <c r="D34" s="292">
        <f>G24*D33</f>
        <v>93524.789859878889</v>
      </c>
      <c r="H34" s="571"/>
      <c r="I34" s="297">
        <v>0.01</v>
      </c>
      <c r="J34" s="298">
        <f t="dataTable" ref="J34:R42" dt2D="1" dtr="1" r1="C9" r2="D32" ca="1"/>
        <v>77.78496558266427</v>
      </c>
      <c r="K34" s="299">
        <v>76.085291720019185</v>
      </c>
      <c r="L34" s="299">
        <v>74.471073435084563</v>
      </c>
      <c r="M34" s="299">
        <v>72.936053096166916</v>
      </c>
      <c r="N34" s="299">
        <v>71.474569095877925</v>
      </c>
      <c r="O34" s="299">
        <v>70.081486545107836</v>
      </c>
      <c r="P34" s="299">
        <v>68.752137417835499</v>
      </c>
      <c r="Q34" s="299">
        <v>67.482268676644622</v>
      </c>
      <c r="R34" s="300">
        <v>66.267997164490779</v>
      </c>
    </row>
    <row r="35" spans="2:18">
      <c r="B35" s="282" t="s">
        <v>1162</v>
      </c>
      <c r="D35" s="291">
        <f>C28+D34</f>
        <v>134453.12719649426</v>
      </c>
      <c r="H35" s="571"/>
      <c r="I35" s="301">
        <f t="shared" ref="I35:I42" si="1">I34+0.25%</f>
        <v>1.2500000000000001E-2</v>
      </c>
      <c r="J35" s="302">
        <v>79.137966348423944</v>
      </c>
      <c r="K35" s="303">
        <v>77.359674443749256</v>
      </c>
      <c r="L35" s="303">
        <v>75.673047967395476</v>
      </c>
      <c r="M35" s="303">
        <v>74.071207240429658</v>
      </c>
      <c r="N35" s="303">
        <v>72.547943831273642</v>
      </c>
      <c r="O35" s="303">
        <v>71.097640644433795</v>
      </c>
      <c r="P35" s="303">
        <v>69.715203159655118</v>
      </c>
      <c r="Q35" s="303">
        <v>68.396000047569018</v>
      </c>
      <c r="R35" s="304">
        <v>67.135811703267564</v>
      </c>
    </row>
    <row r="36" spans="2:18">
      <c r="B36" s="281" t="s">
        <v>1161</v>
      </c>
      <c r="D36" s="163">
        <v>0</v>
      </c>
      <c r="H36" s="571"/>
      <c r="I36" s="301">
        <f t="shared" si="1"/>
        <v>1.5000000000000001E-2</v>
      </c>
      <c r="J36" s="302">
        <v>80.566133823392462</v>
      </c>
      <c r="K36" s="303">
        <v>78.70294272011337</v>
      </c>
      <c r="L36" s="303">
        <v>76.938284317196405</v>
      </c>
      <c r="M36" s="303">
        <v>75.264574417731509</v>
      </c>
      <c r="N36" s="303">
        <v>73.674987303439153</v>
      </c>
      <c r="O36" s="303">
        <v>72.163363236409751</v>
      </c>
      <c r="P36" s="303">
        <v>70.724129174894728</v>
      </c>
      <c r="Q36" s="303">
        <v>69.352230552024778</v>
      </c>
      <c r="R36" s="304">
        <v>68.043072357443293</v>
      </c>
    </row>
    <row r="37" spans="2:18">
      <c r="B37" s="282" t="s">
        <v>1160</v>
      </c>
      <c r="D37" s="291">
        <f>D35</f>
        <v>134453.12719649426</v>
      </c>
      <c r="H37" s="571"/>
      <c r="I37" s="301">
        <f t="shared" si="1"/>
        <v>1.7500000000000002E-2</v>
      </c>
      <c r="J37" s="302">
        <v>82.075910868359202</v>
      </c>
      <c r="K37" s="303">
        <v>80.120837011831071</v>
      </c>
      <c r="L37" s="303">
        <v>78.271911821040661</v>
      </c>
      <c r="M37" s="303">
        <v>76.520750393838725</v>
      </c>
      <c r="N37" s="303">
        <v>74.859827876741349</v>
      </c>
      <c r="O37" s="303">
        <v>73.282371957984552</v>
      </c>
      <c r="P37" s="303">
        <v>71.78227109331678</v>
      </c>
      <c r="Q37" s="303">
        <v>70.353995842407002</v>
      </c>
      <c r="R37" s="304">
        <v>68.992531181580702</v>
      </c>
    </row>
    <row r="38" spans="2:18">
      <c r="B38" s="281" t="s">
        <v>1159</v>
      </c>
      <c r="D38" s="163">
        <f>-('Debt Schedule'!F11)</f>
        <v>-5924</v>
      </c>
      <c r="H38" s="571"/>
      <c r="I38" s="301">
        <f t="shared" si="1"/>
        <v>0.02</v>
      </c>
      <c r="J38" s="302">
        <v>83.674498327735733</v>
      </c>
      <c r="K38" s="303">
        <v>81.619753834504053</v>
      </c>
      <c r="L38" s="303">
        <v>79.679629741765169</v>
      </c>
      <c r="M38" s="303">
        <v>77.844827774059837</v>
      </c>
      <c r="N38" s="597">
        <v>76.107028480217352</v>
      </c>
      <c r="O38" s="303">
        <v>74.458765742204179</v>
      </c>
      <c r="P38" s="303">
        <v>72.893320107659918</v>
      </c>
      <c r="Q38" s="303">
        <v>71.40462773232008</v>
      </c>
      <c r="R38" s="304">
        <v>69.987202330677036</v>
      </c>
    </row>
    <row r="39" spans="2:18">
      <c r="B39" s="281" t="s">
        <v>1158</v>
      </c>
      <c r="D39" s="292">
        <f>CFS!P38</f>
        <v>32498.522871210815</v>
      </c>
      <c r="H39" s="571"/>
      <c r="I39" s="301">
        <f t="shared" si="1"/>
        <v>2.2499999999999999E-2</v>
      </c>
      <c r="J39" s="302">
        <v>85.369969875559335</v>
      </c>
      <c r="K39" s="303">
        <v>83.206842234981337</v>
      </c>
      <c r="L39" s="303">
        <v>81.16778868653104</v>
      </c>
      <c r="M39" s="303">
        <v>79.242465008737682</v>
      </c>
      <c r="N39" s="597">
        <v>77.421645332529891</v>
      </c>
      <c r="O39" s="303">
        <v>75.697074988751169</v>
      </c>
      <c r="P39" s="303">
        <v>74.061345994533482</v>
      </c>
      <c r="Q39" s="303">
        <v>72.507791216728791</v>
      </c>
      <c r="R39" s="304">
        <v>71.030394023631715</v>
      </c>
    </row>
    <row r="40" spans="2:18">
      <c r="B40" s="281" t="s">
        <v>1157</v>
      </c>
      <c r="D40" s="292">
        <f>-BS!M38</f>
        <v>-946</v>
      </c>
      <c r="H40" s="571"/>
      <c r="I40" s="301">
        <f t="shared" si="1"/>
        <v>2.4999999999999998E-2</v>
      </c>
      <c r="J40" s="302">
        <v>87.171408395121901</v>
      </c>
      <c r="K40" s="303">
        <v>84.890117811245091</v>
      </c>
      <c r="L40" s="595">
        <v>82.743486392753724</v>
      </c>
      <c r="M40" s="595">
        <v>80.719967228254262</v>
      </c>
      <c r="N40" s="597">
        <v>78.809296454415332</v>
      </c>
      <c r="O40" s="595">
        <v>77.002319870246652</v>
      </c>
      <c r="P40" s="303">
        <v>75.290846928084605</v>
      </c>
      <c r="Q40" s="303">
        <v>73.667527187517422</v>
      </c>
      <c r="R40" s="304">
        <v>72.125745301234119</v>
      </c>
    </row>
    <row r="41" spans="2:18">
      <c r="B41" s="282" t="s">
        <v>1156</v>
      </c>
      <c r="D41" s="291">
        <f>SUM(D37:D40)</f>
        <v>160081.65006770508</v>
      </c>
      <c r="H41" s="571"/>
      <c r="I41" s="301">
        <f t="shared" si="1"/>
        <v>2.7499999999999997E-2</v>
      </c>
      <c r="J41" s="302">
        <v>89.089068754656267</v>
      </c>
      <c r="K41" s="303">
        <v>86.678598111025366</v>
      </c>
      <c r="L41" s="595">
        <v>84.414680929656583</v>
      </c>
      <c r="M41" s="595">
        <v>82.284381343036515</v>
      </c>
      <c r="N41" s="597">
        <v>80.276241926122836</v>
      </c>
      <c r="O41" s="595">
        <v>78.380078356269649</v>
      </c>
      <c r="P41" s="303">
        <v>76.586807371557384</v>
      </c>
      <c r="Q41" s="303">
        <v>74.888301893610759</v>
      </c>
      <c r="R41" s="304">
        <v>73.277268439226404</v>
      </c>
    </row>
    <row r="42" spans="2:18" ht="15" thickBot="1">
      <c r="B42" s="281" t="s">
        <v>1155</v>
      </c>
      <c r="D42" s="292">
        <f>IS!T41/1000</f>
        <v>2105.8989999999999</v>
      </c>
      <c r="I42" s="305">
        <f t="shared" si="1"/>
        <v>2.9999999999999995E-2</v>
      </c>
      <c r="J42" s="306">
        <v>91.134573138159595</v>
      </c>
      <c r="K42" s="307">
        <v>88.582464236597914</v>
      </c>
      <c r="L42" s="596">
        <v>86.190325125115891</v>
      </c>
      <c r="M42" s="596">
        <v>83.943608434472267</v>
      </c>
      <c r="N42" s="598">
        <v>81.829478307930771</v>
      </c>
      <c r="O42" s="596">
        <v>79.836565898636835</v>
      </c>
      <c r="P42" s="307">
        <v>77.954765617445346</v>
      </c>
      <c r="Q42" s="307">
        <v>76.175064421655065</v>
      </c>
      <c r="R42" s="308">
        <v>74.489398058165662</v>
      </c>
    </row>
    <row r="43" spans="2:18">
      <c r="B43" s="286" t="s">
        <v>1154</v>
      </c>
      <c r="C43" s="286"/>
      <c r="D43" s="397">
        <f>D41/D42</f>
        <v>76.015825102583307</v>
      </c>
    </row>
    <row r="45" spans="2:18" ht="15" thickBot="1"/>
    <row r="46" spans="2:18">
      <c r="B46" s="283" t="s">
        <v>1164</v>
      </c>
      <c r="C46" s="283"/>
      <c r="D46" s="572" t="s">
        <v>1171</v>
      </c>
      <c r="E46" s="573"/>
    </row>
    <row r="47" spans="2:18" ht="15" thickBot="1">
      <c r="B47" s="281" t="s">
        <v>1168</v>
      </c>
      <c r="D47">
        <v>13.92</v>
      </c>
      <c r="E47" s="163"/>
      <c r="H47" s="576" t="s">
        <v>1173</v>
      </c>
      <c r="I47" s="309"/>
      <c r="J47" s="575" t="s">
        <v>1114</v>
      </c>
      <c r="K47" s="571"/>
      <c r="L47" s="571"/>
      <c r="M47" s="571"/>
      <c r="N47" s="571"/>
      <c r="O47" s="571"/>
      <c r="P47" s="571"/>
      <c r="Q47" s="571"/>
      <c r="R47" s="571"/>
    </row>
    <row r="48" spans="2:18" ht="15" thickBot="1">
      <c r="B48" s="281" t="s">
        <v>1169</v>
      </c>
      <c r="D48" s="12">
        <f>G13+G16</f>
        <v>18813.721069932122</v>
      </c>
      <c r="E48" s="163"/>
      <c r="H48" s="577"/>
      <c r="I48" s="293">
        <f>D59</f>
        <v>110.3386362635551</v>
      </c>
      <c r="J48" s="294">
        <f>J33</f>
        <v>0.105</v>
      </c>
      <c r="K48" s="295">
        <f>K33</f>
        <v>0.1075</v>
      </c>
      <c r="L48" s="295">
        <f t="shared" ref="L48" si="2">K48+0.25%</f>
        <v>0.11</v>
      </c>
      <c r="M48" s="295">
        <f t="shared" ref="M48" si="3">L48+0.25%</f>
        <v>0.1125</v>
      </c>
      <c r="N48" s="295">
        <f t="shared" ref="N48" si="4">M48+0.25%</f>
        <v>0.115</v>
      </c>
      <c r="O48" s="295">
        <f t="shared" ref="O48" si="5">N48+0.25%</f>
        <v>0.11750000000000001</v>
      </c>
      <c r="P48" s="295">
        <f t="shared" ref="P48" si="6">O48+0.25%</f>
        <v>0.12000000000000001</v>
      </c>
      <c r="Q48" s="295">
        <f t="shared" ref="Q48" si="7">P48+0.25%</f>
        <v>0.12250000000000001</v>
      </c>
      <c r="R48" s="296">
        <f t="shared" ref="R48" si="8">Q48+0.25%</f>
        <v>0.125</v>
      </c>
    </row>
    <row r="49" spans="2:18">
      <c r="B49" s="281" t="s">
        <v>1164</v>
      </c>
      <c r="D49" s="289">
        <f>D47*(G13+G16)</f>
        <v>261886.99729345515</v>
      </c>
      <c r="E49" s="163"/>
      <c r="H49" s="577"/>
      <c r="I49" s="310">
        <v>12.5</v>
      </c>
      <c r="J49" s="298">
        <f t="dataTable" ref="J49:R57" dt2D="1" dtr="1" r1="C9" r2="D47"/>
        <v>105.48990464361947</v>
      </c>
      <c r="K49" s="299">
        <v>104.69104340031012</v>
      </c>
      <c r="L49" s="299">
        <v>103.90124230873356</v>
      </c>
      <c r="M49" s="299">
        <v>103.12037744649622</v>
      </c>
      <c r="N49" s="299">
        <v>102.34832686620479</v>
      </c>
      <c r="O49" s="299">
        <v>101.58497055959546</v>
      </c>
      <c r="P49" s="299">
        <v>100.83019042239329</v>
      </c>
      <c r="Q49" s="299">
        <v>100.08387021988572</v>
      </c>
      <c r="R49" s="300">
        <v>99.345895553194012</v>
      </c>
    </row>
    <row r="50" spans="2:18">
      <c r="B50" s="281" t="s">
        <v>1163</v>
      </c>
      <c r="D50" s="53">
        <f>D49*G24</f>
        <v>165805.16356095823</v>
      </c>
      <c r="E50" s="163"/>
      <c r="H50" s="577"/>
      <c r="I50" s="311">
        <f t="shared" ref="I50:I57" si="9">I49+1</f>
        <v>13.5</v>
      </c>
      <c r="J50" s="302">
        <v>111.36687089004798</v>
      </c>
      <c r="K50" s="303">
        <v>110.51256422542487</v>
      </c>
      <c r="L50" s="303">
        <v>109.66796405846164</v>
      </c>
      <c r="M50" s="303">
        <v>108.83293750172001</v>
      </c>
      <c r="N50" s="303">
        <v>108.00735378686137</v>
      </c>
      <c r="O50" s="303">
        <v>107.19108422614373</v>
      </c>
      <c r="P50" s="303">
        <v>106.38400217470267</v>
      </c>
      <c r="Q50" s="303">
        <v>105.58598299359926</v>
      </c>
      <c r="R50" s="304">
        <v>104.79690401361688</v>
      </c>
    </row>
    <row r="51" spans="2:18">
      <c r="B51" s="282" t="s">
        <v>1162</v>
      </c>
      <c r="D51" s="399">
        <f>C28+D50</f>
        <v>206733.5008975736</v>
      </c>
      <c r="E51" s="163"/>
      <c r="H51" s="577"/>
      <c r="I51" s="311">
        <f t="shared" si="9"/>
        <v>14.5</v>
      </c>
      <c r="J51" s="302">
        <v>117.2438371364765</v>
      </c>
      <c r="K51" s="303">
        <v>116.33408505053958</v>
      </c>
      <c r="L51" s="303">
        <v>115.4346858081897</v>
      </c>
      <c r="M51" s="303">
        <v>114.5454975569438</v>
      </c>
      <c r="N51" s="303">
        <v>113.66638070751796</v>
      </c>
      <c r="O51" s="303">
        <v>112.797197892692</v>
      </c>
      <c r="P51" s="303">
        <v>111.93781392701207</v>
      </c>
      <c r="Q51" s="303">
        <v>111.08809576731281</v>
      </c>
      <c r="R51" s="304">
        <v>110.24791247403972</v>
      </c>
    </row>
    <row r="52" spans="2:18">
      <c r="B52" s="281" t="s">
        <v>1161</v>
      </c>
      <c r="D52">
        <v>0</v>
      </c>
      <c r="E52" s="163"/>
      <c r="H52" s="577"/>
      <c r="I52" s="311">
        <f t="shared" si="9"/>
        <v>15.5</v>
      </c>
      <c r="J52" s="302">
        <v>123.12080338290504</v>
      </c>
      <c r="K52" s="303">
        <v>122.15560587565433</v>
      </c>
      <c r="L52" s="303">
        <v>121.2014075579178</v>
      </c>
      <c r="M52" s="303">
        <v>120.25805761216762</v>
      </c>
      <c r="N52" s="303">
        <v>119.32540762817455</v>
      </c>
      <c r="O52" s="303">
        <v>118.40331155924027</v>
      </c>
      <c r="P52" s="303">
        <v>117.49162567932149</v>
      </c>
      <c r="Q52" s="303">
        <v>116.59020854102636</v>
      </c>
      <c r="R52" s="304">
        <v>115.69892093446261</v>
      </c>
    </row>
    <row r="53" spans="2:18">
      <c r="B53" s="282" t="s">
        <v>1160</v>
      </c>
      <c r="D53" s="399">
        <f>D51</f>
        <v>206733.5008975736</v>
      </c>
      <c r="E53" s="163"/>
      <c r="H53" s="577"/>
      <c r="I53" s="311">
        <f t="shared" si="9"/>
        <v>16.5</v>
      </c>
      <c r="J53" s="302">
        <v>128.99776962933356</v>
      </c>
      <c r="K53" s="303">
        <v>127.97712670076909</v>
      </c>
      <c r="L53" s="303">
        <v>126.96812930764584</v>
      </c>
      <c r="M53" s="303">
        <v>125.97061766739141</v>
      </c>
      <c r="N53" s="303">
        <v>124.98443454883113</v>
      </c>
      <c r="O53" s="303">
        <v>124.00942522578853</v>
      </c>
      <c r="P53" s="303">
        <v>123.04543743163089</v>
      </c>
      <c r="Q53" s="303">
        <v>122.09232131473991</v>
      </c>
      <c r="R53" s="304">
        <v>121.14992939488545</v>
      </c>
    </row>
    <row r="54" spans="2:18">
      <c r="B54" s="281" t="s">
        <v>1159</v>
      </c>
      <c r="D54">
        <f>D38</f>
        <v>-5924</v>
      </c>
      <c r="E54" s="163"/>
      <c r="H54" s="577"/>
      <c r="I54" s="311">
        <f t="shared" si="9"/>
        <v>17.5</v>
      </c>
      <c r="J54" s="302">
        <v>134.8747358757621</v>
      </c>
      <c r="K54" s="303">
        <v>133.79864752588384</v>
      </c>
      <c r="L54" s="303">
        <v>132.73485105737393</v>
      </c>
      <c r="M54" s="303">
        <v>131.68317772261523</v>
      </c>
      <c r="N54" s="303">
        <v>130.64346146948773</v>
      </c>
      <c r="O54" s="303">
        <v>129.61553889233679</v>
      </c>
      <c r="P54" s="303">
        <v>128.59924918394029</v>
      </c>
      <c r="Q54" s="303">
        <v>127.59443408845345</v>
      </c>
      <c r="R54" s="304">
        <v>126.6009378553083</v>
      </c>
    </row>
    <row r="55" spans="2:18">
      <c r="B55" s="281" t="s">
        <v>1158</v>
      </c>
      <c r="D55" s="12">
        <f>D39</f>
        <v>32498.522871210815</v>
      </c>
      <c r="E55" s="163"/>
      <c r="H55" s="577"/>
      <c r="I55" s="311">
        <f t="shared" si="9"/>
        <v>18.5</v>
      </c>
      <c r="J55" s="302">
        <v>140.75170212219064</v>
      </c>
      <c r="K55" s="303">
        <v>139.62016835099857</v>
      </c>
      <c r="L55" s="303">
        <v>138.50157280710198</v>
      </c>
      <c r="M55" s="303">
        <v>137.395737777839</v>
      </c>
      <c r="N55" s="303">
        <v>136.3024883901443</v>
      </c>
      <c r="O55" s="303">
        <v>135.22165255888507</v>
      </c>
      <c r="P55" s="303">
        <v>134.15306093624966</v>
      </c>
      <c r="Q55" s="303">
        <v>133.096546862167</v>
      </c>
      <c r="R55" s="304">
        <v>132.05194631573116</v>
      </c>
    </row>
    <row r="56" spans="2:18">
      <c r="B56" s="281" t="s">
        <v>1157</v>
      </c>
      <c r="D56" s="12">
        <f>D40</f>
        <v>-946</v>
      </c>
      <c r="E56" s="163"/>
      <c r="I56" s="311">
        <f t="shared" si="9"/>
        <v>19.5</v>
      </c>
      <c r="J56" s="302">
        <v>146.62866836861912</v>
      </c>
      <c r="K56" s="303">
        <v>145.4416891761133</v>
      </c>
      <c r="L56" s="303">
        <v>144.26829455683006</v>
      </c>
      <c r="M56" s="303">
        <v>143.10829783306281</v>
      </c>
      <c r="N56" s="303">
        <v>141.96151531080091</v>
      </c>
      <c r="O56" s="303">
        <v>140.82776622543329</v>
      </c>
      <c r="P56" s="303">
        <v>139.70687268855909</v>
      </c>
      <c r="Q56" s="303">
        <v>138.59865963588052</v>
      </c>
      <c r="R56" s="304">
        <v>137.50295477615401</v>
      </c>
    </row>
    <row r="57" spans="2:18" ht="15" thickBot="1">
      <c r="B57" s="282" t="s">
        <v>1156</v>
      </c>
      <c r="D57" s="399">
        <f>SUM(D53:D56)</f>
        <v>232362.02376878442</v>
      </c>
      <c r="E57" s="163"/>
      <c r="I57" s="312">
        <f t="shared" si="9"/>
        <v>20.5</v>
      </c>
      <c r="J57" s="306">
        <v>152.50563461504768</v>
      </c>
      <c r="K57" s="307">
        <v>151.26321000122806</v>
      </c>
      <c r="L57" s="307">
        <v>150.03501630655811</v>
      </c>
      <c r="M57" s="307">
        <v>148.82085788828661</v>
      </c>
      <c r="N57" s="307">
        <v>147.62054223145751</v>
      </c>
      <c r="O57" s="307">
        <v>146.4338798919816</v>
      </c>
      <c r="P57" s="307">
        <v>145.26068444086849</v>
      </c>
      <c r="Q57" s="307">
        <v>144.1007724095941</v>
      </c>
      <c r="R57" s="308">
        <v>142.95396323657687</v>
      </c>
    </row>
    <row r="58" spans="2:18" ht="15" thickBot="1">
      <c r="B58" s="281" t="s">
        <v>1170</v>
      </c>
      <c r="D58" s="12">
        <f>D42</f>
        <v>2105.8989999999999</v>
      </c>
      <c r="E58" s="163"/>
    </row>
    <row r="59" spans="2:18" ht="15" thickBot="1">
      <c r="B59" s="280" t="s">
        <v>1154</v>
      </c>
      <c r="C59" s="287"/>
      <c r="D59" s="398">
        <f>D57/D58</f>
        <v>110.3386362635551</v>
      </c>
      <c r="E59" s="288"/>
    </row>
    <row r="62" spans="2:18">
      <c r="B62">
        <v>1</v>
      </c>
      <c r="C62" t="s">
        <v>1133</v>
      </c>
    </row>
    <row r="63" spans="2:18">
      <c r="B63">
        <v>2</v>
      </c>
      <c r="C63" s="268" t="s">
        <v>1134</v>
      </c>
    </row>
  </sheetData>
  <mergeCells count="5">
    <mergeCell ref="D46:E46"/>
    <mergeCell ref="H33:H41"/>
    <mergeCell ref="J32:R32"/>
    <mergeCell ref="H47:H55"/>
    <mergeCell ref="J47:R47"/>
  </mergeCells>
  <dataValidations count="1">
    <dataValidation type="list" allowBlank="1" showInputMessage="1" showErrorMessage="1" sqref="C63" xr:uid="{1FC0CA0C-8D07-40CE-AB4F-A6D61959FA59}">
      <formula1>$B$61:$B$62</formula1>
    </dataValidation>
  </dataValidation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B6994-972F-48A7-83B7-669439E7A040}">
  <dimension ref="A1:S85"/>
  <sheetViews>
    <sheetView topLeftCell="A11" workbookViewId="0">
      <selection activeCell="B32" sqref="B32"/>
    </sheetView>
  </sheetViews>
  <sheetFormatPr defaultRowHeight="14.4"/>
  <cols>
    <col min="1" max="1" width="35.33203125" bestFit="1" customWidth="1"/>
    <col min="2" max="2" width="51.33203125" bestFit="1" customWidth="1"/>
    <col min="3" max="3" width="11.77734375" bestFit="1" customWidth="1"/>
    <col min="4" max="4" width="11.21875" customWidth="1"/>
    <col min="5" max="5" width="16" bestFit="1" customWidth="1"/>
    <col min="6" max="6" width="11.109375" bestFit="1" customWidth="1"/>
    <col min="8" max="8" width="11.5546875" bestFit="1" customWidth="1"/>
    <col min="9" max="9" width="10.109375" bestFit="1" customWidth="1"/>
    <col min="13" max="13" width="10.77734375" bestFit="1" customWidth="1"/>
    <col min="14" max="15" width="10.33203125" bestFit="1" customWidth="1"/>
    <col min="17" max="17" width="9.21875" bestFit="1" customWidth="1"/>
  </cols>
  <sheetData>
    <row r="1" spans="1:19">
      <c r="A1" s="393" t="s">
        <v>1072</v>
      </c>
    </row>
    <row r="2" spans="1:19">
      <c r="A2" s="2" t="s">
        <v>1174</v>
      </c>
    </row>
    <row r="3" spans="1:19">
      <c r="A3" t="s">
        <v>12</v>
      </c>
    </row>
    <row r="4" spans="1:19" ht="15" thickBot="1"/>
    <row r="5" spans="1:19" ht="15" thickBot="1">
      <c r="A5" s="313" t="s">
        <v>1175</v>
      </c>
      <c r="B5" s="314"/>
      <c r="C5" s="315" t="s">
        <v>1176</v>
      </c>
      <c r="D5" s="315" t="s">
        <v>1177</v>
      </c>
      <c r="E5" s="315" t="s">
        <v>1178</v>
      </c>
      <c r="F5" s="316"/>
      <c r="N5" s="341" t="s">
        <v>1197</v>
      </c>
      <c r="O5" s="342"/>
      <c r="P5" s="342"/>
      <c r="Q5" s="342"/>
      <c r="R5" s="342"/>
      <c r="S5" s="343"/>
    </row>
    <row r="6" spans="1:19">
      <c r="A6" s="317" t="s">
        <v>1179</v>
      </c>
      <c r="B6" s="318"/>
      <c r="C6" s="319">
        <v>13.6</v>
      </c>
      <c r="D6" s="320"/>
      <c r="E6" s="320"/>
      <c r="F6" s="321"/>
      <c r="N6" s="317" t="s">
        <v>1259</v>
      </c>
      <c r="O6" s="318"/>
      <c r="P6" s="318"/>
      <c r="Q6" s="318"/>
      <c r="R6" s="318"/>
      <c r="S6" s="344"/>
    </row>
    <row r="7" spans="1:19">
      <c r="A7" s="317" t="s">
        <v>1180</v>
      </c>
      <c r="B7" s="318"/>
      <c r="C7" s="257">
        <f>406785/1000</f>
        <v>406.78500000000003</v>
      </c>
      <c r="D7" s="320"/>
      <c r="E7" s="320"/>
      <c r="F7" s="322"/>
      <c r="N7" s="317" t="s">
        <v>1260</v>
      </c>
      <c r="O7" s="318"/>
      <c r="P7" s="318"/>
      <c r="Q7" s="318"/>
      <c r="R7" s="318"/>
      <c r="S7" s="345">
        <v>45681</v>
      </c>
    </row>
    <row r="8" spans="1:19">
      <c r="A8" s="317" t="s">
        <v>1181</v>
      </c>
      <c r="B8" s="318"/>
      <c r="C8" s="323">
        <f>C7+H37+G45</f>
        <v>437.39022862794121</v>
      </c>
      <c r="D8" s="323"/>
      <c r="E8" s="323"/>
      <c r="F8" s="322"/>
      <c r="N8" s="317" t="s">
        <v>1261</v>
      </c>
      <c r="O8" s="318"/>
      <c r="P8" s="318"/>
      <c r="Q8" s="318"/>
      <c r="R8" s="318"/>
      <c r="S8" s="346" t="s">
        <v>1258</v>
      </c>
    </row>
    <row r="9" spans="1:19">
      <c r="A9" s="317" t="s">
        <v>1070</v>
      </c>
      <c r="B9" s="318"/>
      <c r="C9" s="350">
        <f>C8*C6</f>
        <v>5948.5071093400002</v>
      </c>
      <c r="D9" s="323"/>
      <c r="E9" s="323"/>
      <c r="F9" s="324">
        <f>C9</f>
        <v>5948.5071093400002</v>
      </c>
      <c r="N9" s="317" t="s">
        <v>1262</v>
      </c>
      <c r="O9" s="318"/>
      <c r="P9" s="318"/>
      <c r="Q9" s="318"/>
      <c r="R9" s="318"/>
      <c r="S9" s="347">
        <v>45291</v>
      </c>
    </row>
    <row r="10" spans="1:19">
      <c r="A10" s="317" t="s">
        <v>1182</v>
      </c>
      <c r="B10" s="318"/>
      <c r="C10" s="318"/>
      <c r="D10" s="325"/>
      <c r="E10" s="325"/>
      <c r="F10" s="324"/>
      <c r="N10" s="317" t="s">
        <v>1263</v>
      </c>
      <c r="O10" s="318"/>
      <c r="P10" s="318"/>
      <c r="Q10" s="318"/>
      <c r="R10" s="318"/>
      <c r="S10" s="347">
        <v>45199</v>
      </c>
    </row>
    <row r="11" spans="1:19">
      <c r="A11" s="327" t="s">
        <v>1183</v>
      </c>
      <c r="B11" s="318"/>
      <c r="C11" s="318"/>
      <c r="D11" s="325"/>
      <c r="E11" s="325"/>
      <c r="F11" s="324">
        <v>0</v>
      </c>
      <c r="N11" s="317" t="s">
        <v>1264</v>
      </c>
      <c r="O11" s="318"/>
      <c r="P11" s="318"/>
      <c r="Q11" s="318"/>
      <c r="R11" s="318"/>
      <c r="S11" s="344" t="s">
        <v>1198</v>
      </c>
    </row>
    <row r="12" spans="1:19" ht="15" thickBot="1">
      <c r="A12" s="317"/>
      <c r="B12" s="318" t="s">
        <v>1184</v>
      </c>
      <c r="C12" s="318"/>
      <c r="D12" s="318"/>
      <c r="E12" s="328">
        <v>0</v>
      </c>
      <c r="F12" s="322"/>
      <c r="N12" s="338" t="s">
        <v>1120</v>
      </c>
      <c r="O12" s="339"/>
      <c r="P12" s="339"/>
      <c r="Q12" s="339"/>
      <c r="R12" s="339"/>
      <c r="S12" s="348">
        <v>0.16</v>
      </c>
    </row>
    <row r="13" spans="1:19">
      <c r="A13" s="317"/>
      <c r="B13" s="329" t="s">
        <v>1185</v>
      </c>
      <c r="C13" s="318"/>
      <c r="D13" s="318"/>
      <c r="E13" s="330">
        <v>0</v>
      </c>
      <c r="F13" s="322"/>
    </row>
    <row r="14" spans="1:19">
      <c r="A14" s="327" t="s">
        <v>1186</v>
      </c>
      <c r="B14" s="318"/>
      <c r="C14" s="318"/>
      <c r="D14" s="318"/>
      <c r="E14" s="325"/>
      <c r="F14" s="324">
        <f>SUM(E15:E16)</f>
        <v>574.47500000000002</v>
      </c>
    </row>
    <row r="15" spans="1:19">
      <c r="A15" s="317"/>
      <c r="B15" s="329" t="s">
        <v>1187</v>
      </c>
      <c r="C15" s="329"/>
      <c r="D15" s="318"/>
      <c r="E15" s="328">
        <f>574475/1000</f>
        <v>574.47500000000002</v>
      </c>
      <c r="F15" s="322"/>
    </row>
    <row r="16" spans="1:19">
      <c r="A16" s="317"/>
      <c r="B16" s="329" t="s">
        <v>1188</v>
      </c>
      <c r="C16" s="329"/>
      <c r="D16" s="318"/>
      <c r="E16" s="330">
        <v>0</v>
      </c>
      <c r="F16" s="322"/>
    </row>
    <row r="17" spans="1:8">
      <c r="A17" s="327" t="s">
        <v>1189</v>
      </c>
      <c r="B17" s="318"/>
      <c r="C17" s="318"/>
      <c r="D17" s="318"/>
      <c r="E17" s="325"/>
      <c r="F17" s="322"/>
    </row>
    <row r="18" spans="1:8">
      <c r="A18" s="317"/>
      <c r="B18" s="318" t="s">
        <v>1190</v>
      </c>
      <c r="C18" s="318"/>
      <c r="D18" s="318"/>
      <c r="E18" s="325"/>
      <c r="F18" s="326">
        <v>0</v>
      </c>
    </row>
    <row r="19" spans="1:8">
      <c r="A19" s="317"/>
      <c r="B19" s="318" t="s">
        <v>1191</v>
      </c>
      <c r="C19" s="318"/>
      <c r="D19" s="318"/>
      <c r="E19" s="318"/>
      <c r="F19" s="326">
        <v>0</v>
      </c>
    </row>
    <row r="20" spans="1:8">
      <c r="A20" s="327" t="s">
        <v>1192</v>
      </c>
      <c r="B20" s="318"/>
      <c r="C20" s="318"/>
      <c r="D20" s="318"/>
      <c r="E20" s="325"/>
      <c r="F20" s="257">
        <f>1041910/1000</f>
        <v>1041.9100000000001</v>
      </c>
    </row>
    <row r="21" spans="1:8" ht="15" thickBot="1">
      <c r="A21" s="331" t="s">
        <v>1193</v>
      </c>
      <c r="B21" s="332"/>
      <c r="C21" s="332"/>
      <c r="D21" s="333"/>
      <c r="E21" s="333"/>
      <c r="F21" s="334">
        <f>(F9+F10+F11+F14+F18+F19-F20)</f>
        <v>5481.0721093400007</v>
      </c>
    </row>
    <row r="22" spans="1:8">
      <c r="A22" s="335" t="s">
        <v>1194</v>
      </c>
      <c r="B22" s="336"/>
      <c r="C22" s="336"/>
      <c r="D22" s="337"/>
      <c r="E22" s="337"/>
      <c r="F22" s="326">
        <f>1156735/10^3</f>
        <v>1156.7349999999999</v>
      </c>
    </row>
    <row r="23" spans="1:8">
      <c r="A23" s="335" t="s">
        <v>1195</v>
      </c>
      <c r="B23" s="336"/>
      <c r="C23" s="336"/>
      <c r="D23" s="337"/>
      <c r="E23" s="337"/>
      <c r="F23" s="324">
        <f>F21-F22</f>
        <v>4324.337109340001</v>
      </c>
    </row>
    <row r="24" spans="1:8" ht="15" thickBot="1">
      <c r="A24" s="338" t="s">
        <v>1196</v>
      </c>
      <c r="B24" s="339"/>
      <c r="C24" s="339"/>
      <c r="D24" s="339"/>
      <c r="E24" s="339"/>
      <c r="F24" s="340">
        <f>F9/SUM(C8:E8)</f>
        <v>13.6</v>
      </c>
    </row>
    <row r="26" spans="1:8" ht="15" thickBot="1"/>
    <row r="27" spans="1:8" ht="15" thickBot="1">
      <c r="A27" s="313" t="s">
        <v>1199</v>
      </c>
      <c r="B27" s="314"/>
      <c r="C27" s="351"/>
      <c r="D27" s="351"/>
      <c r="E27" s="351"/>
      <c r="F27" s="351"/>
      <c r="G27" s="351"/>
      <c r="H27" s="351"/>
    </row>
    <row r="28" spans="1:8" ht="15" thickBot="1">
      <c r="A28" s="318"/>
      <c r="B28" s="318"/>
      <c r="C28" s="318"/>
      <c r="D28" s="318"/>
      <c r="E28" s="318"/>
      <c r="F28" s="318"/>
      <c r="G28" s="318"/>
      <c r="H28" s="352"/>
    </row>
    <row r="29" spans="1:8" ht="15" thickBot="1">
      <c r="A29" s="318"/>
      <c r="B29" s="313" t="s">
        <v>1200</v>
      </c>
      <c r="C29" s="351"/>
      <c r="D29" s="351"/>
      <c r="E29" s="351"/>
      <c r="F29" s="351"/>
      <c r="G29" s="351"/>
      <c r="H29" s="353"/>
    </row>
    <row r="30" spans="1:8">
      <c r="A30" s="318"/>
      <c r="B30" s="354"/>
      <c r="C30" s="355" t="s">
        <v>1236</v>
      </c>
      <c r="D30" s="318"/>
      <c r="E30" s="356" t="s">
        <v>1237</v>
      </c>
      <c r="F30" s="356"/>
      <c r="G30" s="356"/>
      <c r="H30" s="357" t="s">
        <v>1238</v>
      </c>
    </row>
    <row r="31" spans="1:8" ht="15" thickBot="1">
      <c r="A31" s="318"/>
      <c r="B31" s="358" t="s">
        <v>1201</v>
      </c>
      <c r="C31" s="359" t="s">
        <v>1239</v>
      </c>
      <c r="D31" s="359" t="s">
        <v>1240</v>
      </c>
      <c r="E31" s="359" t="s">
        <v>1241</v>
      </c>
      <c r="F31" s="359" t="s">
        <v>1242</v>
      </c>
      <c r="G31" s="339" t="s">
        <v>1243</v>
      </c>
      <c r="H31" s="360" t="s">
        <v>1244</v>
      </c>
    </row>
    <row r="32" spans="1:8">
      <c r="A32" s="318"/>
      <c r="B32" s="361">
        <f>779942/10^6</f>
        <v>0.77994200000000002</v>
      </c>
      <c r="C32" s="349">
        <f>4.63</f>
        <v>4.63</v>
      </c>
      <c r="D32" s="362" t="str">
        <f>IF(C32&lt;$C$6,"Yes","N0")</f>
        <v>Yes</v>
      </c>
      <c r="E32" s="363">
        <f t="shared" ref="E32:E33" si="0">IF(D32="Yes",B32,0)</f>
        <v>0.77994200000000002</v>
      </c>
      <c r="F32" s="323">
        <f>E32*C32</f>
        <v>3.6111314600000002</v>
      </c>
      <c r="G32" s="401">
        <f>F32/C6</f>
        <v>0.26552437205882357</v>
      </c>
      <c r="H32" s="364">
        <f t="shared" ref="H32" si="1">E32-G32</f>
        <v>0.51441762794117651</v>
      </c>
    </row>
    <row r="33" spans="1:9">
      <c r="A33" s="318"/>
      <c r="B33" s="361">
        <f>30090811/10^6</f>
        <v>30.090810999999999</v>
      </c>
      <c r="C33" s="349">
        <v>0</v>
      </c>
      <c r="D33" s="362" t="str">
        <f>IF(C33&lt;$C$6,"Yes","N0")</f>
        <v>Yes</v>
      </c>
      <c r="E33" s="323">
        <f t="shared" si="0"/>
        <v>30.090810999999999</v>
      </c>
      <c r="F33" s="323">
        <f t="shared" ref="F33" si="2">E33*C33</f>
        <v>0</v>
      </c>
      <c r="G33" s="363">
        <f>F33/C6</f>
        <v>0</v>
      </c>
      <c r="H33" s="364">
        <f>E33-G33</f>
        <v>30.090810999999999</v>
      </c>
    </row>
    <row r="34" spans="1:9">
      <c r="A34" s="318"/>
      <c r="B34" s="365"/>
      <c r="C34" s="349"/>
      <c r="D34" s="362"/>
      <c r="E34" s="363"/>
      <c r="F34" s="323"/>
      <c r="G34" s="363"/>
      <c r="H34" s="364"/>
    </row>
    <row r="35" spans="1:9">
      <c r="A35" s="318"/>
      <c r="B35" s="365"/>
      <c r="C35" s="349"/>
      <c r="D35" s="362"/>
      <c r="E35" s="363"/>
      <c r="F35" s="323"/>
      <c r="G35" s="363"/>
      <c r="H35" s="364"/>
    </row>
    <row r="36" spans="1:9">
      <c r="A36" s="318"/>
      <c r="B36" s="365"/>
      <c r="C36" s="349"/>
      <c r="D36" s="362"/>
      <c r="E36" s="363"/>
      <c r="F36" s="323"/>
      <c r="G36" s="363"/>
      <c r="H36" s="364"/>
    </row>
    <row r="37" spans="1:9" ht="15" thickBot="1">
      <c r="A37" s="318"/>
      <c r="B37" s="338"/>
      <c r="C37" s="339"/>
      <c r="D37" s="339"/>
      <c r="E37" s="339"/>
      <c r="F37" s="339"/>
      <c r="G37" s="339"/>
      <c r="H37" s="402">
        <f>SUM(H32:H36)</f>
        <v>30.605228627941177</v>
      </c>
    </row>
    <row r="38" spans="1:9" ht="15" thickBot="1">
      <c r="A38" s="318"/>
      <c r="B38" s="318"/>
      <c r="C38" s="318"/>
      <c r="D38" s="318"/>
      <c r="E38" s="318"/>
      <c r="F38" s="318"/>
      <c r="G38" s="318"/>
      <c r="H38" s="352"/>
    </row>
    <row r="39" spans="1:9" ht="15" thickBot="1">
      <c r="A39" s="318"/>
      <c r="B39" s="313" t="s">
        <v>1227</v>
      </c>
      <c r="C39" s="351"/>
      <c r="D39" s="351"/>
      <c r="E39" s="351"/>
      <c r="F39" s="351"/>
      <c r="G39" s="353"/>
      <c r="H39" s="352"/>
    </row>
    <row r="40" spans="1:9">
      <c r="A40" s="318"/>
      <c r="B40" s="366"/>
      <c r="C40" s="367"/>
      <c r="D40" s="367"/>
      <c r="E40" s="578" t="s">
        <v>1368</v>
      </c>
      <c r="F40" s="368"/>
      <c r="G40" s="580" t="s">
        <v>1369</v>
      </c>
      <c r="H40" s="352"/>
    </row>
    <row r="41" spans="1:9">
      <c r="A41" s="318"/>
      <c r="B41" s="369" t="s">
        <v>1370</v>
      </c>
      <c r="C41" s="370" t="s">
        <v>1371</v>
      </c>
      <c r="D41" s="370" t="s">
        <v>1372</v>
      </c>
      <c r="E41" s="579"/>
      <c r="F41" s="371" t="s">
        <v>1373</v>
      </c>
      <c r="G41" s="577"/>
      <c r="H41" s="352"/>
    </row>
    <row r="42" spans="1:9">
      <c r="A42" s="318"/>
      <c r="B42" s="317"/>
      <c r="C42" s="320"/>
      <c r="D42" s="320"/>
      <c r="E42" s="372"/>
      <c r="F42" s="373"/>
      <c r="G42" s="374"/>
      <c r="H42" s="352"/>
    </row>
    <row r="43" spans="1:9">
      <c r="A43" s="318"/>
      <c r="B43" s="317"/>
      <c r="C43" s="320"/>
      <c r="D43" s="320"/>
      <c r="E43" s="372"/>
      <c r="F43" s="373"/>
      <c r="G43" s="374"/>
      <c r="H43" s="352"/>
    </row>
    <row r="44" spans="1:9">
      <c r="A44" s="318"/>
      <c r="B44" s="317"/>
      <c r="C44" s="320"/>
      <c r="D44" s="320"/>
      <c r="E44" s="372"/>
      <c r="F44" s="375"/>
      <c r="G44" s="374"/>
      <c r="H44" s="352"/>
    </row>
    <row r="45" spans="1:9" ht="15" thickBot="1">
      <c r="A45" s="318"/>
      <c r="B45" s="338"/>
      <c r="C45" s="376"/>
      <c r="D45" s="376"/>
      <c r="E45" s="376"/>
      <c r="F45" s="377"/>
      <c r="G45" s="378"/>
      <c r="H45" s="352"/>
    </row>
    <row r="48" spans="1:9">
      <c r="I48" t="s">
        <v>1245</v>
      </c>
    </row>
    <row r="49" spans="2:17" ht="27">
      <c r="B49" s="379" t="s">
        <v>1202</v>
      </c>
      <c r="C49" s="379"/>
      <c r="D49" s="379"/>
      <c r="E49" s="379"/>
      <c r="F49" s="379"/>
      <c r="G49" s="379"/>
      <c r="H49" s="379"/>
      <c r="I49" s="380" t="s">
        <v>1203</v>
      </c>
      <c r="J49" s="394" t="s">
        <v>1229</v>
      </c>
      <c r="K49" s="380" t="s">
        <v>1204</v>
      </c>
      <c r="L49" s="381" t="s">
        <v>1205</v>
      </c>
      <c r="M49" s="379" t="s">
        <v>1206</v>
      </c>
      <c r="N49" s="379" t="s">
        <v>1207</v>
      </c>
      <c r="O49" s="379" t="s">
        <v>1208</v>
      </c>
      <c r="P49" s="379"/>
      <c r="Q49" s="379" t="s">
        <v>1209</v>
      </c>
    </row>
    <row r="50" spans="2:17">
      <c r="B50" s="318"/>
      <c r="C50" s="318"/>
      <c r="D50" s="318"/>
      <c r="E50" s="318"/>
      <c r="F50" s="318"/>
      <c r="G50" s="318"/>
      <c r="H50" s="318"/>
      <c r="I50" s="318" t="s">
        <v>1210</v>
      </c>
      <c r="J50" s="318"/>
      <c r="K50" s="318"/>
      <c r="L50" s="318"/>
      <c r="M50" s="382">
        <v>45439</v>
      </c>
      <c r="N50" s="382">
        <f t="shared" ref="N50:O50" si="3">EDATE(M50,12)</f>
        <v>45804</v>
      </c>
      <c r="O50" s="382">
        <f t="shared" si="3"/>
        <v>46169</v>
      </c>
      <c r="P50" s="318"/>
      <c r="Q50" s="318"/>
    </row>
    <row r="51" spans="2:17">
      <c r="B51" s="318" t="s">
        <v>1211</v>
      </c>
      <c r="C51" s="318"/>
      <c r="D51" s="318"/>
      <c r="E51" s="318"/>
      <c r="F51" s="318"/>
      <c r="G51" s="318"/>
      <c r="H51" s="318"/>
      <c r="I51" s="257">
        <f>4403589/1000</f>
        <v>4403.5889999999999</v>
      </c>
      <c r="J51" s="257">
        <f>4235739/1000</f>
        <v>4235.7389999999996</v>
      </c>
      <c r="K51" s="383">
        <f>3179004/1000</f>
        <v>3179.0039999999999</v>
      </c>
      <c r="L51" s="384">
        <f>I51+J51-K51</f>
        <v>5460.3239999999996</v>
      </c>
      <c r="M51" s="320">
        <f>Q74</f>
        <v>5786</v>
      </c>
      <c r="N51" s="320">
        <f>R74</f>
        <v>6655</v>
      </c>
      <c r="O51" s="320">
        <f>S74</f>
        <v>7519</v>
      </c>
      <c r="P51" s="385"/>
      <c r="Q51" s="386">
        <f>(O51/I51)^(1/3)-1</f>
        <v>0.19522894568492632</v>
      </c>
    </row>
    <row r="52" spans="2:17">
      <c r="B52" s="318"/>
      <c r="C52" s="318"/>
      <c r="D52" s="318"/>
      <c r="E52" s="318"/>
      <c r="F52" s="318"/>
      <c r="G52" s="318"/>
      <c r="H52" s="318"/>
      <c r="I52" s="325"/>
      <c r="J52" s="325" t="s">
        <v>1407</v>
      </c>
      <c r="K52" s="325"/>
      <c r="L52" s="325"/>
      <c r="M52" s="318"/>
      <c r="N52" s="318"/>
      <c r="O52" s="318"/>
      <c r="P52" s="318"/>
      <c r="Q52" s="318"/>
    </row>
    <row r="53" spans="2:17">
      <c r="B53" s="318" t="s">
        <v>1212</v>
      </c>
      <c r="C53" s="318"/>
      <c r="D53" s="318"/>
      <c r="E53" s="318"/>
      <c r="F53" s="318"/>
      <c r="G53" s="318"/>
      <c r="H53" s="318"/>
      <c r="I53" s="320">
        <f>-331704/1000</f>
        <v>-331.70400000000001</v>
      </c>
      <c r="J53" s="320">
        <f>-35185/1000</f>
        <v>-35.185000000000002</v>
      </c>
      <c r="K53" s="320">
        <f>-308557/1000</f>
        <v>-308.55700000000002</v>
      </c>
      <c r="L53" s="384">
        <f>I53+J53-K53</f>
        <v>-58.331999999999994</v>
      </c>
      <c r="M53" s="318">
        <f>Q78</f>
        <v>227.9</v>
      </c>
      <c r="N53" s="318">
        <f>R78</f>
        <v>350.7</v>
      </c>
      <c r="O53" s="318">
        <f>S78</f>
        <v>524.6</v>
      </c>
      <c r="P53" s="318"/>
      <c r="Q53" s="318"/>
    </row>
    <row r="54" spans="2:17">
      <c r="B54" s="318" t="s">
        <v>1213</v>
      </c>
      <c r="C54" s="336"/>
      <c r="D54" s="336"/>
      <c r="E54" s="336"/>
      <c r="F54" s="336"/>
      <c r="G54" s="336"/>
      <c r="H54" s="336"/>
      <c r="I54" s="320">
        <v>0</v>
      </c>
      <c r="J54" s="320">
        <v>0</v>
      </c>
      <c r="K54" s="320">
        <v>0</v>
      </c>
      <c r="L54" s="337">
        <v>0</v>
      </c>
      <c r="M54" s="336">
        <v>0</v>
      </c>
      <c r="N54" s="336">
        <v>0</v>
      </c>
      <c r="O54" s="336"/>
      <c r="P54" s="336"/>
      <c r="Q54" s="336"/>
    </row>
    <row r="55" spans="2:17">
      <c r="B55" s="387" t="s">
        <v>1214</v>
      </c>
      <c r="C55" s="336"/>
      <c r="D55" s="336"/>
      <c r="E55" s="336"/>
      <c r="F55" s="336"/>
      <c r="G55" s="336"/>
      <c r="H55" s="336"/>
      <c r="I55" s="388">
        <f>I53+I54</f>
        <v>-331.70400000000001</v>
      </c>
      <c r="J55" s="388">
        <f>J53+J54</f>
        <v>-35.185000000000002</v>
      </c>
      <c r="K55" s="388">
        <f>K53+K54</f>
        <v>-308.55700000000002</v>
      </c>
      <c r="L55" s="384">
        <f>I55+J55-K55</f>
        <v>-58.331999999999994</v>
      </c>
      <c r="M55" s="320">
        <f>M53+M54</f>
        <v>227.9</v>
      </c>
      <c r="N55" s="320">
        <f>N53+N54</f>
        <v>350.7</v>
      </c>
      <c r="O55" s="320">
        <f>S78</f>
        <v>524.6</v>
      </c>
      <c r="P55" s="325"/>
      <c r="Q55" s="386"/>
    </row>
    <row r="56" spans="2:17">
      <c r="B56" s="318" t="s">
        <v>1215</v>
      </c>
      <c r="C56" s="318"/>
      <c r="D56" s="318"/>
      <c r="E56" s="318"/>
      <c r="F56" s="318"/>
      <c r="G56" s="318"/>
      <c r="H56" s="318"/>
      <c r="I56" s="320">
        <f>116513/1000</f>
        <v>116.51300000000001</v>
      </c>
      <c r="J56" s="320">
        <f>115189/1000</f>
        <v>115.18899999999999</v>
      </c>
      <c r="K56" s="320">
        <f>85350/1000</f>
        <v>85.35</v>
      </c>
      <c r="L56" s="325">
        <v>0</v>
      </c>
      <c r="M56" s="318"/>
      <c r="N56" s="318"/>
      <c r="O56" s="318"/>
      <c r="P56" s="318"/>
      <c r="Q56" s="318"/>
    </row>
    <row r="57" spans="2:17">
      <c r="B57" s="336" t="s">
        <v>1216</v>
      </c>
      <c r="C57" s="336"/>
      <c r="D57" s="336"/>
      <c r="E57" s="336"/>
      <c r="F57" s="336"/>
      <c r="G57" s="336"/>
      <c r="H57" s="336"/>
      <c r="I57" s="388">
        <f>I55+I56</f>
        <v>-215.191</v>
      </c>
      <c r="J57" s="388">
        <f>J55+J56</f>
        <v>80.003999999999991</v>
      </c>
      <c r="K57" s="388">
        <f>K55+K56</f>
        <v>-223.20700000000002</v>
      </c>
      <c r="L57" s="384">
        <f>I57+J57-K57</f>
        <v>88.02000000000001</v>
      </c>
      <c r="M57" s="320">
        <f>Q76</f>
        <v>372.3</v>
      </c>
      <c r="N57" s="320">
        <f>R76</f>
        <v>505.9</v>
      </c>
      <c r="O57" s="320">
        <f>S76</f>
        <v>668</v>
      </c>
      <c r="P57" s="325"/>
      <c r="Q57" s="386"/>
    </row>
    <row r="58" spans="2:17">
      <c r="B58" s="318"/>
      <c r="C58" s="318"/>
      <c r="D58" s="318"/>
      <c r="E58" s="318"/>
      <c r="F58" s="318"/>
      <c r="G58" s="318"/>
      <c r="H58" s="318"/>
      <c r="I58" s="325"/>
      <c r="J58" s="325"/>
      <c r="K58" s="325"/>
      <c r="L58" s="325"/>
      <c r="M58" s="318"/>
      <c r="N58" s="318"/>
      <c r="O58" s="318"/>
      <c r="P58" s="318"/>
      <c r="Q58" s="318"/>
    </row>
    <row r="59" spans="2:17">
      <c r="B59" s="318" t="s">
        <v>1217</v>
      </c>
      <c r="C59" s="318"/>
      <c r="D59" s="318"/>
      <c r="E59" s="318"/>
      <c r="F59" s="318"/>
      <c r="G59" s="318"/>
      <c r="H59" s="318"/>
      <c r="I59" s="320">
        <f>-340320/1000</f>
        <v>-340.32</v>
      </c>
      <c r="J59" s="320">
        <f>-38947/1000</f>
        <v>-38.947000000000003</v>
      </c>
      <c r="K59" s="320">
        <f>-314011/1000</f>
        <v>-314.01100000000002</v>
      </c>
      <c r="L59" s="384">
        <f>I59+J59-K59</f>
        <v>-65.255999999999972</v>
      </c>
      <c r="M59" s="318"/>
      <c r="N59" s="318"/>
      <c r="O59" s="318"/>
      <c r="P59" s="318"/>
      <c r="Q59" s="318"/>
    </row>
    <row r="60" spans="2:17">
      <c r="B60" s="318" t="s">
        <v>1218</v>
      </c>
      <c r="C60" s="318"/>
      <c r="D60" s="318"/>
      <c r="E60" s="318"/>
      <c r="F60" s="318"/>
      <c r="G60" s="318"/>
      <c r="H60" s="318"/>
      <c r="I60" s="323">
        <f>I54</f>
        <v>0</v>
      </c>
      <c r="J60" s="323">
        <v>0</v>
      </c>
      <c r="K60" s="323">
        <v>0</v>
      </c>
      <c r="L60" s="323">
        <v>0</v>
      </c>
      <c r="M60" s="323">
        <v>0</v>
      </c>
      <c r="N60" s="318"/>
      <c r="O60" s="318"/>
      <c r="P60" s="318"/>
      <c r="Q60" s="318"/>
    </row>
    <row r="61" spans="2:17">
      <c r="B61" s="318" t="s">
        <v>1219</v>
      </c>
      <c r="C61" s="318"/>
      <c r="D61" s="318"/>
      <c r="E61" s="318"/>
      <c r="F61" s="318"/>
      <c r="G61" s="318"/>
      <c r="H61" s="318"/>
      <c r="I61" s="320">
        <v>0</v>
      </c>
      <c r="J61" s="320">
        <v>0</v>
      </c>
      <c r="K61" s="320">
        <v>0</v>
      </c>
      <c r="L61" s="320">
        <v>0</v>
      </c>
      <c r="M61" s="320">
        <v>0</v>
      </c>
      <c r="N61" s="318"/>
      <c r="O61" s="318"/>
      <c r="P61" s="318"/>
      <c r="Q61" s="318"/>
    </row>
    <row r="62" spans="2:17">
      <c r="B62" s="318" t="s">
        <v>1220</v>
      </c>
      <c r="C62" s="318"/>
      <c r="D62" s="318"/>
      <c r="E62" s="318"/>
      <c r="F62" s="318"/>
      <c r="G62" s="318"/>
      <c r="H62" s="318"/>
      <c r="I62" s="363"/>
      <c r="J62" s="363"/>
      <c r="K62" s="323"/>
      <c r="L62" s="384">
        <f>I62+J62-K62</f>
        <v>0</v>
      </c>
      <c r="M62" s="318"/>
      <c r="N62" s="318"/>
      <c r="O62" s="318"/>
      <c r="P62" s="318"/>
      <c r="Q62" s="318"/>
    </row>
    <row r="63" spans="2:17">
      <c r="B63" s="318" t="s">
        <v>1221</v>
      </c>
      <c r="C63" s="318"/>
      <c r="D63" s="318"/>
      <c r="E63" s="318"/>
      <c r="F63" s="318"/>
      <c r="G63" s="318"/>
      <c r="H63" s="318"/>
      <c r="I63" s="320">
        <v>0</v>
      </c>
      <c r="J63" s="320">
        <v>0</v>
      </c>
      <c r="K63" s="320">
        <v>0</v>
      </c>
      <c r="L63" s="318"/>
      <c r="M63" s="318"/>
      <c r="N63" s="318"/>
      <c r="O63" s="318"/>
      <c r="P63" s="318"/>
      <c r="Q63" s="318"/>
    </row>
    <row r="64" spans="2:17">
      <c r="B64" s="336" t="s">
        <v>1222</v>
      </c>
      <c r="C64" s="318"/>
      <c r="D64" s="318"/>
      <c r="E64" s="318"/>
      <c r="F64" s="318"/>
      <c r="G64" s="318"/>
      <c r="H64" s="318"/>
      <c r="I64" s="388">
        <f>SUM(I59:I62)</f>
        <v>-340.32</v>
      </c>
      <c r="J64" s="388">
        <f>SUM(J59:J62)</f>
        <v>-38.947000000000003</v>
      </c>
      <c r="K64" s="388">
        <f>SUM(K59:K62)</f>
        <v>-314.01100000000002</v>
      </c>
      <c r="L64" s="384">
        <f>I64+J64-K64</f>
        <v>-65.255999999999972</v>
      </c>
      <c r="M64" s="318"/>
      <c r="N64" s="318"/>
      <c r="O64" s="318"/>
      <c r="P64" s="318"/>
      <c r="Q64" s="318"/>
    </row>
    <row r="65" spans="2:19">
      <c r="B65" s="318" t="s">
        <v>1223</v>
      </c>
      <c r="C65" s="318"/>
      <c r="D65" s="318"/>
      <c r="E65" s="318"/>
      <c r="F65" s="318"/>
      <c r="G65" s="318"/>
      <c r="H65" s="318"/>
      <c r="I65" s="320">
        <v>0</v>
      </c>
      <c r="J65">
        <v>0</v>
      </c>
      <c r="K65" s="320">
        <v>0</v>
      </c>
      <c r="L65" s="318"/>
      <c r="M65" s="318"/>
      <c r="N65" s="318"/>
      <c r="O65" s="318"/>
      <c r="P65" s="318"/>
      <c r="Q65" s="318"/>
    </row>
    <row r="66" spans="2:19">
      <c r="B66" s="336" t="s">
        <v>1224</v>
      </c>
      <c r="C66" s="336"/>
      <c r="D66" s="336"/>
      <c r="E66" s="336"/>
      <c r="F66" s="336"/>
      <c r="G66" s="336"/>
      <c r="H66" s="336"/>
      <c r="I66" s="384">
        <f>I64-I65</f>
        <v>-340.32</v>
      </c>
      <c r="J66" s="384">
        <f>J64-J65</f>
        <v>-38.947000000000003</v>
      </c>
      <c r="K66" s="384">
        <f>K64-K65</f>
        <v>-314.01100000000002</v>
      </c>
      <c r="L66" s="384">
        <f>I66+J66-K66</f>
        <v>-65.255999999999972</v>
      </c>
      <c r="M66" s="320">
        <f>Q83</f>
        <v>-41.74</v>
      </c>
      <c r="N66" s="320">
        <f>R83</f>
        <v>51.18</v>
      </c>
      <c r="O66" s="320">
        <f>S83</f>
        <v>176.4</v>
      </c>
      <c r="P66" s="325"/>
      <c r="Q66" s="386"/>
    </row>
    <row r="67" spans="2:19">
      <c r="B67" s="318"/>
      <c r="C67" s="318"/>
      <c r="D67" s="318"/>
      <c r="E67" s="318"/>
      <c r="F67" s="318"/>
      <c r="G67" s="318"/>
      <c r="H67" s="318"/>
      <c r="I67" s="325"/>
      <c r="J67" s="325"/>
      <c r="K67" s="325"/>
      <c r="L67" s="325"/>
      <c r="M67" s="318"/>
      <c r="N67" s="318"/>
      <c r="O67" s="318"/>
      <c r="P67" s="318"/>
      <c r="Q67" s="318"/>
    </row>
    <row r="68" spans="2:19">
      <c r="B68" s="318" t="s">
        <v>1225</v>
      </c>
      <c r="C68" s="318"/>
      <c r="D68" s="318"/>
      <c r="E68" s="318"/>
      <c r="F68" s="318"/>
      <c r="G68" s="318"/>
      <c r="H68" s="318"/>
      <c r="I68" s="257">
        <f>385335/1000</f>
        <v>385.33499999999998</v>
      </c>
      <c r="J68" s="257">
        <f>406785/1000</f>
        <v>406.78500000000003</v>
      </c>
      <c r="K68" s="320">
        <f>381697/1000</f>
        <v>381.697</v>
      </c>
      <c r="L68" s="384">
        <f>I68+J68-K68</f>
        <v>410.423</v>
      </c>
      <c r="M68" s="318"/>
      <c r="N68" s="318"/>
      <c r="O68" s="318"/>
      <c r="P68" s="318"/>
      <c r="Q68" s="318"/>
    </row>
    <row r="69" spans="2:19">
      <c r="B69" s="318" t="s">
        <v>1226</v>
      </c>
      <c r="C69" s="318"/>
      <c r="D69" s="318"/>
      <c r="E69" s="318"/>
      <c r="F69" s="318"/>
      <c r="G69" s="318"/>
      <c r="H69" s="318"/>
      <c r="I69" s="389">
        <f>I66/I68</f>
        <v>-0.88317957102261668</v>
      </c>
      <c r="J69" s="389">
        <f>J66/J68</f>
        <v>-9.5743451700529766E-2</v>
      </c>
      <c r="K69" s="389">
        <f>K66/K68</f>
        <v>-0.82267086196642891</v>
      </c>
      <c r="L69" s="384">
        <f>I69+J69-K69</f>
        <v>-0.15625216075671755</v>
      </c>
      <c r="M69" s="424">
        <v>-9.5899999999999999E-2</v>
      </c>
      <c r="N69" s="319" t="s">
        <v>1257</v>
      </c>
      <c r="O69" s="448">
        <v>0.37180000000000002</v>
      </c>
      <c r="P69" s="318"/>
      <c r="Q69" s="386"/>
    </row>
    <row r="72" spans="2:19" ht="58.2" thickBot="1">
      <c r="K72" s="403" t="s">
        <v>1256</v>
      </c>
      <c r="L72" s="404">
        <v>2019</v>
      </c>
      <c r="M72" s="404">
        <v>2020</v>
      </c>
      <c r="N72" s="404">
        <v>2021</v>
      </c>
      <c r="O72" s="404">
        <v>2022</v>
      </c>
      <c r="P72" s="404">
        <v>2023</v>
      </c>
      <c r="Q72" s="416">
        <v>2024</v>
      </c>
      <c r="R72" s="416">
        <v>2025</v>
      </c>
      <c r="S72" s="416">
        <v>2026</v>
      </c>
    </row>
    <row r="73" spans="2:19" ht="15" thickBot="1">
      <c r="K73" s="405"/>
      <c r="L73" s="406"/>
      <c r="M73" s="406"/>
      <c r="N73" s="406"/>
      <c r="O73" s="406"/>
      <c r="P73" s="406"/>
      <c r="Q73" s="417"/>
      <c r="R73" s="417"/>
      <c r="S73" s="417"/>
    </row>
    <row r="74" spans="2:19" ht="29.4" thickBot="1">
      <c r="K74" s="407" t="s">
        <v>1246</v>
      </c>
      <c r="L74" s="408">
        <v>3616</v>
      </c>
      <c r="M74" s="408">
        <v>2365</v>
      </c>
      <c r="N74" s="408">
        <v>3208</v>
      </c>
      <c r="O74" s="408">
        <v>4095</v>
      </c>
      <c r="P74" s="408">
        <v>4404</v>
      </c>
      <c r="Q74" s="418">
        <v>5786</v>
      </c>
      <c r="R74" s="418">
        <v>6655</v>
      </c>
      <c r="S74" s="418">
        <v>7519</v>
      </c>
    </row>
    <row r="75" spans="2:19" ht="15" thickBot="1">
      <c r="K75" s="409" t="s">
        <v>1247</v>
      </c>
      <c r="L75" s="411" t="s">
        <v>1248</v>
      </c>
      <c r="M75" s="412">
        <v>-0.34599999999999997</v>
      </c>
      <c r="N75" s="412">
        <v>0.35680000000000001</v>
      </c>
      <c r="O75" s="412">
        <v>0.27639999999999998</v>
      </c>
      <c r="P75" s="412">
        <v>7.5300000000000006E-2</v>
      </c>
      <c r="Q75" s="419">
        <v>0.31380000000000002</v>
      </c>
      <c r="R75" s="419">
        <v>0.1502</v>
      </c>
      <c r="S75" s="419">
        <v>0.12989999999999999</v>
      </c>
    </row>
    <row r="76" spans="2:19" ht="15" thickBot="1">
      <c r="K76" s="407" t="s">
        <v>1249</v>
      </c>
      <c r="L76" s="410">
        <v>-678.9</v>
      </c>
      <c r="M76" s="410">
        <v>-755.2</v>
      </c>
      <c r="N76" s="410">
        <v>92.9</v>
      </c>
      <c r="O76" s="410">
        <v>-416.5</v>
      </c>
      <c r="P76" s="410">
        <v>222.4</v>
      </c>
      <c r="Q76" s="420">
        <v>372.3</v>
      </c>
      <c r="R76" s="420">
        <v>505.9</v>
      </c>
      <c r="S76" s="420">
        <v>668</v>
      </c>
    </row>
    <row r="77" spans="2:19" ht="15" thickBot="1">
      <c r="K77" s="409" t="s">
        <v>1247</v>
      </c>
      <c r="L77" s="411" t="s">
        <v>1248</v>
      </c>
      <c r="M77" s="412">
        <v>0.1124</v>
      </c>
      <c r="N77" s="411" t="s">
        <v>1248</v>
      </c>
      <c r="O77" s="411" t="s">
        <v>1248</v>
      </c>
      <c r="P77" s="411" t="s">
        <v>1248</v>
      </c>
      <c r="Q77" s="419">
        <v>0.67390000000000005</v>
      </c>
      <c r="R77" s="419">
        <v>0.35880000000000001</v>
      </c>
      <c r="S77" s="419">
        <v>0.32050000000000001</v>
      </c>
    </row>
    <row r="78" spans="2:19" ht="15" thickBot="1">
      <c r="K78" s="407" t="s">
        <v>1250</v>
      </c>
      <c r="L78" s="410">
        <v>-752.1</v>
      </c>
      <c r="M78" s="410">
        <v>-883.4</v>
      </c>
      <c r="N78" s="410">
        <v>-57.4</v>
      </c>
      <c r="O78" s="410">
        <v>-530</v>
      </c>
      <c r="P78" s="410">
        <v>105.9</v>
      </c>
      <c r="Q78" s="420">
        <v>227.9</v>
      </c>
      <c r="R78" s="420">
        <v>350.7</v>
      </c>
      <c r="S78" s="420">
        <v>524.6</v>
      </c>
    </row>
    <row r="79" spans="2:19" ht="15" thickBot="1">
      <c r="K79" s="409" t="s">
        <v>1247</v>
      </c>
      <c r="L79" s="411" t="s">
        <v>1248</v>
      </c>
      <c r="M79" s="412">
        <v>0.17460000000000001</v>
      </c>
      <c r="N79" s="412">
        <v>-0.93500000000000005</v>
      </c>
      <c r="O79" s="412">
        <v>8.2333999999999996</v>
      </c>
      <c r="P79" s="411" t="s">
        <v>1248</v>
      </c>
      <c r="Q79" s="419">
        <v>1.1516999999999999</v>
      </c>
      <c r="R79" s="419">
        <v>0.53910000000000002</v>
      </c>
      <c r="S79" s="419">
        <v>0.49590000000000001</v>
      </c>
    </row>
    <row r="80" spans="2:19" ht="29.4" thickBot="1">
      <c r="K80" s="407" t="s">
        <v>1251</v>
      </c>
      <c r="L80" s="410" t="s">
        <v>1248</v>
      </c>
      <c r="M80" s="410">
        <v>-32.68</v>
      </c>
      <c r="N80" s="410">
        <v>-51.64</v>
      </c>
      <c r="O80" s="410">
        <v>-19.739999999999998</v>
      </c>
      <c r="P80" s="410">
        <v>-26.22</v>
      </c>
      <c r="Q80" s="420">
        <v>-28.93</v>
      </c>
      <c r="R80" s="420">
        <v>-28.13</v>
      </c>
      <c r="S80" s="420">
        <v>-29.41</v>
      </c>
    </row>
    <row r="81" spans="11:19" ht="58.2" thickBot="1">
      <c r="K81" s="407" t="s">
        <v>1252</v>
      </c>
      <c r="L81" s="408">
        <v>-2600</v>
      </c>
      <c r="M81" s="408">
        <v>-1797</v>
      </c>
      <c r="N81" s="410">
        <v>-998.1</v>
      </c>
      <c r="O81" s="408">
        <v>-1579</v>
      </c>
      <c r="P81" s="410">
        <v>-331.7</v>
      </c>
      <c r="Q81" s="420">
        <v>-42.51</v>
      </c>
      <c r="R81" s="420">
        <v>42.99</v>
      </c>
      <c r="S81" s="420">
        <v>196.4</v>
      </c>
    </row>
    <row r="82" spans="11:19" ht="15" thickBot="1">
      <c r="K82" s="409" t="s">
        <v>1247</v>
      </c>
      <c r="L82" s="411" t="s">
        <v>1248</v>
      </c>
      <c r="M82" s="412">
        <v>-0.30869999999999997</v>
      </c>
      <c r="N82" s="412">
        <v>-0.44469999999999998</v>
      </c>
      <c r="O82" s="412">
        <v>0.58160000000000001</v>
      </c>
      <c r="P82" s="412">
        <v>-0.78990000000000005</v>
      </c>
      <c r="Q82" s="419">
        <v>0.87180000000000002</v>
      </c>
      <c r="R82" s="421" t="s">
        <v>1248</v>
      </c>
      <c r="S82" s="419">
        <v>3.5689000000000002</v>
      </c>
    </row>
    <row r="83" spans="11:19" ht="29.4" thickBot="1">
      <c r="K83" s="407" t="s">
        <v>1253</v>
      </c>
      <c r="L83" s="408">
        <v>-2602</v>
      </c>
      <c r="M83" s="408">
        <v>-1753</v>
      </c>
      <c r="N83" s="408">
        <v>-1009</v>
      </c>
      <c r="O83" s="408">
        <v>-1585</v>
      </c>
      <c r="P83" s="410">
        <v>-340.3</v>
      </c>
      <c r="Q83" s="420">
        <v>-41.74</v>
      </c>
      <c r="R83" s="420">
        <v>51.18</v>
      </c>
      <c r="S83" s="420">
        <v>176.4</v>
      </c>
    </row>
    <row r="84" spans="11:19" ht="15" thickBot="1">
      <c r="K84" s="409" t="s">
        <v>1247</v>
      </c>
      <c r="L84" s="411" t="s">
        <v>1248</v>
      </c>
      <c r="M84" s="412">
        <v>-0.32640000000000002</v>
      </c>
      <c r="N84" s="412">
        <v>-0.42420000000000002</v>
      </c>
      <c r="O84" s="412">
        <v>0.56979999999999997</v>
      </c>
      <c r="P84" s="412">
        <v>-0.78520000000000001</v>
      </c>
      <c r="Q84" s="419">
        <v>0.87739999999999996</v>
      </c>
      <c r="R84" s="421" t="s">
        <v>1248</v>
      </c>
      <c r="S84" s="419">
        <v>2.4460999999999999</v>
      </c>
    </row>
    <row r="85" spans="11:19" ht="19.2">
      <c r="K85" s="413" t="s">
        <v>1254</v>
      </c>
      <c r="L85" s="414">
        <v>44137</v>
      </c>
      <c r="M85" s="414">
        <v>44441</v>
      </c>
      <c r="N85" s="414">
        <v>44775</v>
      </c>
      <c r="O85" s="414">
        <v>45171</v>
      </c>
      <c r="P85" s="415" t="s">
        <v>1255</v>
      </c>
      <c r="Q85" s="422" t="s">
        <v>1248</v>
      </c>
      <c r="R85" s="422" t="s">
        <v>1248</v>
      </c>
      <c r="S85" s="423"/>
    </row>
  </sheetData>
  <mergeCells count="2">
    <mergeCell ref="E40:E41"/>
    <mergeCell ref="G40:G41"/>
  </mergeCell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48282-A1DE-46AC-946B-353933E4E791}">
  <dimension ref="A1:V84"/>
  <sheetViews>
    <sheetView topLeftCell="A22" workbookViewId="0">
      <selection activeCell="C36" sqref="C36"/>
    </sheetView>
  </sheetViews>
  <sheetFormatPr defaultRowHeight="14.4"/>
  <cols>
    <col min="3" max="3" width="51.33203125" bestFit="1" customWidth="1"/>
    <col min="13" max="15" width="10.33203125" bestFit="1" customWidth="1"/>
    <col min="16" max="16" width="9.109375" bestFit="1" customWidth="1"/>
    <col min="17" max="17" width="11.21875" bestFit="1" customWidth="1"/>
    <col min="18" max="18" width="9.5546875" bestFit="1" customWidth="1"/>
    <col min="19" max="21" width="9.109375" bestFit="1" customWidth="1"/>
    <col min="22" max="22" width="9.5546875" bestFit="1" customWidth="1"/>
    <col min="25" max="25" width="9.33203125" bestFit="1" customWidth="1"/>
  </cols>
  <sheetData>
    <row r="1" spans="1:19" ht="22.8">
      <c r="A1" s="425" t="s">
        <v>1235</v>
      </c>
      <c r="B1" s="426"/>
      <c r="C1" s="426"/>
      <c r="D1" s="426"/>
      <c r="E1" s="426"/>
      <c r="F1" s="426"/>
      <c r="G1" s="426"/>
      <c r="H1" s="426"/>
      <c r="I1" s="426"/>
      <c r="J1" s="426"/>
      <c r="K1" s="426"/>
      <c r="L1" s="426"/>
      <c r="M1" s="426"/>
    </row>
    <row r="2" spans="1:19">
      <c r="A2" s="427" t="str">
        <f>"(In "&amp;F10&amp;" Millions Except Per Share Data)"</f>
        <v>(In  Millions Except Per Share Data)</v>
      </c>
      <c r="B2" s="428"/>
      <c r="C2" s="428"/>
      <c r="D2" s="428"/>
      <c r="E2" s="426"/>
      <c r="F2" s="426"/>
      <c r="G2" s="426"/>
      <c r="H2" s="426"/>
      <c r="I2" s="426"/>
      <c r="J2" s="426"/>
      <c r="K2" s="426"/>
      <c r="L2" s="426"/>
      <c r="M2" s="426"/>
    </row>
    <row r="4" spans="1:19" ht="15" thickBot="1"/>
    <row r="5" spans="1:19">
      <c r="N5" s="341" t="s">
        <v>1197</v>
      </c>
      <c r="O5" s="342"/>
      <c r="P5" s="342"/>
      <c r="Q5" s="342"/>
      <c r="R5" s="342"/>
      <c r="S5" s="343"/>
    </row>
    <row r="6" spans="1:19">
      <c r="N6" s="317" t="s">
        <v>1259</v>
      </c>
      <c r="O6" s="318"/>
      <c r="P6" s="318"/>
      <c r="Q6" s="318"/>
      <c r="R6" s="318"/>
      <c r="S6" s="344"/>
    </row>
    <row r="7" spans="1:19" ht="15" thickBot="1">
      <c r="N7" s="317" t="s">
        <v>1260</v>
      </c>
      <c r="O7" s="318"/>
      <c r="P7" s="318"/>
      <c r="Q7" s="318"/>
      <c r="R7" s="318"/>
      <c r="S7" s="345">
        <v>45681</v>
      </c>
    </row>
    <row r="8" spans="1:19" ht="15" thickBot="1">
      <c r="B8" s="313" t="s">
        <v>1175</v>
      </c>
      <c r="C8" s="314"/>
      <c r="D8" s="315" t="s">
        <v>1176</v>
      </c>
      <c r="E8" s="315" t="s">
        <v>1177</v>
      </c>
      <c r="F8" s="315" t="s">
        <v>1178</v>
      </c>
      <c r="G8" s="316"/>
      <c r="N8" s="317" t="s">
        <v>1261</v>
      </c>
      <c r="O8" s="318"/>
      <c r="P8" s="318"/>
      <c r="Q8" s="318"/>
      <c r="R8" s="318"/>
      <c r="S8" s="346" t="s">
        <v>1258</v>
      </c>
    </row>
    <row r="9" spans="1:19">
      <c r="B9" s="317" t="s">
        <v>1179</v>
      </c>
      <c r="C9" s="318"/>
      <c r="D9" s="349">
        <f>4.71</f>
        <v>4.71</v>
      </c>
      <c r="E9" s="320"/>
      <c r="F9" s="320"/>
      <c r="G9" s="321"/>
      <c r="N9" s="317" t="s">
        <v>1262</v>
      </c>
      <c r="O9" s="318"/>
      <c r="P9" s="318"/>
      <c r="Q9" s="318"/>
      <c r="R9" s="318"/>
      <c r="S9" s="347">
        <v>45291</v>
      </c>
    </row>
    <row r="10" spans="1:19">
      <c r="B10" s="317" t="s">
        <v>1180</v>
      </c>
      <c r="C10" s="318"/>
      <c r="D10" s="320">
        <f>3981108/1000</f>
        <v>3981.1080000000002</v>
      </c>
      <c r="E10" s="320"/>
      <c r="F10" s="320"/>
      <c r="G10" s="322"/>
      <c r="N10" s="317" t="s">
        <v>1263</v>
      </c>
      <c r="O10" s="318"/>
      <c r="P10" s="318"/>
      <c r="Q10" s="318"/>
      <c r="R10" s="318"/>
      <c r="S10" s="347">
        <v>45199</v>
      </c>
    </row>
    <row r="11" spans="1:19">
      <c r="B11" s="317" t="s">
        <v>1181</v>
      </c>
      <c r="C11" s="318"/>
      <c r="D11" s="323">
        <f>D10+I40+P36</f>
        <v>4139.7446029723997</v>
      </c>
      <c r="E11" s="323"/>
      <c r="F11" s="323"/>
      <c r="G11" s="322"/>
      <c r="N11" s="317" t="s">
        <v>1264</v>
      </c>
      <c r="O11" s="318"/>
      <c r="P11" s="318"/>
      <c r="Q11" s="318"/>
      <c r="R11" s="318"/>
      <c r="S11" s="344" t="s">
        <v>1198</v>
      </c>
    </row>
    <row r="12" spans="1:19" ht="15" thickBot="1">
      <c r="B12" s="317" t="s">
        <v>1070</v>
      </c>
      <c r="C12" s="318"/>
      <c r="D12" s="323">
        <f>D11*D9</f>
        <v>19498.197080000002</v>
      </c>
      <c r="E12" s="323">
        <f t="shared" ref="E12:F12" si="0">E11*E9</f>
        <v>0</v>
      </c>
      <c r="F12" s="323">
        <f t="shared" si="0"/>
        <v>0</v>
      </c>
      <c r="G12" s="324">
        <f>D12+E12+F12</f>
        <v>19498.197080000002</v>
      </c>
      <c r="N12" s="338" t="s">
        <v>1120</v>
      </c>
      <c r="O12" s="339"/>
      <c r="P12" s="339"/>
      <c r="Q12" s="339"/>
      <c r="R12" s="339"/>
      <c r="S12" s="348">
        <v>0.16</v>
      </c>
    </row>
    <row r="13" spans="1:19">
      <c r="B13" s="317" t="s">
        <v>1182</v>
      </c>
      <c r="C13" s="318"/>
      <c r="D13" s="318"/>
      <c r="E13" s="325"/>
      <c r="F13" s="325"/>
      <c r="G13" s="326">
        <f>-38</f>
        <v>-38</v>
      </c>
    </row>
    <row r="14" spans="1:19">
      <c r="B14" s="327" t="s">
        <v>1183</v>
      </c>
      <c r="C14" s="318"/>
      <c r="D14" s="318"/>
      <c r="E14" s="325"/>
      <c r="F14" s="325"/>
      <c r="G14" s="324">
        <f>F15</f>
        <v>0</v>
      </c>
    </row>
    <row r="15" spans="1:19">
      <c r="B15" s="317"/>
      <c r="C15" s="318" t="s">
        <v>1184</v>
      </c>
      <c r="D15" s="318"/>
      <c r="E15" s="318"/>
      <c r="F15" s="328">
        <v>0</v>
      </c>
      <c r="G15" s="322"/>
    </row>
    <row r="16" spans="1:19">
      <c r="B16" s="317"/>
      <c r="C16" s="329" t="s">
        <v>1185</v>
      </c>
      <c r="D16" s="318"/>
      <c r="E16" s="318"/>
      <c r="F16" s="330">
        <v>0</v>
      </c>
      <c r="G16" s="322"/>
    </row>
    <row r="17" spans="2:16">
      <c r="B17" s="327" t="s">
        <v>1186</v>
      </c>
      <c r="C17" s="318"/>
      <c r="D17" s="318"/>
      <c r="E17" s="318"/>
      <c r="F17" s="325"/>
      <c r="G17" s="324">
        <f>F18+F19</f>
        <v>328</v>
      </c>
    </row>
    <row r="18" spans="2:16">
      <c r="B18" s="317"/>
      <c r="C18" s="329" t="s">
        <v>1187</v>
      </c>
      <c r="D18" s="329"/>
      <c r="E18" s="318"/>
      <c r="F18" s="328">
        <f>228+100</f>
        <v>328</v>
      </c>
      <c r="G18" s="322"/>
    </row>
    <row r="19" spans="2:16">
      <c r="B19" s="317"/>
      <c r="C19" s="329" t="s">
        <v>1188</v>
      </c>
      <c r="D19" s="329"/>
      <c r="E19" s="318"/>
      <c r="F19" s="330">
        <v>0</v>
      </c>
      <c r="G19" s="322"/>
    </row>
    <row r="20" spans="2:16">
      <c r="B20" s="327" t="s">
        <v>1189</v>
      </c>
      <c r="C20" s="318"/>
      <c r="D20" s="318"/>
      <c r="E20" s="318"/>
      <c r="F20" s="325"/>
      <c r="G20" s="322"/>
    </row>
    <row r="21" spans="2:16">
      <c r="B21" s="317"/>
      <c r="C21" s="318" t="s">
        <v>1190</v>
      </c>
      <c r="D21" s="318"/>
      <c r="E21" s="318"/>
      <c r="F21" s="325"/>
      <c r="G21" s="326">
        <v>0</v>
      </c>
    </row>
    <row r="22" spans="2:16">
      <c r="B22" s="317"/>
      <c r="C22" s="318" t="s">
        <v>1191</v>
      </c>
      <c r="D22" s="318"/>
      <c r="E22" s="318"/>
      <c r="F22" s="318"/>
      <c r="G22" s="326">
        <v>0</v>
      </c>
    </row>
    <row r="23" spans="2:16">
      <c r="B23" s="327" t="s">
        <v>1192</v>
      </c>
      <c r="C23" s="318"/>
      <c r="D23" s="318"/>
      <c r="E23" s="318"/>
      <c r="F23" s="325"/>
      <c r="G23" s="326">
        <f>2885</f>
        <v>2885</v>
      </c>
    </row>
    <row r="24" spans="2:16" ht="15" thickBot="1">
      <c r="B24" s="331" t="s">
        <v>1193</v>
      </c>
      <c r="C24" s="332"/>
      <c r="D24" s="332"/>
      <c r="E24" s="333"/>
      <c r="F24" s="333"/>
      <c r="G24" s="334">
        <f>G12+G13+G14+G17+G21+G22-G23</f>
        <v>16903.197080000002</v>
      </c>
    </row>
    <row r="25" spans="2:16">
      <c r="B25" s="335" t="s">
        <v>1194</v>
      </c>
      <c r="C25" s="336"/>
      <c r="D25" s="336"/>
      <c r="E25" s="337"/>
      <c r="F25" s="337"/>
      <c r="G25" s="429">
        <v>0</v>
      </c>
    </row>
    <row r="26" spans="2:16">
      <c r="B26" s="335" t="s">
        <v>1195</v>
      </c>
      <c r="C26" s="336"/>
      <c r="D26" s="336"/>
      <c r="E26" s="337"/>
      <c r="F26" s="337"/>
      <c r="G26" s="324">
        <f>G24-G25</f>
        <v>16903.197080000002</v>
      </c>
    </row>
    <row r="27" spans="2:16" ht="15" thickBot="1">
      <c r="B27" s="338" t="s">
        <v>1196</v>
      </c>
      <c r="C27" s="339"/>
      <c r="D27" s="339"/>
      <c r="E27" s="339"/>
      <c r="F27" s="339"/>
      <c r="G27" s="340">
        <f>G12/SUM(D11:F11)</f>
        <v>4.71</v>
      </c>
    </row>
    <row r="29" spans="2:16" ht="15" thickBot="1"/>
    <row r="30" spans="2:16" ht="15" thickBot="1">
      <c r="B30" s="313" t="s">
        <v>1199</v>
      </c>
      <c r="C30" s="314"/>
      <c r="D30" s="351"/>
      <c r="E30" s="351"/>
      <c r="F30" s="351"/>
      <c r="G30" s="351"/>
      <c r="H30" s="351"/>
      <c r="I30" s="351"/>
      <c r="K30" s="313" t="s">
        <v>1227</v>
      </c>
      <c r="L30" s="351"/>
      <c r="M30" s="351"/>
      <c r="N30" s="351"/>
      <c r="O30" s="351"/>
      <c r="P30" s="353"/>
    </row>
    <row r="31" spans="2:16" ht="15" thickBot="1">
      <c r="B31" s="318"/>
      <c r="C31" s="318"/>
      <c r="D31" s="318"/>
      <c r="E31" s="318"/>
      <c r="F31" s="318"/>
      <c r="G31" s="318"/>
      <c r="H31" s="318"/>
      <c r="I31" s="352"/>
      <c r="K31" s="366"/>
      <c r="L31" s="367"/>
      <c r="M31" s="367"/>
      <c r="N31" s="578" t="s">
        <v>1368</v>
      </c>
      <c r="O31" s="368"/>
      <c r="P31" s="580" t="s">
        <v>1369</v>
      </c>
    </row>
    <row r="32" spans="2:16" ht="15" thickBot="1">
      <c r="B32" s="318"/>
      <c r="C32" s="313" t="s">
        <v>1200</v>
      </c>
      <c r="D32" s="351"/>
      <c r="E32" s="351"/>
      <c r="F32" s="351"/>
      <c r="G32" s="351"/>
      <c r="H32" s="351"/>
      <c r="I32" s="353"/>
      <c r="K32" s="369" t="s">
        <v>1370</v>
      </c>
      <c r="L32" s="370" t="s">
        <v>1371</v>
      </c>
      <c r="M32" s="370" t="s">
        <v>1372</v>
      </c>
      <c r="N32" s="579"/>
      <c r="O32" s="371" t="s">
        <v>1373</v>
      </c>
      <c r="P32" s="577"/>
    </row>
    <row r="33" spans="2:17">
      <c r="B33" s="318"/>
      <c r="C33" s="354"/>
      <c r="D33" s="355" t="s">
        <v>1236</v>
      </c>
      <c r="E33" s="318"/>
      <c r="F33" s="356" t="s">
        <v>1237</v>
      </c>
      <c r="G33" s="356"/>
      <c r="H33" s="356"/>
      <c r="I33" s="357" t="s">
        <v>1238</v>
      </c>
      <c r="K33" s="317"/>
      <c r="L33" s="320"/>
      <c r="M33" s="320"/>
      <c r="N33" s="372"/>
      <c r="O33" s="373"/>
      <c r="P33" s="374"/>
    </row>
    <row r="34" spans="2:17" ht="15" thickBot="1">
      <c r="B34" s="318"/>
      <c r="C34" s="358" t="s">
        <v>1201</v>
      </c>
      <c r="D34" s="359" t="s">
        <v>1239</v>
      </c>
      <c r="E34" s="359" t="s">
        <v>1240</v>
      </c>
      <c r="F34" s="359" t="s">
        <v>1241</v>
      </c>
      <c r="G34" s="359" t="s">
        <v>1242</v>
      </c>
      <c r="H34" s="339" t="s">
        <v>1243</v>
      </c>
      <c r="I34" s="360" t="s">
        <v>1244</v>
      </c>
      <c r="K34" s="317"/>
      <c r="L34" s="320"/>
      <c r="M34" s="320"/>
      <c r="N34" s="372"/>
      <c r="O34" s="373"/>
      <c r="P34" s="374"/>
    </row>
    <row r="35" spans="2:17">
      <c r="B35" s="318"/>
      <c r="C35" s="361">
        <f>48592/1000</f>
        <v>48.591999999999999</v>
      </c>
      <c r="D35" s="319">
        <f>2.17</f>
        <v>2.17</v>
      </c>
      <c r="E35" s="362" t="str">
        <f>IF(D35&lt;D9,"Yes","N0")</f>
        <v>Yes</v>
      </c>
      <c r="F35" s="363">
        <f t="shared" ref="F35:F36" si="1">IF(E35="Yes",C35,0)</f>
        <v>48.591999999999999</v>
      </c>
      <c r="G35" s="323">
        <f>F35*D35</f>
        <v>105.44463999999999</v>
      </c>
      <c r="H35" s="401">
        <f>G35/D9</f>
        <v>22.387397027600848</v>
      </c>
      <c r="I35" s="364">
        <f t="shared" ref="I35" si="2">F35-H35</f>
        <v>26.204602972399151</v>
      </c>
      <c r="K35" s="317"/>
      <c r="L35" s="320"/>
      <c r="M35" s="320"/>
      <c r="N35" s="372"/>
      <c r="O35" s="375"/>
      <c r="P35" s="374"/>
    </row>
    <row r="36" spans="2:17" ht="15" thickBot="1">
      <c r="B36" s="318"/>
      <c r="C36" s="365">
        <f>132432/10^3</f>
        <v>132.43199999999999</v>
      </c>
      <c r="D36" s="349">
        <v>0</v>
      </c>
      <c r="E36" s="362" t="str">
        <f>IF(D36&lt;$D$9,"Yes","N0")</f>
        <v>Yes</v>
      </c>
      <c r="F36" s="323">
        <f t="shared" si="1"/>
        <v>132.43199999999999</v>
      </c>
      <c r="G36" s="323">
        <f>F36*D36</f>
        <v>0</v>
      </c>
      <c r="H36" s="363">
        <f>G36/D9</f>
        <v>0</v>
      </c>
      <c r="I36" s="364">
        <f>F36-H36</f>
        <v>132.43199999999999</v>
      </c>
      <c r="K36" s="338"/>
      <c r="L36" s="376"/>
      <c r="M36" s="376"/>
      <c r="N36" s="376"/>
      <c r="O36" s="377"/>
      <c r="P36" s="378"/>
    </row>
    <row r="37" spans="2:17">
      <c r="B37" s="318"/>
      <c r="C37" s="365"/>
      <c r="D37" s="349"/>
      <c r="E37" s="362"/>
      <c r="F37" s="363"/>
      <c r="G37" s="323"/>
      <c r="H37" s="363"/>
      <c r="I37" s="364"/>
    </row>
    <row r="38" spans="2:17">
      <c r="B38" s="318"/>
      <c r="C38" s="365"/>
      <c r="D38" s="349"/>
      <c r="E38" s="362"/>
      <c r="F38" s="363"/>
      <c r="G38" s="323"/>
      <c r="H38" s="363"/>
      <c r="I38" s="364"/>
    </row>
    <row r="39" spans="2:17">
      <c r="B39" s="318"/>
      <c r="C39" s="365"/>
      <c r="D39" s="349"/>
      <c r="E39" s="362"/>
      <c r="F39" s="363"/>
      <c r="G39" s="323"/>
      <c r="H39" s="363"/>
      <c r="I39" s="364"/>
    </row>
    <row r="40" spans="2:17" ht="15" thickBot="1">
      <c r="B40" s="318"/>
      <c r="C40" s="338"/>
      <c r="D40" s="339"/>
      <c r="E40" s="339"/>
      <c r="F40" s="339"/>
      <c r="G40" s="339"/>
      <c r="H40" s="339"/>
      <c r="I40" s="402">
        <f>SUM(I35:I39)</f>
        <v>158.63660297239915</v>
      </c>
    </row>
    <row r="43" spans="2:17">
      <c r="I43" t="s">
        <v>1245</v>
      </c>
    </row>
    <row r="44" spans="2:17" ht="27">
      <c r="B44" s="379" t="s">
        <v>1202</v>
      </c>
      <c r="C44" s="379"/>
      <c r="D44" s="379"/>
      <c r="E44" s="379"/>
      <c r="F44" s="379"/>
      <c r="G44" s="379"/>
      <c r="H44" s="379"/>
      <c r="I44" s="380" t="s">
        <v>1203</v>
      </c>
      <c r="J44" s="394" t="s">
        <v>1229</v>
      </c>
      <c r="K44" s="380" t="s">
        <v>1204</v>
      </c>
      <c r="L44" s="381" t="s">
        <v>1205</v>
      </c>
      <c r="M44" s="379" t="s">
        <v>1206</v>
      </c>
      <c r="N44" s="379" t="s">
        <v>1207</v>
      </c>
      <c r="O44" s="379" t="s">
        <v>1208</v>
      </c>
      <c r="P44" s="379"/>
      <c r="Q44" s="379" t="s">
        <v>1209</v>
      </c>
    </row>
    <row r="45" spans="2:17">
      <c r="B45" s="318"/>
      <c r="C45" s="318"/>
      <c r="D45" s="318"/>
      <c r="E45" s="318"/>
      <c r="F45" s="318"/>
      <c r="G45" s="318"/>
      <c r="H45" s="318"/>
      <c r="I45" s="318" t="s">
        <v>1210</v>
      </c>
      <c r="J45" s="318"/>
      <c r="K45" s="318"/>
      <c r="L45" s="318"/>
      <c r="M45" s="382">
        <v>45439</v>
      </c>
      <c r="N45" s="382">
        <f t="shared" ref="N45:O45" si="3">EDATE(M45,12)</f>
        <v>45804</v>
      </c>
      <c r="O45" s="382">
        <f t="shared" si="3"/>
        <v>46169</v>
      </c>
      <c r="P45" s="318"/>
      <c r="Q45" s="318"/>
    </row>
    <row r="46" spans="2:17">
      <c r="B46" s="318" t="s">
        <v>1211</v>
      </c>
      <c r="C46" s="318"/>
      <c r="D46" s="318"/>
      <c r="E46" s="318"/>
      <c r="F46" s="318"/>
      <c r="G46" s="318"/>
      <c r="H46" s="318"/>
      <c r="I46" s="257">
        <f>2359</f>
        <v>2359</v>
      </c>
      <c r="J46" s="257">
        <f>2033</f>
        <v>2033</v>
      </c>
      <c r="K46" s="383">
        <f>1706</f>
        <v>1706</v>
      </c>
      <c r="L46" s="384">
        <f>I46+J46-K46</f>
        <v>2686</v>
      </c>
      <c r="M46" s="320">
        <f>T61</f>
        <v>2803</v>
      </c>
      <c r="N46" s="320">
        <f>U61</f>
        <v>3401</v>
      </c>
      <c r="O46" s="320">
        <f>V61</f>
        <v>3935</v>
      </c>
      <c r="P46" s="385"/>
      <c r="Q46" s="386">
        <f>(O46/I46)^(1/3)-1</f>
        <v>0.18596607286681888</v>
      </c>
    </row>
    <row r="47" spans="2:17">
      <c r="B47" s="318"/>
      <c r="C47" s="318"/>
      <c r="D47" s="318"/>
      <c r="E47" s="318"/>
      <c r="F47" s="318"/>
      <c r="G47" s="318"/>
      <c r="H47" s="318"/>
      <c r="I47" s="325"/>
      <c r="J47" s="325"/>
      <c r="K47" s="325"/>
      <c r="L47" s="325"/>
      <c r="M47" s="318"/>
      <c r="N47" s="318"/>
      <c r="O47" s="318"/>
      <c r="P47" s="318"/>
      <c r="Q47" s="318"/>
    </row>
    <row r="48" spans="2:17">
      <c r="B48" s="318" t="s">
        <v>1212</v>
      </c>
      <c r="C48" s="318"/>
      <c r="D48" s="318"/>
      <c r="E48" s="318"/>
      <c r="F48" s="318"/>
      <c r="G48" s="318"/>
      <c r="H48" s="318"/>
      <c r="I48" s="320">
        <v>-466</v>
      </c>
      <c r="J48" s="320">
        <f>-(106)</f>
        <v>-106</v>
      </c>
      <c r="K48" s="320">
        <f>-(474)</f>
        <v>-474</v>
      </c>
      <c r="L48" s="384">
        <f>I48+J48-K48</f>
        <v>-98</v>
      </c>
      <c r="M48" s="318">
        <f>T65</f>
        <v>-168.8</v>
      </c>
      <c r="N48" s="318">
        <f>U65</f>
        <v>88.58</v>
      </c>
      <c r="O48" s="318">
        <f>V65</f>
        <v>438.4</v>
      </c>
      <c r="P48" s="318"/>
      <c r="Q48" s="318"/>
    </row>
    <row r="49" spans="2:22">
      <c r="B49" s="318" t="s">
        <v>1213</v>
      </c>
      <c r="C49" s="336"/>
      <c r="D49" s="336"/>
      <c r="E49" s="336"/>
      <c r="F49" s="336"/>
      <c r="G49" s="336"/>
      <c r="H49" s="336"/>
      <c r="I49" s="320">
        <v>0</v>
      </c>
      <c r="J49" s="320">
        <v>0</v>
      </c>
      <c r="K49" s="320">
        <v>0</v>
      </c>
      <c r="L49" s="337">
        <v>0</v>
      </c>
      <c r="M49" s="336">
        <v>0</v>
      </c>
      <c r="N49" s="336">
        <v>0</v>
      </c>
      <c r="O49" s="336"/>
      <c r="P49" s="336"/>
      <c r="Q49" s="336"/>
    </row>
    <row r="50" spans="2:22">
      <c r="B50" s="387" t="s">
        <v>1214</v>
      </c>
      <c r="C50" s="336"/>
      <c r="D50" s="336"/>
      <c r="E50" s="336"/>
      <c r="F50" s="336"/>
      <c r="G50" s="336"/>
      <c r="H50" s="336"/>
      <c r="I50" s="388">
        <f>I48+I49</f>
        <v>-466</v>
      </c>
      <c r="J50" s="388">
        <f>J48+J49</f>
        <v>-106</v>
      </c>
      <c r="K50" s="388">
        <f>K48+K49</f>
        <v>-474</v>
      </c>
      <c r="L50" s="384">
        <f>I50+J50-K50</f>
        <v>-98</v>
      </c>
      <c r="M50" s="320">
        <f>M48+M49</f>
        <v>-168.8</v>
      </c>
      <c r="N50" s="320">
        <f>N48+N49</f>
        <v>88.58</v>
      </c>
      <c r="O50" s="320">
        <f>O48+O49</f>
        <v>438.4</v>
      </c>
      <c r="P50" s="325"/>
      <c r="Q50" s="386"/>
    </row>
    <row r="51" spans="2:22">
      <c r="B51" s="318" t="s">
        <v>1215</v>
      </c>
      <c r="C51" s="318"/>
      <c r="D51" s="318"/>
      <c r="E51" s="318"/>
      <c r="F51" s="318"/>
      <c r="G51" s="318"/>
      <c r="H51" s="318"/>
      <c r="I51" s="320">
        <f>17+128</f>
        <v>145</v>
      </c>
      <c r="J51" s="320">
        <f>18+92</f>
        <v>110</v>
      </c>
      <c r="K51" s="320">
        <f>12+96</f>
        <v>108</v>
      </c>
      <c r="L51" s="325">
        <v>0</v>
      </c>
      <c r="M51" s="318"/>
      <c r="N51" s="318"/>
      <c r="O51" s="318"/>
      <c r="P51" s="318"/>
      <c r="Q51" s="318"/>
    </row>
    <row r="52" spans="2:22">
      <c r="B52" s="336" t="s">
        <v>1216</v>
      </c>
      <c r="C52" s="336"/>
      <c r="D52" s="336"/>
      <c r="E52" s="336"/>
      <c r="F52" s="336"/>
      <c r="G52" s="336"/>
      <c r="H52" s="336"/>
      <c r="I52" s="388">
        <f>I50+I51</f>
        <v>-321</v>
      </c>
      <c r="J52" s="388">
        <f>J50+J51</f>
        <v>4</v>
      </c>
      <c r="K52" s="388">
        <f>K50+K51</f>
        <v>-366</v>
      </c>
      <c r="L52" s="384">
        <f>I52+J52-K52</f>
        <v>49</v>
      </c>
      <c r="M52" s="320">
        <f>T63</f>
        <v>313.89999999999998</v>
      </c>
      <c r="N52" s="320">
        <f>U63</f>
        <v>490</v>
      </c>
      <c r="O52" s="320">
        <f>V63</f>
        <v>804.8</v>
      </c>
      <c r="P52" s="325"/>
      <c r="Q52" s="386"/>
    </row>
    <row r="53" spans="2:22">
      <c r="B53" s="318"/>
      <c r="C53" s="318"/>
      <c r="D53" s="318"/>
      <c r="E53" s="318"/>
      <c r="F53" s="318"/>
      <c r="G53" s="318"/>
      <c r="H53" s="318"/>
      <c r="I53" s="325"/>
      <c r="J53" s="325"/>
      <c r="K53" s="325"/>
      <c r="L53" s="325"/>
      <c r="M53" s="318"/>
      <c r="N53" s="318"/>
      <c r="O53" s="318"/>
      <c r="P53" s="318"/>
      <c r="Q53" s="318"/>
    </row>
    <row r="54" spans="2:22">
      <c r="B54" s="318" t="s">
        <v>1217</v>
      </c>
      <c r="C54" s="318"/>
      <c r="D54" s="318"/>
      <c r="E54" s="318"/>
      <c r="F54" s="318"/>
      <c r="G54" s="318"/>
      <c r="H54" s="318"/>
      <c r="I54" s="320">
        <f>-(485 )</f>
        <v>-485</v>
      </c>
      <c r="J54" s="320">
        <f>-169</f>
        <v>-169</v>
      </c>
      <c r="K54" s="320">
        <v>-496</v>
      </c>
      <c r="L54" s="384">
        <f>I54+J54-K54</f>
        <v>-158</v>
      </c>
      <c r="M54" s="445"/>
      <c r="N54" s="318"/>
      <c r="O54" s="318"/>
      <c r="P54" s="318"/>
      <c r="Q54" s="318"/>
    </row>
    <row r="55" spans="2:22">
      <c r="B55" s="318" t="s">
        <v>1218</v>
      </c>
      <c r="C55" s="318"/>
      <c r="D55" s="318"/>
      <c r="E55" s="318"/>
      <c r="F55" s="318"/>
      <c r="G55" s="318"/>
      <c r="H55" s="318"/>
      <c r="I55" s="323">
        <f>I49</f>
        <v>0</v>
      </c>
      <c r="J55" s="323">
        <v>0</v>
      </c>
      <c r="K55" s="323">
        <v>0</v>
      </c>
      <c r="L55" s="323">
        <v>0</v>
      </c>
      <c r="M55" s="323">
        <v>0</v>
      </c>
      <c r="N55" s="318"/>
      <c r="O55" s="318"/>
      <c r="P55" s="318"/>
      <c r="Q55" s="318"/>
    </row>
    <row r="56" spans="2:22">
      <c r="B56" s="318" t="s">
        <v>1219</v>
      </c>
      <c r="C56" s="318"/>
      <c r="D56" s="318"/>
      <c r="E56" s="318"/>
      <c r="F56" s="318"/>
      <c r="G56" s="318"/>
      <c r="H56" s="318"/>
      <c r="I56" s="320">
        <v>0</v>
      </c>
      <c r="J56" s="320">
        <v>0</v>
      </c>
      <c r="K56" s="320">
        <v>0</v>
      </c>
      <c r="L56" s="320">
        <v>0</v>
      </c>
      <c r="M56" s="320">
        <v>0</v>
      </c>
      <c r="N56" s="318"/>
      <c r="O56" s="318"/>
      <c r="P56" s="318"/>
      <c r="Q56" s="318"/>
    </row>
    <row r="57" spans="2:22">
      <c r="B57" s="318" t="s">
        <v>1220</v>
      </c>
      <c r="C57" s="318"/>
      <c r="D57" s="318"/>
      <c r="E57" s="318"/>
      <c r="F57" s="318"/>
      <c r="G57" s="318"/>
      <c r="H57" s="318"/>
      <c r="I57" s="363"/>
      <c r="J57" s="363"/>
      <c r="K57" s="323"/>
      <c r="L57" s="384">
        <f>I57+J57-K57</f>
        <v>0</v>
      </c>
      <c r="M57" s="318"/>
      <c r="N57" s="318"/>
      <c r="O57" s="318"/>
      <c r="P57" s="318"/>
      <c r="Q57" s="318"/>
    </row>
    <row r="58" spans="2:22">
      <c r="B58" s="318" t="s">
        <v>1221</v>
      </c>
      <c r="C58" s="318"/>
      <c r="D58" s="318"/>
      <c r="E58" s="318"/>
      <c r="F58" s="318"/>
      <c r="G58" s="318"/>
      <c r="H58" s="318"/>
      <c r="I58" s="320">
        <v>0</v>
      </c>
      <c r="J58" s="320">
        <v>0</v>
      </c>
      <c r="K58" s="320">
        <v>0</v>
      </c>
      <c r="L58" s="318"/>
      <c r="M58" s="318"/>
      <c r="N58" s="318"/>
      <c r="O58" s="318"/>
      <c r="P58" s="318"/>
      <c r="Q58" s="318"/>
    </row>
    <row r="59" spans="2:22">
      <c r="B59" s="336" t="s">
        <v>1222</v>
      </c>
      <c r="C59" s="318"/>
      <c r="D59" s="318"/>
      <c r="E59" s="318"/>
      <c r="F59" s="318"/>
      <c r="G59" s="318"/>
      <c r="H59" s="318"/>
      <c r="I59" s="388">
        <f>SUM(I54:I57)</f>
        <v>-485</v>
      </c>
      <c r="J59" s="388">
        <f>SUM(J54:J57)</f>
        <v>-169</v>
      </c>
      <c r="K59" s="388">
        <f>SUM(K54:K57)</f>
        <v>-496</v>
      </c>
      <c r="L59" s="384">
        <f>I59+J59-K59</f>
        <v>-158</v>
      </c>
      <c r="M59" s="318"/>
      <c r="N59" s="318"/>
      <c r="O59" s="318"/>
      <c r="P59" s="318"/>
      <c r="Q59" s="318"/>
    </row>
    <row r="60" spans="2:22" ht="15" thickBot="1">
      <c r="B60" s="318" t="s">
        <v>1223</v>
      </c>
      <c r="C60" s="318"/>
      <c r="D60" s="318"/>
      <c r="E60" s="318"/>
      <c r="F60" s="318"/>
      <c r="G60" s="318"/>
      <c r="H60" s="318"/>
      <c r="I60" s="320">
        <v>-51</v>
      </c>
      <c r="J60" s="320">
        <f>-(38)</f>
        <v>-38</v>
      </c>
      <c r="K60" s="320">
        <f>-27</f>
        <v>-27</v>
      </c>
      <c r="L60" s="318"/>
      <c r="M60" s="318"/>
      <c r="N60" s="318"/>
      <c r="O60" s="318"/>
      <c r="P60" s="318"/>
      <c r="Q60" s="318"/>
      <c r="T60" s="404">
        <v>2024</v>
      </c>
      <c r="U60" s="443">
        <v>2025</v>
      </c>
      <c r="V60" s="443">
        <v>2026</v>
      </c>
    </row>
    <row r="61" spans="2:22" ht="15" thickBot="1">
      <c r="B61" s="336" t="s">
        <v>1224</v>
      </c>
      <c r="C61" s="336"/>
      <c r="D61" s="336"/>
      <c r="E61" s="336"/>
      <c r="F61" s="336"/>
      <c r="G61" s="336"/>
      <c r="H61" s="336"/>
      <c r="I61" s="384">
        <f>I59-I60</f>
        <v>-434</v>
      </c>
      <c r="J61" s="384">
        <f>J59-J60</f>
        <v>-131</v>
      </c>
      <c r="K61" s="384">
        <f>K59-K60</f>
        <v>-469</v>
      </c>
      <c r="L61" s="384">
        <f>I61+J61-K61</f>
        <v>-96</v>
      </c>
      <c r="M61" s="320">
        <f>T70</f>
        <v>-115.1</v>
      </c>
      <c r="N61" s="320">
        <f>U70</f>
        <v>168.7</v>
      </c>
      <c r="O61" s="320">
        <f>V70</f>
        <v>427.8</v>
      </c>
      <c r="P61" s="325"/>
      <c r="Q61" s="386"/>
      <c r="T61" s="433">
        <v>2803</v>
      </c>
      <c r="U61" s="433">
        <v>3401</v>
      </c>
      <c r="V61" s="433">
        <v>3935</v>
      </c>
    </row>
    <row r="62" spans="2:22" ht="15" thickBot="1">
      <c r="B62" s="318"/>
      <c r="C62" s="318"/>
      <c r="D62" s="318"/>
      <c r="E62" s="318"/>
      <c r="F62" s="318"/>
      <c r="G62" s="318"/>
      <c r="H62" s="318"/>
      <c r="I62" s="325"/>
      <c r="J62" s="325"/>
      <c r="K62" s="325"/>
      <c r="L62" s="325"/>
      <c r="M62" s="318"/>
      <c r="N62" s="318"/>
      <c r="O62" s="318"/>
      <c r="P62" s="318"/>
      <c r="Q62" s="318"/>
      <c r="T62" s="437">
        <v>0.18840000000000001</v>
      </c>
      <c r="U62" s="437">
        <v>0.2132</v>
      </c>
      <c r="V62" s="437">
        <v>0.15709999999999999</v>
      </c>
    </row>
    <row r="63" spans="2:22" ht="15" thickBot="1">
      <c r="B63" s="318" t="s">
        <v>1225</v>
      </c>
      <c r="C63" s="318"/>
      <c r="D63" s="318"/>
      <c r="E63" s="318"/>
      <c r="F63" s="318"/>
      <c r="G63" s="318"/>
      <c r="H63" s="318"/>
      <c r="I63" s="257">
        <f>3894724/1000</f>
        <v>3894.7240000000002</v>
      </c>
      <c r="J63" s="257">
        <f>3981108/1000</f>
        <v>3981.1080000000002</v>
      </c>
      <c r="K63" s="320">
        <f>3887446/1000</f>
        <v>3887.4459999999999</v>
      </c>
      <c r="L63" s="384">
        <f>I63+J63-K63</f>
        <v>3988.3860000000004</v>
      </c>
      <c r="M63" s="445"/>
      <c r="N63" s="447"/>
      <c r="O63" s="318"/>
      <c r="P63" s="318"/>
      <c r="Q63" s="318"/>
      <c r="T63" s="438">
        <v>313.89999999999998</v>
      </c>
      <c r="U63" s="438">
        <v>490</v>
      </c>
      <c r="V63" s="438">
        <v>804.8</v>
      </c>
    </row>
    <row r="64" spans="2:22" ht="15" thickBot="1">
      <c r="B64" s="318" t="s">
        <v>1226</v>
      </c>
      <c r="C64" s="318"/>
      <c r="D64" s="318"/>
      <c r="E64" s="318"/>
      <c r="F64" s="318"/>
      <c r="G64" s="318"/>
      <c r="H64" s="318"/>
      <c r="I64" s="389">
        <f>I61/I63</f>
        <v>-0.11143279985950223</v>
      </c>
      <c r="J64" s="389">
        <f>J61/J63</f>
        <v>-3.2905412262113964E-2</v>
      </c>
      <c r="K64" s="389">
        <f>K61/K63</f>
        <v>-0.12064476265393784</v>
      </c>
      <c r="L64" s="384">
        <f>I64+J64-K64</f>
        <v>-2.3693449467678346E-2</v>
      </c>
      <c r="M64" s="446">
        <f>-0.0289</f>
        <v>-2.8899999999999999E-2</v>
      </c>
      <c r="N64" s="446">
        <v>4.6199999999999998E-2</v>
      </c>
      <c r="O64" s="448">
        <v>0.1074</v>
      </c>
      <c r="P64" s="318"/>
      <c r="Q64" s="386"/>
      <c r="T64" s="439" t="s">
        <v>1248</v>
      </c>
      <c r="U64" s="437">
        <v>0.56120000000000003</v>
      </c>
      <c r="V64" s="437">
        <v>0.64229999999999998</v>
      </c>
    </row>
    <row r="65" spans="12:22" ht="15" thickBot="1">
      <c r="T65" s="438">
        <v>-168.8</v>
      </c>
      <c r="U65" s="438">
        <v>88.58</v>
      </c>
      <c r="V65" s="438">
        <v>438.4</v>
      </c>
    </row>
    <row r="66" spans="12:22" ht="15" thickBot="1">
      <c r="T66" s="437">
        <v>0.67469999999999997</v>
      </c>
      <c r="U66" s="439" t="s">
        <v>1248</v>
      </c>
      <c r="V66" s="437">
        <v>3.9495</v>
      </c>
    </row>
    <row r="67" spans="12:22" ht="15" thickBot="1">
      <c r="T67" s="438">
        <v>-84.33</v>
      </c>
      <c r="U67" s="438">
        <v>-75.67</v>
      </c>
      <c r="V67" s="438">
        <v>-78</v>
      </c>
    </row>
    <row r="68" spans="12:22" ht="15" thickBot="1">
      <c r="T68" s="438">
        <v>-73.959999999999994</v>
      </c>
      <c r="U68" s="438">
        <v>195.4</v>
      </c>
      <c r="V68" s="438">
        <v>502.8</v>
      </c>
    </row>
    <row r="69" spans="12:22" ht="15" thickBot="1">
      <c r="L69" t="s">
        <v>1275</v>
      </c>
      <c r="M69" s="449" t="s">
        <v>1276</v>
      </c>
      <c r="T69" s="437">
        <v>0.84130000000000005</v>
      </c>
      <c r="U69" s="439" t="s">
        <v>1248</v>
      </c>
      <c r="V69" s="437">
        <v>1.5734999999999999</v>
      </c>
    </row>
    <row r="70" spans="12:22" ht="15" thickBot="1">
      <c r="T70" s="438">
        <v>-115.1</v>
      </c>
      <c r="U70" s="438">
        <v>168.7</v>
      </c>
      <c r="V70" s="438">
        <v>427.8</v>
      </c>
    </row>
    <row r="71" spans="12:22" ht="15" thickBot="1">
      <c r="T71" s="437">
        <v>0.7349</v>
      </c>
      <c r="U71" s="439" t="s">
        <v>1248</v>
      </c>
      <c r="V71" s="437">
        <v>1.5349999999999999</v>
      </c>
    </row>
    <row r="72" spans="12:22" ht="43.8" thickBot="1">
      <c r="O72" s="444" t="s">
        <v>1274</v>
      </c>
      <c r="P72" s="404">
        <v>2020</v>
      </c>
      <c r="Q72" s="404">
        <v>2021</v>
      </c>
      <c r="R72" s="404">
        <v>2022</v>
      </c>
      <c r="S72" s="404">
        <v>2023</v>
      </c>
      <c r="T72" s="441" t="s">
        <v>1248</v>
      </c>
      <c r="U72" s="441" t="s">
        <v>1248</v>
      </c>
      <c r="V72" s="443"/>
    </row>
    <row r="73" spans="12:22" ht="28.2" thickBot="1">
      <c r="O73" s="430" t="s">
        <v>1268</v>
      </c>
      <c r="P73" s="431">
        <v>469</v>
      </c>
      <c r="Q73" s="431">
        <v>675</v>
      </c>
      <c r="R73" s="432">
        <v>1433</v>
      </c>
      <c r="S73" s="432">
        <v>2359</v>
      </c>
    </row>
    <row r="74" spans="12:22" ht="15" thickBot="1">
      <c r="O74" s="434" t="s">
        <v>1247</v>
      </c>
      <c r="P74" s="435" t="s">
        <v>1248</v>
      </c>
      <c r="Q74" s="436">
        <v>0.43919999999999998</v>
      </c>
      <c r="R74" s="436">
        <v>1.123</v>
      </c>
      <c r="S74" s="436">
        <v>0.6462</v>
      </c>
    </row>
    <row r="75" spans="12:22" ht="15" thickBot="1">
      <c r="O75" s="430" t="s">
        <v>1269</v>
      </c>
      <c r="P75" s="431" t="s">
        <v>1248</v>
      </c>
      <c r="Q75" s="431">
        <v>-842</v>
      </c>
      <c r="R75" s="431">
        <v>-793</v>
      </c>
      <c r="S75" s="431">
        <v>-22</v>
      </c>
    </row>
    <row r="76" spans="12:22" ht="15" thickBot="1">
      <c r="O76" s="434" t="s">
        <v>1247</v>
      </c>
      <c r="P76" s="435" t="s">
        <v>1248</v>
      </c>
      <c r="Q76" s="435" t="s">
        <v>1248</v>
      </c>
      <c r="R76" s="436">
        <v>-5.8200000000000002E-2</v>
      </c>
      <c r="S76" s="436">
        <v>-0.97230000000000005</v>
      </c>
    </row>
    <row r="77" spans="12:22" ht="15" thickBot="1">
      <c r="O77" s="430" t="s">
        <v>1270</v>
      </c>
      <c r="P77" s="431" t="s">
        <v>1248</v>
      </c>
      <c r="Q77" s="432">
        <v>-1555</v>
      </c>
      <c r="R77" s="432">
        <v>-1373</v>
      </c>
      <c r="S77" s="431">
        <v>-519</v>
      </c>
    </row>
    <row r="78" spans="12:22" ht="15" thickBot="1">
      <c r="O78" s="434" t="s">
        <v>1247</v>
      </c>
      <c r="P78" s="435" t="s">
        <v>1248</v>
      </c>
      <c r="Q78" s="435" t="s">
        <v>1248</v>
      </c>
      <c r="R78" s="436">
        <v>-0.11700000000000001</v>
      </c>
      <c r="S78" s="436">
        <v>-0.622</v>
      </c>
    </row>
    <row r="79" spans="12:22" ht="28.2" thickBot="1">
      <c r="O79" s="430" t="s">
        <v>1271</v>
      </c>
      <c r="P79" s="431" t="s">
        <v>1248</v>
      </c>
      <c r="Q79" s="432">
        <v>-1989</v>
      </c>
      <c r="R79" s="431">
        <v>-353</v>
      </c>
      <c r="S79" s="431">
        <v>60</v>
      </c>
    </row>
    <row r="80" spans="12:22" ht="55.8" thickBot="1">
      <c r="O80" s="430" t="s">
        <v>1272</v>
      </c>
      <c r="P80" s="431" t="s">
        <v>1248</v>
      </c>
      <c r="Q80" s="432">
        <v>-3552</v>
      </c>
      <c r="R80" s="432">
        <v>-1734</v>
      </c>
      <c r="S80" s="431">
        <v>-466</v>
      </c>
    </row>
    <row r="81" spans="15:19" ht="15" thickBot="1">
      <c r="O81" s="434" t="s">
        <v>1247</v>
      </c>
      <c r="P81" s="435" t="s">
        <v>1248</v>
      </c>
      <c r="Q81" s="435" t="s">
        <v>1248</v>
      </c>
      <c r="R81" s="436">
        <v>-0.51180000000000003</v>
      </c>
      <c r="S81" s="436">
        <v>-0.73129999999999995</v>
      </c>
    </row>
    <row r="82" spans="15:19" ht="28.2" thickBot="1">
      <c r="O82" s="430" t="s">
        <v>1273</v>
      </c>
      <c r="P82" s="432">
        <v>-2608</v>
      </c>
      <c r="Q82" s="432">
        <v>-3449</v>
      </c>
      <c r="R82" s="432">
        <v>-1683</v>
      </c>
      <c r="S82" s="431">
        <v>-434</v>
      </c>
    </row>
    <row r="83" spans="15:19" ht="15" thickBot="1">
      <c r="O83" s="434" t="s">
        <v>1247</v>
      </c>
      <c r="P83" s="435" t="s">
        <v>1248</v>
      </c>
      <c r="Q83" s="436">
        <v>0.32250000000000001</v>
      </c>
      <c r="R83" s="436">
        <v>-0.51200000000000001</v>
      </c>
      <c r="S83" s="436">
        <v>-0.74209999999999998</v>
      </c>
    </row>
    <row r="84" spans="15:19" ht="27.6">
      <c r="O84" s="440" t="s">
        <v>1254</v>
      </c>
      <c r="P84" s="441" t="s">
        <v>1265</v>
      </c>
      <c r="Q84" s="442">
        <v>44623</v>
      </c>
      <c r="R84" s="441" t="s">
        <v>1266</v>
      </c>
      <c r="S84" s="441" t="s">
        <v>1267</v>
      </c>
    </row>
  </sheetData>
  <mergeCells count="2">
    <mergeCell ref="N31:N32"/>
    <mergeCell ref="P31:P32"/>
  </mergeCells>
  <hyperlinks>
    <hyperlink ref="M69" r:id="rId1" display="https://www.marketscreener.com/quote/stock/GRAB-HOLDINGS-LIMITED-130201011/finances/" xr:uid="{F18A486E-322C-4FD5-9010-AD311A0259CB}"/>
  </hyperlinks>
  <pageMargins left="0.7" right="0.7" top="0.75" bottom="0.75" header="0.3" footer="0.3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A210C-1006-447B-AAE3-A9A955817A3A}">
  <dimension ref="A9:T71"/>
  <sheetViews>
    <sheetView topLeftCell="I8" workbookViewId="0">
      <selection activeCell="X15" sqref="X15"/>
    </sheetView>
  </sheetViews>
  <sheetFormatPr defaultRowHeight="14.4"/>
  <cols>
    <col min="1" max="1" width="34.5546875" bestFit="1" customWidth="1"/>
    <col min="2" max="2" width="9.44140625" bestFit="1" customWidth="1"/>
    <col min="3" max="3" width="11.109375" bestFit="1" customWidth="1"/>
    <col min="4" max="4" width="17.6640625" customWidth="1"/>
    <col min="5" max="5" width="12.6640625" bestFit="1" customWidth="1"/>
    <col min="6" max="6" width="19" bestFit="1" customWidth="1"/>
    <col min="7" max="7" width="83.21875" bestFit="1" customWidth="1"/>
    <col min="8" max="8" width="14.77734375" bestFit="1" customWidth="1"/>
    <col min="11" max="11" width="13.5546875" bestFit="1" customWidth="1"/>
    <col min="12" max="12" width="41.44140625" bestFit="1" customWidth="1"/>
    <col min="13" max="13" width="11.21875" bestFit="1" customWidth="1"/>
    <col min="14" max="14" width="16.109375" bestFit="1" customWidth="1"/>
    <col min="15" max="15" width="24.21875" customWidth="1"/>
    <col min="16" max="16" width="11.21875" bestFit="1" customWidth="1"/>
  </cols>
  <sheetData>
    <row r="9" spans="1:16">
      <c r="B9" t="s">
        <v>1392</v>
      </c>
    </row>
    <row r="12" spans="1:16">
      <c r="B12" s="469"/>
      <c r="C12" s="581" t="s">
        <v>1309</v>
      </c>
      <c r="D12" s="582"/>
      <c r="E12" s="581" t="s">
        <v>1388</v>
      </c>
      <c r="F12" s="582"/>
      <c r="G12" s="583" t="s">
        <v>1182</v>
      </c>
      <c r="H12" s="583" t="s">
        <v>1310</v>
      </c>
      <c r="I12" s="583" t="s">
        <v>1311</v>
      </c>
      <c r="J12" s="583" t="s">
        <v>1312</v>
      </c>
      <c r="K12" s="583" t="s">
        <v>1313</v>
      </c>
      <c r="L12" s="585" t="s">
        <v>1408</v>
      </c>
      <c r="M12" s="582"/>
      <c r="N12" s="583" t="s">
        <v>1314</v>
      </c>
      <c r="O12" s="581" t="s">
        <v>1402</v>
      </c>
      <c r="P12" s="582"/>
    </row>
    <row r="13" spans="1:16">
      <c r="B13" s="469" t="s">
        <v>1315</v>
      </c>
      <c r="C13" s="469" t="s">
        <v>1316</v>
      </c>
      <c r="D13" s="469" t="s">
        <v>1317</v>
      </c>
      <c r="E13" s="469" t="s">
        <v>1316</v>
      </c>
      <c r="F13" s="469" t="s">
        <v>1317</v>
      </c>
      <c r="G13" s="584"/>
      <c r="H13" s="584"/>
      <c r="I13" s="584"/>
      <c r="J13" s="584"/>
      <c r="K13" s="584"/>
      <c r="L13" s="469" t="s">
        <v>1316</v>
      </c>
      <c r="M13" s="469" t="s">
        <v>1317</v>
      </c>
      <c r="N13" s="584"/>
      <c r="O13" s="469" t="s">
        <v>1316</v>
      </c>
      <c r="P13" s="469" t="s">
        <v>1317</v>
      </c>
    </row>
    <row r="14" spans="1:16">
      <c r="C14" s="470">
        <v>0.1</v>
      </c>
      <c r="D14" s="470">
        <v>0.1</v>
      </c>
      <c r="G14" s="471"/>
      <c r="H14" s="471"/>
      <c r="I14" s="471"/>
      <c r="J14" s="471"/>
      <c r="K14" s="471"/>
      <c r="N14" s="471"/>
    </row>
    <row r="15" spans="1:16">
      <c r="A15" s="468" t="s">
        <v>1318</v>
      </c>
      <c r="B15" s="567">
        <f>'Comps Output'!G17</f>
        <v>2.6085111559945076</v>
      </c>
      <c r="C15" s="534">
        <f>B15*0.9</f>
        <v>2.3476600403950569</v>
      </c>
      <c r="D15" s="472">
        <f>B15*(1+D14)</f>
        <v>2.8693622715939586</v>
      </c>
      <c r="E15" s="556">
        <f>C15*C51</f>
        <v>102660.82590643545</v>
      </c>
      <c r="F15" s="556">
        <f>D15*C51</f>
        <v>125474.34277453221</v>
      </c>
      <c r="G15" s="557">
        <f>IS!N26</f>
        <v>2599</v>
      </c>
      <c r="H15" s="473">
        <f>'Debt Schedule'!B11</f>
        <v>11599</v>
      </c>
      <c r="I15" s="473">
        <f>657</f>
        <v>657</v>
      </c>
      <c r="J15" s="473">
        <f>CFS!K38</f>
        <v>10079.121995884219</v>
      </c>
      <c r="K15" s="473">
        <f>BS!G9</f>
        <v>2913</v>
      </c>
      <c r="L15" s="474">
        <f>E15-G15-H15-I15+J15+K15</f>
        <v>100797.94790231966</v>
      </c>
      <c r="M15" s="474">
        <f>F15-G15-H15-I15+J15+K15</f>
        <v>123611.46477041644</v>
      </c>
      <c r="N15" s="475">
        <f>C35</f>
        <v>2051.3839222887063</v>
      </c>
      <c r="O15" s="476">
        <f>L15/N15</f>
        <v>49.136559376881785</v>
      </c>
      <c r="P15" s="476">
        <f>M15/N15</f>
        <v>60.257596555843378</v>
      </c>
    </row>
    <row r="16" spans="1:16">
      <c r="A16" s="468" t="s">
        <v>1319</v>
      </c>
      <c r="B16" s="567">
        <f>'Comps Output'!L17</f>
        <v>2.5009554855474292</v>
      </c>
      <c r="C16" s="534">
        <f>B16*0.9</f>
        <v>2.2508599369926863</v>
      </c>
      <c r="D16" s="472">
        <f>B16*(1+D14)</f>
        <v>2.7510510341021721</v>
      </c>
      <c r="E16" s="556">
        <f>C16*D51</f>
        <v>113528.87350203711</v>
      </c>
      <c r="F16" s="556">
        <f>D16*D51</f>
        <v>138757.51205804537</v>
      </c>
      <c r="G16" s="557">
        <f>IS!P26</f>
        <v>3831.143397218425</v>
      </c>
      <c r="H16" s="473">
        <f>'Debt Schedule'!C11</f>
        <v>10424</v>
      </c>
      <c r="I16" s="473">
        <f>657</f>
        <v>657</v>
      </c>
      <c r="J16" s="473">
        <f>CFS!M38</f>
        <v>16698.693229238357</v>
      </c>
      <c r="K16" s="473">
        <f>K15</f>
        <v>2913</v>
      </c>
      <c r="L16" s="474">
        <f>E16-G16-H16-I16+J16+K16</f>
        <v>118228.42333405704</v>
      </c>
      <c r="M16" s="474">
        <f>F16-G16-H16-I16+J16+K16</f>
        <v>143457.06189006529</v>
      </c>
      <c r="N16" s="475">
        <f>N15</f>
        <v>2051.3839222887063</v>
      </c>
      <c r="O16" s="476">
        <f>L16/N16</f>
        <v>57.63349417409438</v>
      </c>
      <c r="P16" s="476">
        <f>M16/N16</f>
        <v>69.931844708040728</v>
      </c>
    </row>
    <row r="17" spans="1:16">
      <c r="A17" s="468" t="s">
        <v>1320</v>
      </c>
      <c r="B17" s="567">
        <f>'Comps Output'!Q17</f>
        <v>2.0914349932308469</v>
      </c>
      <c r="C17" s="534">
        <f>B17*0.9</f>
        <v>1.8822914939077622</v>
      </c>
      <c r="D17" s="472">
        <f>B17*(1+D14)</f>
        <v>2.3005784925539317</v>
      </c>
      <c r="E17" s="556">
        <f>C17*E51</f>
        <v>109698.06597345047</v>
      </c>
      <c r="F17" s="556">
        <f>D17*E51</f>
        <v>134075.41396755059</v>
      </c>
      <c r="G17" s="557">
        <f>IS!Q26</f>
        <v>5595.8194698305997</v>
      </c>
      <c r="H17" s="473">
        <f>'Debt Schedule'!D11</f>
        <v>8899</v>
      </c>
      <c r="I17" s="473">
        <f>657</f>
        <v>657</v>
      </c>
      <c r="J17" s="473">
        <f>CFS!N38</f>
        <v>22617.44872729198</v>
      </c>
      <c r="K17" s="473">
        <f>K16</f>
        <v>2913</v>
      </c>
      <c r="L17" s="474">
        <f>E17-G17-H17-I17+J17+K17</f>
        <v>120076.69523091185</v>
      </c>
      <c r="M17" s="474">
        <f>F17-G17-H17-I17+J17+K17</f>
        <v>144454.04322501196</v>
      </c>
      <c r="N17" s="475">
        <f>N16</f>
        <v>2051.3839222887063</v>
      </c>
      <c r="O17" s="476">
        <f>L17/N17</f>
        <v>58.534481978850458</v>
      </c>
      <c r="P17" s="476">
        <f>M17/N17</f>
        <v>70.417848972827173</v>
      </c>
    </row>
    <row r="18" spans="1:16" ht="15" thickBot="1">
      <c r="A18" s="468"/>
      <c r="B18" s="560"/>
      <c r="C18" s="534"/>
      <c r="D18" s="534"/>
      <c r="E18" s="556"/>
      <c r="F18" s="501"/>
      <c r="G18" s="557"/>
      <c r="H18" s="502"/>
      <c r="I18" s="502"/>
      <c r="J18" s="502"/>
      <c r="K18" s="502"/>
      <c r="L18" s="474"/>
      <c r="M18" s="474"/>
      <c r="N18" s="475"/>
      <c r="O18" s="476"/>
      <c r="P18" s="476"/>
    </row>
    <row r="19" spans="1:16" ht="15" thickBot="1">
      <c r="F19" s="3" t="s">
        <v>1390</v>
      </c>
      <c r="G19" s="3" t="s">
        <v>1391</v>
      </c>
      <c r="L19" s="468" t="s">
        <v>1389</v>
      </c>
      <c r="O19" s="477">
        <f>MEDIAN(O15:O17)</f>
        <v>57.63349417409438</v>
      </c>
      <c r="P19" s="568">
        <f>MEDIAN(P15:P17)</f>
        <v>69.931844708040728</v>
      </c>
    </row>
    <row r="28" spans="1:16">
      <c r="O28" s="476"/>
      <c r="P28" s="476"/>
    </row>
    <row r="29" spans="1:16">
      <c r="O29" s="476"/>
      <c r="P29" s="476"/>
    </row>
    <row r="30" spans="1:16">
      <c r="N30" s="476"/>
      <c r="O30" s="476"/>
      <c r="P30" s="476"/>
    </row>
    <row r="32" spans="1:16">
      <c r="A32" s="555" t="s">
        <v>1387</v>
      </c>
      <c r="B32" s="478"/>
      <c r="C32" s="478"/>
    </row>
    <row r="34" spans="1:13">
      <c r="A34" s="468" t="s">
        <v>1321</v>
      </c>
      <c r="C34" s="558">
        <f>2035651/1000</f>
        <v>2035.6510000000001</v>
      </c>
    </row>
    <row r="35" spans="1:13">
      <c r="A35" s="468" t="s">
        <v>1322</v>
      </c>
      <c r="C35" s="559">
        <f>C34+H44</f>
        <v>2051.3839222887063</v>
      </c>
    </row>
    <row r="38" spans="1:13" ht="15" thickBot="1">
      <c r="A38" s="468" t="s">
        <v>1403</v>
      </c>
      <c r="C38" s="553">
        <v>66.849999999999994</v>
      </c>
    </row>
    <row r="39" spans="1:13" ht="15" thickBot="1">
      <c r="A39" s="586" t="s">
        <v>1323</v>
      </c>
      <c r="B39" s="587"/>
      <c r="C39" s="587"/>
      <c r="D39" s="587"/>
      <c r="E39" s="587"/>
      <c r="F39" s="587"/>
      <c r="G39" s="587"/>
      <c r="H39" s="588"/>
    </row>
    <row r="40" spans="1:13">
      <c r="A40" s="479"/>
      <c r="B40" s="355"/>
      <c r="C40" s="355" t="s">
        <v>1236</v>
      </c>
      <c r="D40" s="318"/>
      <c r="E40" s="356" t="s">
        <v>1237</v>
      </c>
      <c r="F40" s="356"/>
      <c r="G40" s="356"/>
      <c r="H40" s="357" t="s">
        <v>1238</v>
      </c>
      <c r="M40" s="468" t="s">
        <v>1127</v>
      </c>
    </row>
    <row r="41" spans="1:13" ht="15" thickBot="1">
      <c r="A41" s="480"/>
      <c r="B41" s="359" t="s">
        <v>1324</v>
      </c>
      <c r="C41" s="359" t="s">
        <v>1239</v>
      </c>
      <c r="D41" s="359" t="s">
        <v>1240</v>
      </c>
      <c r="E41" s="359" t="s">
        <v>1241</v>
      </c>
      <c r="F41" s="359" t="s">
        <v>1242</v>
      </c>
      <c r="G41" s="339" t="s">
        <v>1243</v>
      </c>
      <c r="H41" s="360" t="s">
        <v>1244</v>
      </c>
    </row>
    <row r="42" spans="1:13">
      <c r="A42" s="481"/>
      <c r="B42" s="554">
        <f>8319/1000</f>
        <v>8.3190000000000008</v>
      </c>
      <c r="C42" s="482">
        <v>13.41</v>
      </c>
      <c r="D42" s="483" t="str">
        <f>IF(C42&lt;$C$38,"Yes","No")</f>
        <v>Yes</v>
      </c>
      <c r="E42" s="484">
        <f t="shared" ref="E42:E43" si="0">IF(D42="Yes",B42,0)</f>
        <v>8.3190000000000008</v>
      </c>
      <c r="F42" s="485">
        <f>E42*C42</f>
        <v>111.55779000000001</v>
      </c>
      <c r="G42" s="484">
        <f>F42/$C$38</f>
        <v>1.6687777112939419</v>
      </c>
      <c r="H42" s="486">
        <f t="shared" ref="H42:H43" si="1">E42-G42</f>
        <v>6.6502222887060594</v>
      </c>
    </row>
    <row r="43" spans="1:13">
      <c r="A43" s="481"/>
      <c r="B43" s="554">
        <f>90827/10^4</f>
        <v>9.0827000000000009</v>
      </c>
      <c r="C43" s="482">
        <v>0</v>
      </c>
      <c r="D43" s="483" t="str">
        <f>IF(C43&lt;$C$38,"Yes","No")</f>
        <v>Yes</v>
      </c>
      <c r="E43" s="484">
        <f t="shared" si="0"/>
        <v>9.0827000000000009</v>
      </c>
      <c r="F43" s="485">
        <f t="shared" ref="F43" si="2">E43*C43</f>
        <v>0</v>
      </c>
      <c r="G43" s="484">
        <f>F43/$C$38</f>
        <v>0</v>
      </c>
      <c r="H43" s="486">
        <f t="shared" si="1"/>
        <v>9.0827000000000009</v>
      </c>
    </row>
    <row r="44" spans="1:13" ht="15" thickBot="1">
      <c r="A44" s="480"/>
      <c r="B44" s="339"/>
      <c r="C44" s="339"/>
      <c r="D44" s="339"/>
      <c r="E44" s="339"/>
      <c r="F44" s="339"/>
      <c r="G44" s="339"/>
      <c r="H44" s="487">
        <f>SUM(H42:H43)</f>
        <v>15.73292228870606</v>
      </c>
    </row>
    <row r="49" spans="1:20" ht="15" thickBot="1">
      <c r="C49" t="s">
        <v>1205</v>
      </c>
      <c r="D49" t="s">
        <v>1206</v>
      </c>
      <c r="E49" t="s">
        <v>1207</v>
      </c>
      <c r="L49" s="535" t="s">
        <v>1256</v>
      </c>
      <c r="M49" s="536">
        <v>2019</v>
      </c>
      <c r="N49" s="536">
        <v>2020</v>
      </c>
      <c r="O49" s="536">
        <v>2021</v>
      </c>
      <c r="P49" s="536">
        <v>2022</v>
      </c>
      <c r="Q49" s="536">
        <v>2023</v>
      </c>
    </row>
    <row r="50" spans="1:20" ht="15" thickBot="1">
      <c r="A50" s="488" t="s">
        <v>1064</v>
      </c>
      <c r="B50" s="489">
        <v>2023</v>
      </c>
      <c r="C50" s="489">
        <v>2024</v>
      </c>
      <c r="D50" s="489">
        <v>2025</v>
      </c>
      <c r="E50" s="489">
        <v>2026</v>
      </c>
      <c r="F50" s="490"/>
      <c r="G50" s="491"/>
      <c r="L50" s="537"/>
      <c r="M50" s="538"/>
      <c r="N50" s="538"/>
      <c r="O50" s="538"/>
      <c r="P50" s="538"/>
      <c r="Q50" s="538"/>
    </row>
    <row r="51" spans="1:20" ht="15" thickBot="1">
      <c r="A51" s="492" t="s">
        <v>1325</v>
      </c>
      <c r="B51" s="493">
        <f>37281</f>
        <v>37281</v>
      </c>
      <c r="C51" s="493">
        <f>R60</f>
        <v>43729</v>
      </c>
      <c r="D51" s="493">
        <f>S60</f>
        <v>50438</v>
      </c>
      <c r="E51" s="493">
        <f>T60</f>
        <v>58279</v>
      </c>
      <c r="G51" s="494"/>
      <c r="L51" s="539" t="s">
        <v>1379</v>
      </c>
      <c r="M51" s="540">
        <v>14147</v>
      </c>
      <c r="N51" s="540">
        <v>11139</v>
      </c>
      <c r="O51" s="540">
        <v>17455</v>
      </c>
      <c r="P51" s="540">
        <v>31877</v>
      </c>
      <c r="Q51" s="540">
        <v>37281</v>
      </c>
    </row>
    <row r="52" spans="1:20" ht="15" thickBot="1">
      <c r="A52" s="492" t="s">
        <v>1326</v>
      </c>
      <c r="B52" s="493">
        <f>Q53</f>
        <v>4052</v>
      </c>
      <c r="C52" s="493">
        <f>R62</f>
        <v>6465</v>
      </c>
      <c r="D52" s="493">
        <f>S62</f>
        <v>8503</v>
      </c>
      <c r="E52" s="493">
        <f>T62</f>
        <v>10873</v>
      </c>
      <c r="G52" s="495"/>
      <c r="L52" s="542" t="s">
        <v>1247</v>
      </c>
      <c r="M52" s="543" t="s">
        <v>1248</v>
      </c>
      <c r="N52" s="544">
        <v>-0.21260000000000001</v>
      </c>
      <c r="O52" s="544">
        <v>0.56699999999999995</v>
      </c>
      <c r="P52" s="544">
        <v>0.82620000000000005</v>
      </c>
      <c r="Q52" s="544">
        <v>0.16950000000000001</v>
      </c>
    </row>
    <row r="53" spans="1:20" ht="15" thickBot="1">
      <c r="A53" s="496" t="s">
        <v>1140</v>
      </c>
      <c r="B53" s="497">
        <f>Q55</f>
        <v>1110</v>
      </c>
      <c r="C53" s="497">
        <f>R64</f>
        <v>3219</v>
      </c>
      <c r="D53" s="497">
        <f>S64</f>
        <v>5684</v>
      </c>
      <c r="E53" s="497">
        <f>T64</f>
        <v>7969</v>
      </c>
      <c r="F53" s="498"/>
      <c r="G53" s="499"/>
      <c r="L53" s="539" t="s">
        <v>1380</v>
      </c>
      <c r="M53" s="540">
        <v>-2725</v>
      </c>
      <c r="N53" s="540">
        <v>-2528</v>
      </c>
      <c r="O53" s="546">
        <v>-774</v>
      </c>
      <c r="P53" s="540">
        <v>1713</v>
      </c>
      <c r="Q53" s="540">
        <v>4052</v>
      </c>
    </row>
    <row r="54" spans="1:20" ht="15" thickBot="1">
      <c r="A54" s="500" t="s">
        <v>1327</v>
      </c>
      <c r="F54" s="46" t="s">
        <v>1386</v>
      </c>
      <c r="L54" s="542" t="s">
        <v>1247</v>
      </c>
      <c r="M54" s="543" t="s">
        <v>1248</v>
      </c>
      <c r="N54" s="544">
        <v>-7.2300000000000003E-2</v>
      </c>
      <c r="O54" s="544">
        <v>-0.69379999999999997</v>
      </c>
      <c r="P54" s="543" t="s">
        <v>1248</v>
      </c>
      <c r="Q54" s="544">
        <v>1.3653999999999999</v>
      </c>
    </row>
    <row r="55" spans="1:20" ht="15" thickBot="1">
      <c r="L55" s="539" t="s">
        <v>1381</v>
      </c>
      <c r="M55" s="540">
        <v>-8596</v>
      </c>
      <c r="N55" s="540">
        <v>-4863</v>
      </c>
      <c r="O55" s="540">
        <v>-3834</v>
      </c>
      <c r="P55" s="540">
        <v>-1832</v>
      </c>
      <c r="Q55" s="540">
        <v>1110</v>
      </c>
    </row>
    <row r="56" spans="1:20" ht="15" thickBot="1">
      <c r="L56" s="542" t="s">
        <v>1247</v>
      </c>
      <c r="M56" s="543" t="s">
        <v>1248</v>
      </c>
      <c r="N56" s="544">
        <v>-0.43430000000000002</v>
      </c>
      <c r="O56" s="544">
        <v>-0.21160000000000001</v>
      </c>
      <c r="P56" s="544">
        <v>-0.5222</v>
      </c>
      <c r="Q56" s="543" t="s">
        <v>1248</v>
      </c>
    </row>
    <row r="57" spans="1:20" ht="15" thickBot="1">
      <c r="L57" s="539" t="s">
        <v>1382</v>
      </c>
      <c r="M57" s="546">
        <v>-559</v>
      </c>
      <c r="N57" s="546">
        <v>-458</v>
      </c>
      <c r="O57" s="546">
        <v>-483</v>
      </c>
      <c r="P57" s="546">
        <v>-565</v>
      </c>
      <c r="Q57" s="546">
        <v>-633</v>
      </c>
    </row>
    <row r="58" spans="1:20" ht="15" thickBot="1">
      <c r="L58" s="539" t="s">
        <v>1383</v>
      </c>
      <c r="M58" s="540">
        <v>-8433</v>
      </c>
      <c r="N58" s="540">
        <v>-6946</v>
      </c>
      <c r="O58" s="540">
        <v>-1025</v>
      </c>
      <c r="P58" s="540">
        <v>-9426</v>
      </c>
      <c r="Q58" s="540">
        <v>2321</v>
      </c>
      <c r="R58" s="536">
        <v>2024</v>
      </c>
      <c r="S58" s="536">
        <v>2025</v>
      </c>
      <c r="T58" s="536">
        <v>2026</v>
      </c>
    </row>
    <row r="59" spans="1:20" ht="15" thickBot="1">
      <c r="L59" s="542" t="s">
        <v>1247</v>
      </c>
      <c r="M59" s="543" t="s">
        <v>1248</v>
      </c>
      <c r="N59" s="544">
        <v>-0.17630000000000001</v>
      </c>
      <c r="O59" s="544">
        <v>-0.85240000000000005</v>
      </c>
      <c r="P59" s="544">
        <v>8.1960999999999995</v>
      </c>
      <c r="Q59" s="543" t="s">
        <v>1248</v>
      </c>
      <c r="R59" s="538"/>
      <c r="S59" s="538"/>
      <c r="T59" s="538"/>
    </row>
    <row r="60" spans="1:20" ht="15" thickBot="1">
      <c r="L60" s="539" t="s">
        <v>1384</v>
      </c>
      <c r="M60" s="540">
        <v>-8506</v>
      </c>
      <c r="N60" s="540">
        <v>-6768</v>
      </c>
      <c r="O60" s="546">
        <v>-496</v>
      </c>
      <c r="P60" s="540">
        <v>-9141</v>
      </c>
      <c r="Q60" s="540">
        <v>1887</v>
      </c>
      <c r="R60" s="541">
        <v>43729</v>
      </c>
      <c r="S60" s="541">
        <v>50438</v>
      </c>
      <c r="T60" s="541">
        <v>58279</v>
      </c>
    </row>
    <row r="61" spans="1:20" ht="15" thickBot="1">
      <c r="L61" s="542" t="s">
        <v>1247</v>
      </c>
      <c r="M61" s="543" t="s">
        <v>1248</v>
      </c>
      <c r="N61" s="544">
        <v>-0.20430000000000001</v>
      </c>
      <c r="O61" s="544">
        <v>-0.92669999999999997</v>
      </c>
      <c r="P61" s="544">
        <v>17.429400000000001</v>
      </c>
      <c r="Q61" s="543" t="s">
        <v>1248</v>
      </c>
      <c r="R61" s="545">
        <v>0.17299999999999999</v>
      </c>
      <c r="S61" s="545">
        <v>0.15340000000000001</v>
      </c>
      <c r="T61" s="545">
        <v>0.1555</v>
      </c>
    </row>
    <row r="62" spans="1:20" ht="15" thickBot="1">
      <c r="L62" s="548" t="s">
        <v>1254</v>
      </c>
      <c r="M62" s="549">
        <v>43984</v>
      </c>
      <c r="N62" s="549">
        <v>44471</v>
      </c>
      <c r="O62" s="549">
        <v>44806</v>
      </c>
      <c r="P62" s="549">
        <v>45140</v>
      </c>
      <c r="Q62" s="549">
        <v>45475</v>
      </c>
      <c r="R62" s="541">
        <v>6465</v>
      </c>
      <c r="S62" s="541">
        <v>8503</v>
      </c>
      <c r="T62" s="541">
        <v>10873</v>
      </c>
    </row>
    <row r="63" spans="1:20" ht="15" thickBot="1">
      <c r="L63" s="551" t="s">
        <v>1385</v>
      </c>
      <c r="R63" s="545">
        <v>0.59560000000000002</v>
      </c>
      <c r="S63" s="545">
        <v>0.31509999999999999</v>
      </c>
      <c r="T63" s="545">
        <v>0.27879999999999999</v>
      </c>
    </row>
    <row r="64" spans="1:20" ht="15" thickBot="1">
      <c r="L64" s="552" t="s">
        <v>1355</v>
      </c>
      <c r="R64" s="541">
        <v>3219</v>
      </c>
      <c r="S64" s="541">
        <v>5684</v>
      </c>
      <c r="T64" s="541">
        <v>7969</v>
      </c>
    </row>
    <row r="65" spans="18:20" ht="15" thickBot="1">
      <c r="R65" s="545">
        <v>1.9003000000000001</v>
      </c>
      <c r="S65" s="545">
        <v>0.76549999999999996</v>
      </c>
      <c r="T65" s="545">
        <v>0.40210000000000001</v>
      </c>
    </row>
    <row r="66" spans="18:20" ht="15" thickBot="1">
      <c r="R66" s="547">
        <v>-548.6</v>
      </c>
      <c r="S66" s="547">
        <v>-529.1</v>
      </c>
      <c r="T66" s="547">
        <v>-465.5</v>
      </c>
    </row>
    <row r="67" spans="18:20" ht="15" thickBot="1">
      <c r="R67" s="541">
        <v>4364</v>
      </c>
      <c r="S67" s="541">
        <v>5639</v>
      </c>
      <c r="T67" s="541">
        <v>8137</v>
      </c>
    </row>
    <row r="68" spans="18:20" ht="15" thickBot="1">
      <c r="R68" s="545">
        <v>0.88009999999999999</v>
      </c>
      <c r="S68" s="545">
        <v>0.29220000000000002</v>
      </c>
      <c r="T68" s="545">
        <v>0.443</v>
      </c>
    </row>
    <row r="69" spans="18:20" ht="15" thickBot="1">
      <c r="R69" s="541">
        <v>3931</v>
      </c>
      <c r="S69" s="541">
        <v>4989</v>
      </c>
      <c r="T69" s="541">
        <v>6835</v>
      </c>
    </row>
    <row r="70" spans="18:20" ht="15" thickBot="1">
      <c r="R70" s="545">
        <v>1.0831</v>
      </c>
      <c r="S70" s="545">
        <v>0.26929999999999998</v>
      </c>
      <c r="T70" s="545">
        <v>0.36990000000000001</v>
      </c>
    </row>
    <row r="71" spans="18:20">
      <c r="R71" s="550" t="s">
        <v>1248</v>
      </c>
      <c r="S71" s="550" t="s">
        <v>1248</v>
      </c>
      <c r="T71" s="550" t="s">
        <v>1248</v>
      </c>
    </row>
  </sheetData>
  <mergeCells count="11">
    <mergeCell ref="A39:H39"/>
    <mergeCell ref="C12:D12"/>
    <mergeCell ref="E12:F12"/>
    <mergeCell ref="G12:G13"/>
    <mergeCell ref="H12:H13"/>
    <mergeCell ref="O12:P12"/>
    <mergeCell ref="I12:I13"/>
    <mergeCell ref="J12:J13"/>
    <mergeCell ref="K12:K13"/>
    <mergeCell ref="L12:M12"/>
    <mergeCell ref="N12:N13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5ECD2-E971-413E-BC01-A10BDE51D622}">
  <dimension ref="A1:U22"/>
  <sheetViews>
    <sheetView topLeftCell="C4" workbookViewId="0">
      <selection activeCell="K14" sqref="K14"/>
    </sheetView>
  </sheetViews>
  <sheetFormatPr defaultRowHeight="14.4"/>
  <cols>
    <col min="1" max="1" width="42.109375" bestFit="1" customWidth="1"/>
    <col min="4" max="4" width="11.21875" bestFit="1" customWidth="1"/>
    <col min="5" max="5" width="10.44140625" bestFit="1" customWidth="1"/>
    <col min="6" max="6" width="22.44140625" customWidth="1"/>
    <col min="7" max="7" width="12.21875" bestFit="1" customWidth="1"/>
    <col min="8" max="8" width="12.6640625" bestFit="1" customWidth="1"/>
    <col min="9" max="9" width="14.5546875" customWidth="1"/>
    <col min="20" max="20" width="8.88671875" customWidth="1"/>
    <col min="22" max="22" width="15.5546875" customWidth="1"/>
  </cols>
  <sheetData>
    <row r="1" spans="1:21" ht="21">
      <c r="A1" s="450" t="s">
        <v>1277</v>
      </c>
    </row>
    <row r="2" spans="1:21">
      <c r="A2" s="46" t="s">
        <v>1278</v>
      </c>
    </row>
    <row r="5" spans="1:21">
      <c r="F5" t="s">
        <v>1378</v>
      </c>
    </row>
    <row r="6" spans="1:21">
      <c r="A6" s="46" t="s">
        <v>1279</v>
      </c>
      <c r="C6" s="451" t="s">
        <v>1286</v>
      </c>
    </row>
    <row r="7" spans="1:21">
      <c r="A7" s="46" t="s">
        <v>1280</v>
      </c>
      <c r="C7" s="451" t="s">
        <v>1281</v>
      </c>
    </row>
    <row r="8" spans="1:21">
      <c r="A8" s="46" t="s">
        <v>1282</v>
      </c>
      <c r="C8" s="451" t="s">
        <v>1198</v>
      </c>
    </row>
    <row r="11" spans="1:21">
      <c r="B11" s="458" t="s">
        <v>1285</v>
      </c>
      <c r="C11" s="452"/>
      <c r="D11" t="s">
        <v>1365</v>
      </c>
      <c r="E11" t="s">
        <v>1367</v>
      </c>
      <c r="F11" t="s">
        <v>1366</v>
      </c>
      <c r="G11" t="s">
        <v>1374</v>
      </c>
      <c r="H11" t="s">
        <v>1375</v>
      </c>
      <c r="I11" t="s">
        <v>1376</v>
      </c>
      <c r="J11" t="s">
        <v>1377</v>
      </c>
      <c r="L11" t="s">
        <v>1301</v>
      </c>
      <c r="M11" t="s">
        <v>1302</v>
      </c>
      <c r="N11" t="s">
        <v>1303</v>
      </c>
      <c r="O11" t="s">
        <v>1304</v>
      </c>
      <c r="Q11" t="s">
        <v>1305</v>
      </c>
      <c r="R11" t="s">
        <v>1306</v>
      </c>
      <c r="S11" t="s">
        <v>1307</v>
      </c>
      <c r="T11" t="s">
        <v>1308</v>
      </c>
    </row>
    <row r="12" spans="1:21">
      <c r="A12" s="451"/>
      <c r="B12" s="589" t="s">
        <v>1264</v>
      </c>
      <c r="C12" s="589" t="s">
        <v>1283</v>
      </c>
      <c r="D12" s="451"/>
      <c r="E12" s="451"/>
      <c r="F12" s="451"/>
      <c r="G12" s="590" t="s">
        <v>1287</v>
      </c>
      <c r="H12" s="591"/>
      <c r="I12" s="591"/>
      <c r="J12" s="591"/>
      <c r="L12" s="590" t="s">
        <v>1288</v>
      </c>
      <c r="M12" s="591"/>
      <c r="N12" s="591"/>
      <c r="O12" s="591"/>
      <c r="P12" s="455"/>
      <c r="Q12" s="592" t="s">
        <v>1289</v>
      </c>
      <c r="R12" s="591"/>
      <c r="S12" s="591"/>
      <c r="T12" s="591"/>
      <c r="U12" s="456"/>
    </row>
    <row r="13" spans="1:21">
      <c r="A13" s="453" t="s">
        <v>1284</v>
      </c>
      <c r="B13" s="571"/>
      <c r="C13" s="571"/>
      <c r="D13" s="457" t="s">
        <v>1290</v>
      </c>
      <c r="E13" s="457" t="s">
        <v>1070</v>
      </c>
      <c r="F13" s="457" t="s">
        <v>1291</v>
      </c>
      <c r="G13" s="457" t="s">
        <v>1292</v>
      </c>
      <c r="H13" s="457" t="s">
        <v>1293</v>
      </c>
      <c r="I13" s="457" t="s">
        <v>1294</v>
      </c>
      <c r="J13" s="457" t="s">
        <v>1295</v>
      </c>
      <c r="K13" s="455"/>
      <c r="L13" s="457" t="s">
        <v>1292</v>
      </c>
      <c r="M13" s="457" t="s">
        <v>1293</v>
      </c>
      <c r="N13" s="457" t="s">
        <v>1294</v>
      </c>
      <c r="O13" s="457" t="s">
        <v>1295</v>
      </c>
      <c r="P13" s="455"/>
      <c r="Q13" s="457" t="s">
        <v>1292</v>
      </c>
      <c r="R13" s="457" t="s">
        <v>1293</v>
      </c>
      <c r="S13" s="457" t="s">
        <v>1294</v>
      </c>
      <c r="T13" s="457" t="s">
        <v>1295</v>
      </c>
      <c r="U13" s="451" t="s">
        <v>1296</v>
      </c>
    </row>
    <row r="14" spans="1:21">
      <c r="A14" s="46" t="s">
        <v>1258</v>
      </c>
      <c r="B14" s="46" t="str">
        <f ca="1">INDIRECT($A14&amp;"!"&amp;B$11)</f>
        <v>USD</v>
      </c>
      <c r="C14" s="454">
        <v>1</v>
      </c>
      <c r="D14">
        <f>LYFT!$F$24</f>
        <v>13.6</v>
      </c>
      <c r="E14">
        <f>LYFT!$F$9</f>
        <v>5948.5071093400002</v>
      </c>
      <c r="F14" s="12">
        <f>LYFT!$F$23</f>
        <v>4324.337109340001</v>
      </c>
      <c r="G14">
        <f>F14/LYFT!$L$51</f>
        <v>0.79195613837933454</v>
      </c>
      <c r="H14">
        <f>F14/LYFT!L57</f>
        <v>49.129028735969101</v>
      </c>
      <c r="I14">
        <f>F14/LYFT!L55</f>
        <v>-74.133187775834898</v>
      </c>
      <c r="J14">
        <f>E14/LYFT!L66</f>
        <v>-91.156477708409994</v>
      </c>
      <c r="L14">
        <f>F14/LYFT!M51</f>
        <v>0.74737938287936412</v>
      </c>
      <c r="M14">
        <f>F14/LYFT!M57</f>
        <v>11.615195029116306</v>
      </c>
      <c r="N14">
        <f>F14/LYFT!M55</f>
        <v>18.974713073014485</v>
      </c>
      <c r="O14">
        <f>E14/LYFT!M66</f>
        <v>-142.51334713320554</v>
      </c>
      <c r="Q14">
        <f>F14/LYFT!N51</f>
        <v>0.64978769486701748</v>
      </c>
      <c r="R14">
        <f>F14/LYFT!N57</f>
        <v>8.5478100599723295</v>
      </c>
      <c r="S14">
        <f>F14/LYFT!N55</f>
        <v>12.330587708411752</v>
      </c>
      <c r="T14">
        <f>E14/LYFT!M66</f>
        <v>-142.51334713320554</v>
      </c>
    </row>
    <row r="15" spans="1:21">
      <c r="A15" s="46" t="s">
        <v>1230</v>
      </c>
      <c r="B15" s="46" t="str">
        <f ca="1">INDIRECT($A15&amp;"!"&amp;B$11)</f>
        <v>USD</v>
      </c>
      <c r="C15" s="454">
        <v>1</v>
      </c>
      <c r="D15">
        <f>GRAB!$G$27</f>
        <v>4.71</v>
      </c>
      <c r="E15">
        <f>GRAB!$G$12</f>
        <v>19498.197080000002</v>
      </c>
      <c r="F15" s="12">
        <f>GRAB!$G$26</f>
        <v>16903.197080000002</v>
      </c>
      <c r="G15">
        <f>F15/GRAB!L46</f>
        <v>6.293074117647059</v>
      </c>
      <c r="H15">
        <f>F15/GRAB!L52</f>
        <v>344.96320571428578</v>
      </c>
      <c r="I15">
        <f>F15/GRAB!L50</f>
        <v>-172.48160285714289</v>
      </c>
      <c r="J15">
        <f>E15/GRAB!L61</f>
        <v>-203.10621958333334</v>
      </c>
      <c r="L15">
        <f>F15/GRAB!M46</f>
        <v>6.0303949625401359</v>
      </c>
      <c r="M15">
        <f>F15/GRAB!M52</f>
        <v>53.848987193373695</v>
      </c>
      <c r="N15">
        <f>F15/GRAB!M50</f>
        <v>-100.13742345971565</v>
      </c>
      <c r="O15">
        <f>E15/GRAB!M61</f>
        <v>-169.40223353605563</v>
      </c>
      <c r="Q15">
        <f>F15/GRAB!N46</f>
        <v>4.970066768597472</v>
      </c>
      <c r="R15">
        <f>F15/GRAB!N52</f>
        <v>34.496320571428576</v>
      </c>
      <c r="S15">
        <f>F15/GRAB!O50</f>
        <v>38.556562682481761</v>
      </c>
      <c r="T15">
        <f>J15/GRAB!N61</f>
        <v>-1.2039491380162024</v>
      </c>
    </row>
    <row r="16" spans="1:21" ht="15" thickBot="1">
      <c r="A16" s="46" t="s">
        <v>1341</v>
      </c>
      <c r="B16" s="46" t="s">
        <v>1361</v>
      </c>
      <c r="C16" s="531"/>
      <c r="D16">
        <f>DIDI!D6</f>
        <v>4.66</v>
      </c>
      <c r="E16">
        <f>DIDI!G9</f>
        <v>183634.52450052003</v>
      </c>
      <c r="F16" s="12">
        <f>DIDI!G23</f>
        <v>150546.52450052003</v>
      </c>
      <c r="G16">
        <f>F16/DIDI!M41</f>
        <v>0.7405032119571282</v>
      </c>
      <c r="H16">
        <f>F16/DIDI!M47</f>
        <v>-45.201863632998638</v>
      </c>
      <c r="I16">
        <f>F16/DIDI!M45</f>
        <v>-21.792473324125908</v>
      </c>
      <c r="J16">
        <f>E16/DIDI!M56</f>
        <v>16.790268129350732</v>
      </c>
      <c r="L16">
        <f>F16/DIDI!N41</f>
        <v>0.72509211122278749</v>
      </c>
      <c r="M16">
        <f>F16/DIDI!N47</f>
        <v>23.315243069617473</v>
      </c>
      <c r="N16">
        <f>F16/DIDI!N45</f>
        <v>85.489224588597409</v>
      </c>
      <c r="O16">
        <f>E16/DIDI!N56</f>
        <v>81.074845254092722</v>
      </c>
      <c r="Q16">
        <f>F16/DIDI!O41</f>
        <v>0.65445051622805239</v>
      </c>
      <c r="R16">
        <f>F16/DIDI!O47</f>
        <v>13.259338074733137</v>
      </c>
      <c r="S16">
        <f>F16/DIDI!O45</f>
        <v>22.89332793499392</v>
      </c>
      <c r="T16">
        <f>E16/DIDI!O56</f>
        <v>24.60269620853698</v>
      </c>
    </row>
    <row r="17" spans="1:20" ht="15" thickBot="1">
      <c r="A17" s="46"/>
      <c r="B17" s="46"/>
      <c r="C17" s="454"/>
      <c r="E17" s="467"/>
      <c r="F17" s="459" t="s">
        <v>1297</v>
      </c>
      <c r="G17" s="460">
        <f>AVERAGE(G14:G16)</f>
        <v>2.6085111559945076</v>
      </c>
      <c r="H17" s="460">
        <f>AVERAGE(H14:H16)</f>
        <v>116.29679027241873</v>
      </c>
      <c r="I17" s="460">
        <f>AVERAGE(I14:I16)</f>
        <v>-89.469087985701222</v>
      </c>
      <c r="J17" s="460">
        <f>AVERAGE(J14:J16)</f>
        <v>-92.490809720797529</v>
      </c>
      <c r="K17" s="461"/>
      <c r="L17" s="460">
        <f>AVERAGE(L14:L16)</f>
        <v>2.5009554855474292</v>
      </c>
      <c r="M17" s="460">
        <f>AVERAGE(M14:M16)</f>
        <v>29.593141764035824</v>
      </c>
      <c r="N17" s="460">
        <f>AVERAGE(N14:N16)</f>
        <v>1.4421714006320816</v>
      </c>
      <c r="O17" s="460">
        <f>AVERAGE(O14:O16)</f>
        <v>-76.94691180505616</v>
      </c>
      <c r="P17" s="461"/>
      <c r="Q17" s="566">
        <f>AVERAGE(Q14:Q16)</f>
        <v>2.0914349932308469</v>
      </c>
      <c r="R17" s="460">
        <f>AVERAGE(R14:R16)</f>
        <v>18.767822902044681</v>
      </c>
      <c r="S17" s="460">
        <f>AVERAGE(S14:S16)</f>
        <v>24.593492775295811</v>
      </c>
      <c r="T17" s="460">
        <f>AVERAGE(T14:T16)</f>
        <v>-39.704866687561591</v>
      </c>
    </row>
    <row r="18" spans="1:20" ht="15" thickBot="1">
      <c r="A18" s="46"/>
      <c r="B18" s="46"/>
      <c r="C18" s="454"/>
      <c r="E18" s="467"/>
      <c r="F18" s="462" t="s">
        <v>1298</v>
      </c>
      <c r="G18" s="463">
        <f>MEDIAN(G14:G16)</f>
        <v>0.79195613837933454</v>
      </c>
      <c r="H18" s="463">
        <f>MEDIAN(H14:H16)</f>
        <v>49.129028735969101</v>
      </c>
      <c r="I18" s="463">
        <f>MEDIAN(I14:I16)</f>
        <v>-74.133187775834898</v>
      </c>
      <c r="J18" s="463">
        <f>MEDIAN(J14:J16)</f>
        <v>-91.156477708409994</v>
      </c>
      <c r="K18" s="461"/>
      <c r="L18" s="463">
        <f>MEDIAN(L14:L16)</f>
        <v>0.74737938287936412</v>
      </c>
      <c r="M18" s="463">
        <f>MEDIAN(M14:M16)</f>
        <v>23.315243069617473</v>
      </c>
      <c r="N18" s="463">
        <f>MEDIAN(N14:N16)</f>
        <v>18.974713073014485</v>
      </c>
      <c r="O18" s="463">
        <f>MEDIAN(O14:O16)</f>
        <v>-142.51334713320554</v>
      </c>
      <c r="P18" s="461"/>
      <c r="Q18" s="463">
        <f>MEDIAN(Q14:Q16)</f>
        <v>0.65445051622805239</v>
      </c>
      <c r="R18" s="463">
        <f>MEDIAN(R14:R16)</f>
        <v>13.259338074733137</v>
      </c>
      <c r="S18" s="463">
        <f>MEDIAN(S14:S16)</f>
        <v>22.89332793499392</v>
      </c>
      <c r="T18" s="463">
        <f>MEDIAN(T14:T16)</f>
        <v>-1.2039491380162024</v>
      </c>
    </row>
    <row r="19" spans="1:20" ht="15" thickBot="1">
      <c r="A19" s="46"/>
      <c r="B19" s="46"/>
      <c r="C19" s="454"/>
      <c r="E19" s="467"/>
      <c r="F19" s="464" t="s">
        <v>1299</v>
      </c>
      <c r="G19" s="463">
        <f>QUARTILE(G14:G16,1)</f>
        <v>0.76622967516823137</v>
      </c>
      <c r="H19" s="463">
        <f>QUARTILE(H14:H16,1)</f>
        <v>1.9635825514852314</v>
      </c>
      <c r="I19" s="463">
        <f>QUARTILE(I14:I16,1)</f>
        <v>-123.30739531648889</v>
      </c>
      <c r="J19" s="463">
        <f>QUARTILE(J14:J16,1)</f>
        <v>-147.13134864587167</v>
      </c>
      <c r="K19" s="461"/>
      <c r="L19" s="463">
        <f>QUARTILE(L14:L16,1)</f>
        <v>0.73623574705107586</v>
      </c>
      <c r="M19" s="463">
        <f>QUARTILE(M14:M16,1)</f>
        <v>17.46521904936689</v>
      </c>
      <c r="N19" s="463">
        <f>QUARTILE(N14:N16,1)</f>
        <v>-40.581355193350582</v>
      </c>
      <c r="O19" s="463">
        <f>QUARTILE(O14:O16,1)</f>
        <v>-155.9577903346306</v>
      </c>
      <c r="P19" s="461"/>
      <c r="Q19" s="463">
        <f>QUARTILE(Q14:Q16,1)</f>
        <v>0.65211910554753494</v>
      </c>
      <c r="R19" s="463">
        <f>QUARTILE(R14:R16,1)</f>
        <v>10.903574067352732</v>
      </c>
      <c r="S19" s="463">
        <f>QUARTILE(S14:S16,1)</f>
        <v>17.611957821702838</v>
      </c>
      <c r="T19" s="463">
        <f>QUARTILE(T14:T16,1)</f>
        <v>-71.858648135610878</v>
      </c>
    </row>
    <row r="20" spans="1:20" ht="15" thickBot="1">
      <c r="A20" s="46"/>
      <c r="B20" s="46"/>
      <c r="C20" s="454"/>
      <c r="E20" s="467"/>
      <c r="F20" s="465" t="s">
        <v>1300</v>
      </c>
      <c r="G20" s="466">
        <f>QUARTILE(G14:G16,3)</f>
        <v>3.5425151280131968</v>
      </c>
      <c r="H20" s="466">
        <f>QUARTILE(H14:H16,3)</f>
        <v>197.04611722512743</v>
      </c>
      <c r="I20" s="466">
        <f>QUARTILE(I14:I16,3)</f>
        <v>-47.962830549980403</v>
      </c>
      <c r="J20" s="466">
        <f>QUARTILE(J14:J16,3)</f>
        <v>-37.183104789529629</v>
      </c>
      <c r="K20" s="461"/>
      <c r="L20" s="466">
        <f>QUARTILE(L14:L16,3)</f>
        <v>3.38888717270975</v>
      </c>
      <c r="M20" s="466">
        <f>QUARTILE(M14:M16,3)</f>
        <v>38.582115131495584</v>
      </c>
      <c r="N20" s="466">
        <f>QUARTILE(N14:N16,3)</f>
        <v>52.231968830805947</v>
      </c>
      <c r="O20" s="466">
        <f>QUARTILE(O14:O16,3)</f>
        <v>-30.719250939556417</v>
      </c>
      <c r="P20" s="461"/>
      <c r="Q20" s="466">
        <f>QUARTILE(Q14:Q16,3)</f>
        <v>2.8122586424127625</v>
      </c>
      <c r="R20" s="466">
        <f>QUARTILE(R14:R16,3)</f>
        <v>23.877829323080856</v>
      </c>
      <c r="S20" s="466">
        <f>QUARTILE(S14:S16,3)</f>
        <v>30.724945308737841</v>
      </c>
      <c r="T20" s="466">
        <f>QUARTILE(T14:T16,3)</f>
        <v>11.699373535260388</v>
      </c>
    </row>
    <row r="21" spans="1:20">
      <c r="A21" s="46"/>
      <c r="B21" s="46"/>
      <c r="C21" s="454"/>
    </row>
    <row r="22" spans="1:20">
      <c r="A22" s="46"/>
      <c r="B22" s="46"/>
      <c r="C22" s="454"/>
    </row>
  </sheetData>
  <mergeCells count="5">
    <mergeCell ref="B12:B13"/>
    <mergeCell ref="C12:C13"/>
    <mergeCell ref="G12:J12"/>
    <mergeCell ref="L12:O12"/>
    <mergeCell ref="Q12:T1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5FF1B-946D-4FEA-9302-4274BC238DF2}">
  <dimension ref="B4:AB77"/>
  <sheetViews>
    <sheetView topLeftCell="K5" workbookViewId="0">
      <selection activeCell="U24" sqref="U24"/>
    </sheetView>
  </sheetViews>
  <sheetFormatPr defaultRowHeight="14.4"/>
  <cols>
    <col min="3" max="3" width="51.33203125" bestFit="1" customWidth="1"/>
    <col min="4" max="4" width="14.6640625" bestFit="1" customWidth="1"/>
    <col min="7" max="7" width="11.44140625" bestFit="1" customWidth="1"/>
    <col min="10" max="11" width="12" bestFit="1" customWidth="1"/>
    <col min="12" max="12" width="11.77734375" bestFit="1" customWidth="1"/>
    <col min="13" max="13" width="10.44140625" bestFit="1" customWidth="1"/>
    <col min="14" max="14" width="16.6640625" bestFit="1" customWidth="1"/>
    <col min="15" max="16" width="10.33203125" bestFit="1" customWidth="1"/>
    <col min="18" max="18" width="9.21875" bestFit="1" customWidth="1"/>
    <col min="19" max="19" width="9.33203125" bestFit="1" customWidth="1"/>
    <col min="21" max="21" width="15.5546875" customWidth="1"/>
    <col min="24" max="24" width="12.6640625" bestFit="1" customWidth="1"/>
    <col min="25" max="25" width="9.44140625" bestFit="1" customWidth="1"/>
    <col min="27" max="27" width="9.44140625" bestFit="1" customWidth="1"/>
  </cols>
  <sheetData>
    <row r="4" spans="2:19" ht="15" thickBot="1"/>
    <row r="5" spans="2:19" ht="15" thickBot="1">
      <c r="B5" s="313" t="s">
        <v>1175</v>
      </c>
      <c r="C5" s="314"/>
      <c r="D5" s="315" t="s">
        <v>1176</v>
      </c>
      <c r="E5" s="315" t="s">
        <v>1177</v>
      </c>
      <c r="F5" s="315" t="s">
        <v>1178</v>
      </c>
      <c r="G5" s="316"/>
      <c r="N5" s="341" t="s">
        <v>1197</v>
      </c>
      <c r="O5" s="342"/>
      <c r="P5" s="342"/>
      <c r="Q5" s="342"/>
      <c r="R5" s="342"/>
      <c r="S5" s="343"/>
    </row>
    <row r="6" spans="2:19">
      <c r="B6" s="317" t="s">
        <v>1179</v>
      </c>
      <c r="C6" s="318"/>
      <c r="D6" s="319">
        <f>4.66</f>
        <v>4.66</v>
      </c>
      <c r="E6" s="320"/>
      <c r="F6" s="320"/>
      <c r="G6" s="321"/>
      <c r="N6" s="317" t="s">
        <v>1259</v>
      </c>
      <c r="O6" s="318"/>
      <c r="P6" s="318"/>
      <c r="Q6" s="318"/>
      <c r="R6" s="318"/>
      <c r="S6" s="344"/>
    </row>
    <row r="7" spans="2:19">
      <c r="B7" s="317" t="s">
        <v>1180</v>
      </c>
      <c r="C7" s="318"/>
      <c r="D7" s="320">
        <f>1226550322/10^6</f>
        <v>1226.5503220000001</v>
      </c>
      <c r="E7" s="320"/>
      <c r="F7" s="320"/>
      <c r="G7" s="322"/>
      <c r="N7" s="317" t="s">
        <v>1260</v>
      </c>
      <c r="O7" s="318"/>
      <c r="P7" s="318"/>
      <c r="Q7" s="318"/>
      <c r="R7" s="318"/>
      <c r="S7" s="345">
        <v>45688</v>
      </c>
    </row>
    <row r="8" spans="2:19">
      <c r="B8" s="317" t="s">
        <v>1181</v>
      </c>
      <c r="C8" s="318"/>
      <c r="D8" s="323">
        <f>D7+(38180)+(AB48)</f>
        <v>39406.550322000003</v>
      </c>
      <c r="E8" s="323"/>
      <c r="F8" s="323"/>
      <c r="G8" s="322"/>
      <c r="N8" s="317" t="s">
        <v>1261</v>
      </c>
      <c r="O8" s="318"/>
      <c r="P8" s="318"/>
      <c r="Q8" s="318"/>
      <c r="R8" s="318"/>
      <c r="S8" s="346" t="s">
        <v>1341</v>
      </c>
    </row>
    <row r="9" spans="2:19">
      <c r="B9" s="317" t="s">
        <v>1070</v>
      </c>
      <c r="C9" s="318"/>
      <c r="D9" s="323">
        <f>D8*D6</f>
        <v>183634.52450052003</v>
      </c>
      <c r="E9" s="323">
        <f t="shared" ref="E9:F9" si="0">E8*E6</f>
        <v>0</v>
      </c>
      <c r="F9" s="323">
        <f t="shared" si="0"/>
        <v>0</v>
      </c>
      <c r="G9" s="324">
        <f>D9+E9+F9</f>
        <v>183634.52450052003</v>
      </c>
      <c r="N9" s="317" t="s">
        <v>1262</v>
      </c>
      <c r="O9" s="318"/>
      <c r="P9" s="318"/>
      <c r="Q9" s="318"/>
      <c r="R9" s="318"/>
      <c r="S9" s="347">
        <v>45291</v>
      </c>
    </row>
    <row r="10" spans="2:19">
      <c r="B10" s="317" t="s">
        <v>1182</v>
      </c>
      <c r="C10" s="318"/>
      <c r="D10" s="318"/>
      <c r="E10" s="325"/>
      <c r="F10" s="325"/>
      <c r="G10" s="326">
        <v>37</v>
      </c>
      <c r="N10" s="317" t="s">
        <v>1263</v>
      </c>
      <c r="O10" s="318"/>
      <c r="P10" s="318"/>
      <c r="Q10" s="318"/>
      <c r="R10" s="318"/>
      <c r="S10" s="347">
        <v>45199</v>
      </c>
    </row>
    <row r="11" spans="2:19">
      <c r="B11" s="327" t="s">
        <v>1183</v>
      </c>
      <c r="C11" s="318"/>
      <c r="D11" s="318"/>
      <c r="E11" s="325"/>
      <c r="F11" s="325"/>
      <c r="G11" s="324">
        <f>F12</f>
        <v>0</v>
      </c>
      <c r="N11" s="317" t="s">
        <v>1264</v>
      </c>
      <c r="O11" s="318"/>
      <c r="P11" s="318"/>
      <c r="Q11" s="318"/>
      <c r="R11" s="318"/>
      <c r="S11" s="344" t="s">
        <v>1361</v>
      </c>
    </row>
    <row r="12" spans="2:19" ht="15" thickBot="1">
      <c r="B12" s="317"/>
      <c r="C12" s="318" t="s">
        <v>1184</v>
      </c>
      <c r="D12" s="318"/>
      <c r="E12" s="318"/>
      <c r="F12" s="328">
        <v>0</v>
      </c>
      <c r="G12" s="322"/>
      <c r="N12" s="338" t="s">
        <v>1120</v>
      </c>
      <c r="O12" s="339"/>
      <c r="P12" s="339"/>
      <c r="Q12" s="339"/>
      <c r="R12" s="339"/>
      <c r="S12" s="348">
        <v>0.16</v>
      </c>
    </row>
    <row r="13" spans="2:19">
      <c r="B13" s="317"/>
      <c r="C13" s="329" t="s">
        <v>1185</v>
      </c>
      <c r="D13" s="318"/>
      <c r="E13" s="318"/>
      <c r="F13" s="330">
        <v>0</v>
      </c>
      <c r="G13" s="322"/>
    </row>
    <row r="14" spans="2:19">
      <c r="B14" s="327" t="s">
        <v>1186</v>
      </c>
      <c r="C14" s="318"/>
      <c r="D14" s="318"/>
      <c r="E14" s="318"/>
      <c r="F14" s="325"/>
      <c r="G14" s="324">
        <f>F15+F16</f>
        <v>10446</v>
      </c>
    </row>
    <row r="15" spans="2:19">
      <c r="B15" s="317"/>
      <c r="C15" s="329" t="s">
        <v>1187</v>
      </c>
      <c r="D15" s="329"/>
      <c r="E15" s="318"/>
      <c r="F15" s="328">
        <f>642+9804</f>
        <v>10446</v>
      </c>
      <c r="G15" s="322"/>
    </row>
    <row r="16" spans="2:19">
      <c r="B16" s="317"/>
      <c r="C16" s="329" t="s">
        <v>1188</v>
      </c>
      <c r="D16" s="329"/>
      <c r="E16" s="318"/>
      <c r="F16" s="330">
        <v>0</v>
      </c>
      <c r="G16" s="322"/>
    </row>
    <row r="17" spans="2:27" ht="15" thickBot="1">
      <c r="B17" s="327" t="s">
        <v>1189</v>
      </c>
      <c r="C17" s="318"/>
      <c r="D17" s="318"/>
      <c r="E17" s="318"/>
      <c r="F17" s="325"/>
      <c r="G17" s="322"/>
    </row>
    <row r="18" spans="2:27" ht="15" thickBot="1">
      <c r="B18" s="317"/>
      <c r="C18" s="318" t="s">
        <v>1190</v>
      </c>
      <c r="D18" s="318"/>
      <c r="E18" s="318"/>
      <c r="F18" s="325"/>
      <c r="G18" s="326">
        <v>0</v>
      </c>
      <c r="T18" s="313" t="s">
        <v>1199</v>
      </c>
      <c r="U18" s="314"/>
      <c r="V18" s="351"/>
      <c r="W18" s="351"/>
      <c r="X18" s="351"/>
      <c r="Y18" s="351"/>
      <c r="Z18" s="351"/>
      <c r="AA18" s="351"/>
    </row>
    <row r="19" spans="2:27" ht="15" thickBot="1">
      <c r="B19" s="317"/>
      <c r="C19" s="318" t="s">
        <v>1191</v>
      </c>
      <c r="D19" s="318"/>
      <c r="E19" s="318"/>
      <c r="F19" s="318"/>
      <c r="G19" s="326">
        <v>0</v>
      </c>
      <c r="O19">
        <f>-2575340/1000</f>
        <v>-2575.34</v>
      </c>
      <c r="T19" s="318"/>
      <c r="U19" s="318"/>
      <c r="V19" s="318"/>
      <c r="W19" s="318"/>
      <c r="X19" s="318"/>
      <c r="Y19" s="318"/>
      <c r="Z19" s="318"/>
      <c r="AA19" s="352"/>
    </row>
    <row r="20" spans="2:27" ht="15" thickBot="1">
      <c r="B20" s="327" t="s">
        <v>1192</v>
      </c>
      <c r="C20" s="318"/>
      <c r="D20" s="318"/>
      <c r="E20" s="318"/>
      <c r="F20" s="325"/>
      <c r="G20" s="326">
        <f>14153</f>
        <v>14153</v>
      </c>
      <c r="T20" s="318"/>
      <c r="U20" s="313" t="s">
        <v>1200</v>
      </c>
      <c r="V20" s="351"/>
      <c r="W20" s="351"/>
      <c r="X20" s="351"/>
      <c r="Y20" s="351"/>
      <c r="Z20" s="351"/>
      <c r="AA20" s="353"/>
    </row>
    <row r="21" spans="2:27" ht="15" thickBot="1">
      <c r="B21" s="331" t="s">
        <v>1193</v>
      </c>
      <c r="C21" s="332"/>
      <c r="D21" s="332"/>
      <c r="E21" s="333"/>
      <c r="F21" s="333"/>
      <c r="G21" s="334">
        <f>G9+G10+G11+G14+G18+G19-G20</f>
        <v>179964.52450052003</v>
      </c>
      <c r="T21" s="318"/>
      <c r="U21" s="354"/>
      <c r="V21" s="355" t="s">
        <v>1236</v>
      </c>
      <c r="W21" s="318"/>
      <c r="X21" s="356" t="s">
        <v>1237</v>
      </c>
      <c r="Y21" s="356"/>
      <c r="Z21" s="356"/>
      <c r="AA21" s="357" t="s">
        <v>1238</v>
      </c>
    </row>
    <row r="22" spans="2:27" ht="15" thickBot="1">
      <c r="B22" s="335" t="s">
        <v>1194</v>
      </c>
      <c r="C22" s="336"/>
      <c r="D22" s="336"/>
      <c r="E22" s="337"/>
      <c r="F22" s="337"/>
      <c r="G22" s="326">
        <f>29418</f>
        <v>29418</v>
      </c>
      <c r="T22" s="318"/>
      <c r="U22" s="358" t="s">
        <v>1201</v>
      </c>
      <c r="V22" s="359" t="s">
        <v>1239</v>
      </c>
      <c r="W22" s="359" t="s">
        <v>1240</v>
      </c>
      <c r="X22" s="359" t="s">
        <v>1241</v>
      </c>
      <c r="Y22" s="359" t="s">
        <v>1242</v>
      </c>
      <c r="Z22" s="339" t="s">
        <v>1243</v>
      </c>
      <c r="AA22" s="360" t="s">
        <v>1244</v>
      </c>
    </row>
    <row r="23" spans="2:27">
      <c r="B23" s="335" t="s">
        <v>1195</v>
      </c>
      <c r="C23" s="336"/>
      <c r="D23" s="336"/>
      <c r="E23" s="337"/>
      <c r="F23" s="337"/>
      <c r="G23" s="324">
        <f>G21-G22</f>
        <v>150546.52450052003</v>
      </c>
      <c r="T23" s="318"/>
      <c r="U23" s="532">
        <f>67557594/1000000</f>
        <v>67.557593999999995</v>
      </c>
      <c r="V23" s="319">
        <f>2.61</f>
        <v>2.61</v>
      </c>
      <c r="W23" s="362" t="str">
        <f>IF(V23&lt;D6,"Yes","N0")</f>
        <v>Yes</v>
      </c>
      <c r="X23" s="363">
        <f t="shared" ref="X23" si="1">IF(W23="Yes",U23,0)</f>
        <v>67.557593999999995</v>
      </c>
      <c r="Y23" s="323">
        <f>X23*V23</f>
        <v>176.32532033999999</v>
      </c>
      <c r="Z23" s="401">
        <f>Y23/$D$6</f>
        <v>37.838051575107293</v>
      </c>
      <c r="AA23" s="364">
        <f>X23-Z23</f>
        <v>29.719542424892701</v>
      </c>
    </row>
    <row r="24" spans="2:27" ht="15" thickBot="1">
      <c r="B24" s="338" t="s">
        <v>1196</v>
      </c>
      <c r="C24" s="339"/>
      <c r="D24" s="339"/>
      <c r="E24" s="339"/>
      <c r="F24" s="339"/>
      <c r="G24" s="515">
        <f>G9/SUM(D8:F8)</f>
        <v>4.66</v>
      </c>
      <c r="T24" s="318"/>
      <c r="U24" s="365">
        <f>8460274/1000000</f>
        <v>8.4602740000000001</v>
      </c>
      <c r="V24" s="349">
        <v>0</v>
      </c>
      <c r="W24" s="362" t="str">
        <f>IF(V24&lt;$D$9,"Yes","N0")</f>
        <v>Yes</v>
      </c>
      <c r="X24" s="323">
        <f>IF(W24="Yes",U24,0)</f>
        <v>8.4602740000000001</v>
      </c>
      <c r="Y24" s="323">
        <f>X24*V24</f>
        <v>0</v>
      </c>
      <c r="Z24" s="401">
        <f>Y24/$D$6</f>
        <v>0</v>
      </c>
      <c r="AA24" s="364">
        <f>X24-Z24</f>
        <v>8.4602740000000001</v>
      </c>
    </row>
    <row r="25" spans="2:27">
      <c r="C25" t="s">
        <v>1358</v>
      </c>
      <c r="K25" s="48">
        <f>9.2 %</f>
        <v>9.1999999999999998E-2</v>
      </c>
      <c r="T25" s="318"/>
      <c r="U25" s="365"/>
      <c r="V25" s="349"/>
      <c r="W25" s="362"/>
      <c r="X25" s="363"/>
      <c r="Y25" s="323"/>
      <c r="Z25" s="363"/>
      <c r="AA25" s="364"/>
    </row>
    <row r="26" spans="2:27">
      <c r="C26" s="509" t="s">
        <v>1090</v>
      </c>
      <c r="D26" s="318"/>
      <c r="E26" s="318"/>
      <c r="F26" s="594" t="s">
        <v>1262</v>
      </c>
      <c r="G26" s="571"/>
      <c r="H26" s="571"/>
      <c r="I26" s="318"/>
      <c r="J26" s="594" t="s">
        <v>1346</v>
      </c>
      <c r="K26" s="571"/>
      <c r="L26" s="571"/>
      <c r="M26" s="318"/>
      <c r="N26" s="594" t="s">
        <v>1347</v>
      </c>
      <c r="O26" s="571"/>
      <c r="P26" s="571"/>
      <c r="T26" s="318"/>
      <c r="U26" s="365"/>
      <c r="V26" s="349"/>
      <c r="W26" s="362"/>
      <c r="X26" s="363"/>
      <c r="Y26" s="323"/>
      <c r="Z26" s="363"/>
      <c r="AA26" s="364"/>
    </row>
    <row r="27" spans="2:27" ht="15" thickBot="1">
      <c r="C27" s="510"/>
      <c r="D27" s="318"/>
      <c r="E27" s="318"/>
      <c r="F27" s="511" t="s">
        <v>1348</v>
      </c>
      <c r="G27" s="512" t="s">
        <v>1349</v>
      </c>
      <c r="H27" s="513" t="s">
        <v>1350</v>
      </c>
      <c r="I27" s="318"/>
      <c r="J27" s="511" t="s">
        <v>1348</v>
      </c>
      <c r="K27" s="512" t="s">
        <v>1349</v>
      </c>
      <c r="L27" s="513" t="s">
        <v>1350</v>
      </c>
      <c r="M27" s="318"/>
      <c r="N27" s="511" t="s">
        <v>1348</v>
      </c>
      <c r="O27" s="512" t="s">
        <v>1349</v>
      </c>
      <c r="P27" s="513" t="s">
        <v>1350</v>
      </c>
      <c r="T27" s="318"/>
      <c r="U27" s="365"/>
      <c r="V27" s="349"/>
      <c r="W27" s="362"/>
      <c r="X27" s="363"/>
      <c r="Y27" s="323"/>
      <c r="Z27" s="363"/>
      <c r="AA27" s="364"/>
    </row>
    <row r="28" spans="2:27" ht="15" thickBot="1">
      <c r="T28" s="318"/>
      <c r="U28" s="338"/>
      <c r="V28" s="339"/>
      <c r="W28" s="339"/>
      <c r="X28" s="339"/>
      <c r="Y28" s="339"/>
      <c r="Z28" s="339"/>
      <c r="AA28" s="402">
        <f>SUM(AA23:AA27)</f>
        <v>38.179816424892699</v>
      </c>
    </row>
    <row r="29" spans="2:27">
      <c r="C29" s="387" t="s">
        <v>1351</v>
      </c>
      <c r="D29" s="318"/>
      <c r="E29" s="318"/>
      <c r="F29" s="318"/>
      <c r="G29" s="318"/>
      <c r="H29" s="318"/>
      <c r="I29" s="318"/>
      <c r="J29" s="318"/>
      <c r="K29" s="318"/>
      <c r="L29" s="318"/>
      <c r="M29" s="318"/>
      <c r="N29" s="318"/>
    </row>
    <row r="30" spans="2:27">
      <c r="C30" s="318" t="s">
        <v>230</v>
      </c>
      <c r="D30" s="318"/>
      <c r="E30" s="318"/>
      <c r="F30" s="318">
        <f>2575</f>
        <v>2575</v>
      </c>
      <c r="G30" s="318"/>
      <c r="H30" s="318"/>
      <c r="I30" s="318"/>
      <c r="J30" s="318">
        <f>2053</f>
        <v>2053</v>
      </c>
      <c r="K30" s="318"/>
      <c r="L30" s="318"/>
      <c r="M30" s="318"/>
      <c r="N30" s="318">
        <f>2586</f>
        <v>2586</v>
      </c>
    </row>
    <row r="31" spans="2:27">
      <c r="C31" t="s">
        <v>1354</v>
      </c>
      <c r="D31" s="318"/>
      <c r="E31" s="318"/>
      <c r="F31" s="257">
        <v>1003</v>
      </c>
      <c r="G31" s="318"/>
      <c r="H31" s="318"/>
      <c r="I31" s="318"/>
      <c r="J31" s="318">
        <f>972</f>
        <v>972</v>
      </c>
      <c r="K31" s="318"/>
      <c r="L31" s="318"/>
      <c r="M31" s="318"/>
      <c r="N31" s="318">
        <f>1212</f>
        <v>1212</v>
      </c>
    </row>
    <row r="32" spans="2:27">
      <c r="C32" s="318"/>
      <c r="D32" s="318"/>
      <c r="E32" s="318"/>
      <c r="F32" s="318"/>
      <c r="G32" s="318"/>
      <c r="H32" s="318">
        <v>90</v>
      </c>
      <c r="I32" s="318"/>
      <c r="J32" s="318"/>
      <c r="K32" s="318"/>
      <c r="L32" s="318">
        <f>57</f>
        <v>57</v>
      </c>
      <c r="M32" s="318"/>
      <c r="N32" s="318"/>
      <c r="P32">
        <f>-(71)</f>
        <v>-71</v>
      </c>
    </row>
    <row r="33" spans="3:28" ht="14.4" customHeight="1">
      <c r="C33" s="318"/>
      <c r="D33" s="318"/>
      <c r="E33" s="318"/>
      <c r="F33" s="318"/>
      <c r="G33" s="318"/>
      <c r="H33" s="318"/>
      <c r="I33" s="318"/>
      <c r="J33" s="318"/>
      <c r="K33" s="318"/>
      <c r="L33" s="318"/>
      <c r="M33" s="318"/>
      <c r="N33" s="318"/>
    </row>
    <row r="34" spans="3:28" ht="14.4" customHeight="1">
      <c r="C34" s="387" t="s">
        <v>25</v>
      </c>
      <c r="D34" s="318"/>
      <c r="E34" s="318"/>
      <c r="F34" s="514">
        <f>SUM(F30:F32)</f>
        <v>3578</v>
      </c>
      <c r="G34" s="318"/>
      <c r="H34" s="514">
        <f>H32</f>
        <v>90</v>
      </c>
      <c r="I34" s="318"/>
      <c r="J34" s="514">
        <f>SUM(J30:J32)</f>
        <v>3025</v>
      </c>
      <c r="K34" s="318"/>
      <c r="L34" s="514">
        <f>L32</f>
        <v>57</v>
      </c>
      <c r="M34" s="318"/>
      <c r="N34" s="514">
        <f>SUM(N30:N32)</f>
        <v>3798</v>
      </c>
      <c r="P34" s="514">
        <f>P32</f>
        <v>-71</v>
      </c>
    </row>
    <row r="37" spans="3:28">
      <c r="O37" t="s">
        <v>1362</v>
      </c>
    </row>
    <row r="38" spans="3:28">
      <c r="C38" s="318"/>
      <c r="D38" s="318"/>
      <c r="E38" s="318"/>
      <c r="F38" s="318"/>
      <c r="G38" s="318"/>
      <c r="H38" s="318"/>
      <c r="I38" s="318"/>
      <c r="J38" s="352"/>
      <c r="K38" s="352"/>
      <c r="L38" s="352"/>
      <c r="M38" s="352"/>
      <c r="N38" s="593" t="s">
        <v>1355</v>
      </c>
      <c r="O38" s="571"/>
      <c r="P38" s="571"/>
    </row>
    <row r="39" spans="3:28">
      <c r="C39" s="379" t="s">
        <v>1202</v>
      </c>
      <c r="D39" s="379"/>
      <c r="E39" s="379"/>
      <c r="F39" s="379"/>
      <c r="G39" s="379"/>
      <c r="H39" s="379"/>
      <c r="I39" s="379"/>
      <c r="J39" s="380" t="s">
        <v>1203</v>
      </c>
      <c r="K39" s="380" t="s">
        <v>1356</v>
      </c>
      <c r="L39" s="380" t="s">
        <v>1204</v>
      </c>
      <c r="M39" s="380" t="s">
        <v>1205</v>
      </c>
      <c r="N39" s="380" t="s">
        <v>1206</v>
      </c>
      <c r="O39" s="380" t="s">
        <v>1207</v>
      </c>
      <c r="P39" s="380" t="s">
        <v>1208</v>
      </c>
      <c r="R39" s="380" t="s">
        <v>1209</v>
      </c>
    </row>
    <row r="40" spans="3:28">
      <c r="C40" s="318"/>
      <c r="D40" s="318"/>
      <c r="E40" s="318"/>
      <c r="F40" s="318"/>
      <c r="G40" s="318"/>
      <c r="H40" s="318"/>
      <c r="I40" s="318"/>
      <c r="J40" s="318" t="s">
        <v>1210</v>
      </c>
      <c r="K40" s="318" t="s">
        <v>1357</v>
      </c>
      <c r="L40" s="318" t="s">
        <v>1357</v>
      </c>
      <c r="M40" s="318"/>
      <c r="N40" s="382">
        <v>45657</v>
      </c>
      <c r="O40" s="382">
        <f t="shared" ref="O40:P40" si="2">EDATE(N40,12)</f>
        <v>46022</v>
      </c>
      <c r="P40" s="382">
        <f t="shared" si="2"/>
        <v>46387</v>
      </c>
      <c r="R40" s="318"/>
    </row>
    <row r="41" spans="3:28" ht="15" thickBot="1">
      <c r="C41" s="318" t="s">
        <v>1211</v>
      </c>
      <c r="D41" s="318"/>
      <c r="E41" s="318"/>
      <c r="F41" s="318"/>
      <c r="G41" s="318"/>
      <c r="H41" s="318"/>
      <c r="I41" s="318"/>
      <c r="J41" s="320">
        <f>192379</f>
        <v>192379</v>
      </c>
      <c r="K41" s="320">
        <f>153885</f>
        <v>153885</v>
      </c>
      <c r="L41" s="533">
        <f>142961</f>
        <v>142961</v>
      </c>
      <c r="M41" s="384">
        <f>J41+K41-L41</f>
        <v>203303</v>
      </c>
      <c r="N41" s="320">
        <f>T65</f>
        <v>207624</v>
      </c>
      <c r="O41" s="320">
        <f>U65</f>
        <v>230035</v>
      </c>
      <c r="P41" s="320">
        <f>V65</f>
        <v>251015</v>
      </c>
      <c r="R41" s="386">
        <f>(P41/J41)^(1/3)-1</f>
        <v>9.2732861936244859E-2</v>
      </c>
    </row>
    <row r="42" spans="3:28" ht="15" thickBot="1">
      <c r="C42" s="318"/>
      <c r="D42" s="318"/>
      <c r="E42" s="318"/>
      <c r="F42" s="318"/>
      <c r="G42" s="318"/>
      <c r="H42" s="318"/>
      <c r="I42" s="318"/>
      <c r="J42" s="325"/>
      <c r="K42" s="325"/>
      <c r="L42" s="325"/>
      <c r="M42" s="325"/>
      <c r="N42" s="318"/>
      <c r="O42" s="318"/>
      <c r="P42" s="318"/>
      <c r="R42" s="318"/>
      <c r="W42" s="313" t="s">
        <v>1227</v>
      </c>
      <c r="X42" s="351"/>
      <c r="Y42" s="351"/>
      <c r="Z42" s="351"/>
      <c r="AA42" s="351"/>
      <c r="AB42" s="353"/>
    </row>
    <row r="43" spans="3:28">
      <c r="C43" s="318" t="s">
        <v>1212</v>
      </c>
      <c r="D43" s="318"/>
      <c r="E43" s="318"/>
      <c r="F43" s="318"/>
      <c r="G43" s="318"/>
      <c r="H43" s="318"/>
      <c r="I43" s="318"/>
      <c r="J43" s="319">
        <f>624811/1000</f>
        <v>624.81100000000004</v>
      </c>
      <c r="K43" s="320">
        <f>-4745</f>
        <v>-4745</v>
      </c>
      <c r="L43" s="320">
        <f>2788</f>
        <v>2788</v>
      </c>
      <c r="M43" s="384">
        <f>J43+K43-L43</f>
        <v>-6908.1890000000003</v>
      </c>
      <c r="N43" s="318"/>
      <c r="O43" s="318"/>
      <c r="P43" s="318"/>
      <c r="R43" s="318"/>
      <c r="W43" s="366"/>
      <c r="X43" s="367"/>
      <c r="Y43" s="367"/>
      <c r="Z43" s="578" t="s">
        <v>1368</v>
      </c>
      <c r="AA43" s="368"/>
      <c r="AB43" s="580" t="s">
        <v>1369</v>
      </c>
    </row>
    <row r="44" spans="3:28">
      <c r="C44" s="318" t="s">
        <v>1213</v>
      </c>
      <c r="D44" s="336"/>
      <c r="E44" s="336"/>
      <c r="F44" s="336"/>
      <c r="G44" s="336"/>
      <c r="H44" s="336"/>
      <c r="I44" s="336"/>
      <c r="J44" s="320">
        <v>0</v>
      </c>
      <c r="K44" s="320">
        <v>0</v>
      </c>
      <c r="L44" s="320">
        <v>0</v>
      </c>
      <c r="M44" s="337"/>
      <c r="N44" s="336"/>
      <c r="O44" s="336"/>
      <c r="P44" s="336"/>
      <c r="R44" s="336"/>
      <c r="W44" s="369" t="s">
        <v>1370</v>
      </c>
      <c r="X44" s="370" t="s">
        <v>1371</v>
      </c>
      <c r="Y44" s="370" t="s">
        <v>1372</v>
      </c>
      <c r="Z44" s="579"/>
      <c r="AA44" s="371" t="s">
        <v>1373</v>
      </c>
      <c r="AB44" s="577"/>
    </row>
    <row r="45" spans="3:28">
      <c r="C45" s="387" t="s">
        <v>1214</v>
      </c>
      <c r="D45" s="336"/>
      <c r="E45" s="336"/>
      <c r="F45" s="336"/>
      <c r="G45" s="336"/>
      <c r="H45" s="336"/>
      <c r="I45" s="336"/>
      <c r="J45" s="388">
        <f>J43+J44</f>
        <v>624.81100000000004</v>
      </c>
      <c r="K45" s="388">
        <f>K43+K44</f>
        <v>-4745</v>
      </c>
      <c r="L45" s="388">
        <f>L43+L44</f>
        <v>2788</v>
      </c>
      <c r="M45" s="384">
        <f>J45+K45-L45</f>
        <v>-6908.1890000000003</v>
      </c>
      <c r="N45" s="320">
        <f>T69</f>
        <v>1761</v>
      </c>
      <c r="O45" s="320">
        <f>U69</f>
        <v>6576</v>
      </c>
      <c r="P45" s="320">
        <f>V69</f>
        <v>10937</v>
      </c>
      <c r="R45" s="386"/>
      <c r="W45" s="317"/>
      <c r="X45" s="320"/>
      <c r="Y45" s="320"/>
      <c r="Z45" s="372"/>
      <c r="AA45" s="373"/>
      <c r="AB45" s="374"/>
    </row>
    <row r="46" spans="3:28">
      <c r="C46" s="318" t="s">
        <v>1215</v>
      </c>
      <c r="D46" s="318"/>
      <c r="E46" s="318"/>
      <c r="F46" s="318"/>
      <c r="G46" s="318"/>
      <c r="H46" s="318"/>
      <c r="I46" s="318"/>
      <c r="J46" s="349">
        <f>4248651/1000</f>
        <v>4248.6509999999998</v>
      </c>
      <c r="K46" s="320">
        <f>2269</f>
        <v>2269</v>
      </c>
      <c r="L46" s="320">
        <f>2940</f>
        <v>2940</v>
      </c>
      <c r="M46" s="325"/>
      <c r="N46" s="318"/>
      <c r="O46" s="318"/>
      <c r="P46" s="318"/>
      <c r="R46" s="318"/>
      <c r="W46" s="317"/>
      <c r="X46" s="320"/>
      <c r="Y46" s="320"/>
      <c r="Z46" s="372"/>
      <c r="AA46" s="373"/>
      <c r="AB46" s="374"/>
    </row>
    <row r="47" spans="3:28">
      <c r="C47" s="336" t="s">
        <v>1216</v>
      </c>
      <c r="D47" s="336"/>
      <c r="E47" s="336"/>
      <c r="F47" s="336"/>
      <c r="G47" s="336"/>
      <c r="H47" s="336"/>
      <c r="I47" s="336"/>
      <c r="J47" s="388">
        <f>J45+J46</f>
        <v>4873.4619999999995</v>
      </c>
      <c r="K47" s="388">
        <f>K45+K46</f>
        <v>-2476</v>
      </c>
      <c r="L47" s="388">
        <f>L45+L46</f>
        <v>5728</v>
      </c>
      <c r="M47" s="384">
        <f>J47+K47-L47</f>
        <v>-3330.5380000000005</v>
      </c>
      <c r="N47" s="320">
        <f>T67</f>
        <v>6457</v>
      </c>
      <c r="O47" s="320">
        <f>U67</f>
        <v>11354</v>
      </c>
      <c r="P47" s="320">
        <f>V67</f>
        <v>14594</v>
      </c>
      <c r="R47" s="386">
        <f>(P47/J47)^(1/3)-1</f>
        <v>0.44138141918853457</v>
      </c>
      <c r="W47" s="317"/>
      <c r="X47" s="320"/>
      <c r="Y47" s="320"/>
      <c r="Z47" s="372"/>
      <c r="AA47" s="375"/>
      <c r="AB47" s="374"/>
    </row>
    <row r="48" spans="3:28" ht="15" thickBot="1">
      <c r="C48" s="318"/>
      <c r="D48" s="318"/>
      <c r="E48" s="318"/>
      <c r="F48" s="318"/>
      <c r="G48" s="318"/>
      <c r="H48" s="318"/>
      <c r="I48" s="318"/>
      <c r="J48" s="325"/>
      <c r="K48" s="325"/>
      <c r="L48" s="325"/>
      <c r="M48" s="325"/>
      <c r="N48" s="318"/>
      <c r="O48" s="318"/>
      <c r="P48" s="318"/>
      <c r="R48" s="318"/>
      <c r="W48" s="338"/>
      <c r="X48" s="376"/>
      <c r="Y48" s="376"/>
      <c r="Z48" s="376"/>
      <c r="AA48" s="377"/>
      <c r="AB48" s="378"/>
    </row>
    <row r="49" spans="3:22">
      <c r="C49" s="318" t="s">
        <v>1217</v>
      </c>
      <c r="D49" s="318"/>
      <c r="E49" s="318"/>
      <c r="F49" s="318"/>
      <c r="G49" s="318"/>
      <c r="H49" s="318"/>
      <c r="I49" s="318"/>
      <c r="J49" s="349">
        <f>493512/1000</f>
        <v>493.512</v>
      </c>
      <c r="K49" s="320">
        <f>2599</f>
        <v>2599</v>
      </c>
      <c r="L49" s="320">
        <f>-4838</f>
        <v>-4838</v>
      </c>
      <c r="M49" s="384">
        <f>J49+K49-L49</f>
        <v>7930.5120000000006</v>
      </c>
      <c r="N49" s="318"/>
      <c r="O49" s="318"/>
      <c r="P49" s="318"/>
      <c r="R49" s="318"/>
    </row>
    <row r="50" spans="3:22">
      <c r="C50" s="318" t="s">
        <v>1218</v>
      </c>
      <c r="D50" s="318"/>
      <c r="E50" s="318"/>
      <c r="F50" s="318"/>
      <c r="G50" s="318"/>
      <c r="H50" s="318"/>
      <c r="I50" s="318"/>
      <c r="J50" s="320">
        <v>0</v>
      </c>
      <c r="K50" s="320">
        <v>0</v>
      </c>
      <c r="L50" s="320">
        <v>0</v>
      </c>
      <c r="M50" s="318"/>
      <c r="N50" s="318"/>
      <c r="O50" s="318"/>
      <c r="P50" s="318"/>
      <c r="R50" s="318"/>
    </row>
    <row r="51" spans="3:22">
      <c r="C51" s="318" t="s">
        <v>1219</v>
      </c>
      <c r="D51" s="318"/>
      <c r="E51" s="318"/>
      <c r="F51" s="318"/>
      <c r="G51" s="318"/>
      <c r="H51" s="318"/>
      <c r="I51" s="318"/>
      <c r="J51" s="320">
        <f>F34</f>
        <v>3578</v>
      </c>
      <c r="K51" s="320">
        <f>J34</f>
        <v>3025</v>
      </c>
      <c r="L51" s="320">
        <f>N34</f>
        <v>3798</v>
      </c>
      <c r="M51" s="318"/>
      <c r="N51" s="318"/>
      <c r="O51" s="318"/>
      <c r="P51" s="318"/>
      <c r="R51" s="318"/>
    </row>
    <row r="52" spans="3:22">
      <c r="C52" s="318" t="s">
        <v>1220</v>
      </c>
      <c r="D52" s="318"/>
      <c r="E52" s="318"/>
      <c r="F52" s="318"/>
      <c r="G52" s="318"/>
      <c r="H52" s="318"/>
      <c r="I52" s="318"/>
      <c r="J52" s="320">
        <f>H34</f>
        <v>90</v>
      </c>
      <c r="K52" s="320">
        <f>L34</f>
        <v>57</v>
      </c>
      <c r="L52" s="320">
        <f>P34</f>
        <v>-71</v>
      </c>
      <c r="M52" s="318"/>
      <c r="N52" s="318"/>
      <c r="O52" s="318"/>
      <c r="P52" s="318"/>
      <c r="R52" s="318"/>
    </row>
    <row r="53" spans="3:22">
      <c r="C53" s="318" t="s">
        <v>1221</v>
      </c>
      <c r="D53" s="318"/>
      <c r="E53" s="318"/>
      <c r="F53" s="318"/>
      <c r="G53" s="318"/>
      <c r="H53" s="318"/>
      <c r="I53" s="318"/>
      <c r="J53" s="320">
        <v>0</v>
      </c>
      <c r="K53" s="320">
        <v>0</v>
      </c>
      <c r="L53" s="320">
        <v>0</v>
      </c>
      <c r="M53" s="318"/>
      <c r="N53" s="318"/>
      <c r="O53" s="318"/>
      <c r="P53" s="318"/>
      <c r="R53" s="318"/>
    </row>
    <row r="54" spans="3:22">
      <c r="C54" s="336" t="s">
        <v>1222</v>
      </c>
      <c r="D54" s="318"/>
      <c r="E54" s="318"/>
      <c r="F54" s="318"/>
      <c r="G54" s="318"/>
      <c r="H54" s="318"/>
      <c r="I54" s="318"/>
      <c r="J54" s="388">
        <f>SUM(J49:J53)</f>
        <v>4161.5120000000006</v>
      </c>
      <c r="K54" s="388">
        <f>SUM(K49:K53)</f>
        <v>5681</v>
      </c>
      <c r="L54" s="388">
        <f>SUM(L49:L53)</f>
        <v>-1111</v>
      </c>
      <c r="M54" s="384">
        <f>J54+K54-L54</f>
        <v>10953.512000000001</v>
      </c>
      <c r="N54" s="318"/>
      <c r="O54" s="318"/>
      <c r="P54" s="318"/>
      <c r="R54" s="318"/>
    </row>
    <row r="55" spans="3:22">
      <c r="C55" s="318" t="s">
        <v>1223</v>
      </c>
      <c r="D55" s="318"/>
      <c r="E55" s="318"/>
      <c r="F55" s="318"/>
      <c r="G55" s="318"/>
      <c r="H55" s="318"/>
      <c r="I55" s="318"/>
      <c r="J55" s="349">
        <f>41550/1000</f>
        <v>41.55</v>
      </c>
      <c r="K55" s="320">
        <f>12</f>
        <v>12</v>
      </c>
      <c r="L55" s="320">
        <v>37</v>
      </c>
      <c r="M55" s="318"/>
      <c r="N55" s="318"/>
      <c r="O55" s="318"/>
      <c r="P55" s="318"/>
      <c r="R55" s="318"/>
    </row>
    <row r="56" spans="3:22">
      <c r="C56" s="336" t="s">
        <v>1224</v>
      </c>
      <c r="D56" s="336"/>
      <c r="E56" s="336"/>
      <c r="F56" s="336"/>
      <c r="G56" s="336"/>
      <c r="H56" s="336"/>
      <c r="I56" s="336"/>
      <c r="J56" s="384">
        <f>J54-J55</f>
        <v>4119.9620000000004</v>
      </c>
      <c r="K56" s="384">
        <f>K54-K55</f>
        <v>5669</v>
      </c>
      <c r="L56" s="384">
        <f>L54-L55</f>
        <v>-1148</v>
      </c>
      <c r="M56" s="384">
        <f>J56+K56-L56</f>
        <v>10936.962</v>
      </c>
      <c r="N56" s="320">
        <f>T74</f>
        <v>2265</v>
      </c>
      <c r="O56" s="320">
        <f>U74</f>
        <v>7464</v>
      </c>
      <c r="P56" s="320">
        <f>V74</f>
        <v>11736</v>
      </c>
      <c r="R56" s="386">
        <f>(P56/J56)^(1/3)-1</f>
        <v>0.41756276401971659</v>
      </c>
    </row>
    <row r="57" spans="3:22">
      <c r="C57" s="318"/>
      <c r="D57" s="318"/>
      <c r="E57" s="318"/>
      <c r="F57" s="318"/>
      <c r="G57" s="318"/>
      <c r="H57" s="318"/>
      <c r="I57" s="318"/>
      <c r="J57" s="325"/>
      <c r="K57" s="325"/>
      <c r="L57" s="325"/>
      <c r="M57" s="325"/>
      <c r="N57" s="318"/>
      <c r="O57" s="318"/>
      <c r="P57" s="318"/>
      <c r="R57" s="318"/>
    </row>
    <row r="58" spans="3:22">
      <c r="C58" s="318" t="s">
        <v>1225</v>
      </c>
      <c r="D58" s="318"/>
      <c r="E58" s="318"/>
      <c r="F58" s="318"/>
      <c r="G58" s="318"/>
      <c r="H58" s="318"/>
      <c r="I58" s="318"/>
      <c r="J58" s="320">
        <f>1224576751/1000</f>
        <v>1224576.7509999999</v>
      </c>
      <c r="K58" s="320">
        <f>1247975827/1000</f>
        <v>1247975.827</v>
      </c>
      <c r="L58" s="320">
        <f>1222658565/1000</f>
        <v>1222658.5649999999</v>
      </c>
      <c r="M58" s="384">
        <f>J58+K58-L58</f>
        <v>1249894.0129999998</v>
      </c>
      <c r="N58" s="318">
        <f>4842203</f>
        <v>4842203</v>
      </c>
      <c r="O58" s="318">
        <f>4842203</f>
        <v>4842203</v>
      </c>
      <c r="P58" s="318">
        <f>4842203</f>
        <v>4842203</v>
      </c>
      <c r="R58" s="318"/>
    </row>
    <row r="59" spans="3:22">
      <c r="C59" s="318" t="s">
        <v>1226</v>
      </c>
      <c r="D59" s="318"/>
      <c r="E59" s="318"/>
      <c r="F59" s="318"/>
      <c r="G59" s="318"/>
      <c r="H59" s="318"/>
      <c r="I59" s="318"/>
      <c r="J59" s="446">
        <f>J56/J58</f>
        <v>3.3643967163639226E-3</v>
      </c>
      <c r="K59" s="446">
        <f>K56/K58</f>
        <v>4.5425559352601143E-3</v>
      </c>
      <c r="L59" s="446">
        <f>L56/L58</f>
        <v>-9.3893751932290275E-4</v>
      </c>
      <c r="M59" s="446">
        <f>M56/M58</f>
        <v>8.7503115354149643E-3</v>
      </c>
      <c r="N59" s="529">
        <v>4.4200000000000003E-2</v>
      </c>
      <c r="O59" s="529">
        <v>1.5349999999999999</v>
      </c>
      <c r="P59" s="529">
        <v>2.3919999999999999</v>
      </c>
      <c r="R59" s="386"/>
    </row>
    <row r="61" spans="3:22">
      <c r="N61" t="s">
        <v>1275</v>
      </c>
      <c r="O61" s="449" t="s">
        <v>1364</v>
      </c>
    </row>
    <row r="63" spans="3:22" ht="43.8" thickBot="1">
      <c r="O63" s="517" t="s">
        <v>1256</v>
      </c>
      <c r="P63" s="404">
        <v>2020</v>
      </c>
      <c r="Q63" s="404">
        <v>2021</v>
      </c>
      <c r="R63" s="404">
        <v>2022</v>
      </c>
      <c r="S63" s="404">
        <v>2023</v>
      </c>
      <c r="T63" s="404">
        <v>2024</v>
      </c>
      <c r="U63" s="404">
        <v>2025</v>
      </c>
      <c r="V63" s="404">
        <v>2026</v>
      </c>
    </row>
    <row r="64" spans="3:22" ht="15" thickBot="1">
      <c r="O64" s="518"/>
      <c r="P64" s="406"/>
      <c r="Q64" s="406"/>
      <c r="R64" s="406"/>
      <c r="S64" s="406"/>
      <c r="T64" s="406"/>
      <c r="U64" s="406"/>
      <c r="V64" s="406"/>
    </row>
    <row r="65" spans="15:22" ht="15" thickBot="1">
      <c r="O65" s="407" t="s">
        <v>1246</v>
      </c>
      <c r="P65" s="408">
        <v>141736</v>
      </c>
      <c r="Q65" s="408">
        <v>173827</v>
      </c>
      <c r="R65" s="408">
        <v>141736</v>
      </c>
      <c r="S65" s="408">
        <v>192380</v>
      </c>
      <c r="T65" s="519">
        <v>207624</v>
      </c>
      <c r="U65" s="519">
        <v>230035</v>
      </c>
      <c r="V65" s="520">
        <v>251015</v>
      </c>
    </row>
    <row r="66" spans="15:22" ht="15" thickBot="1">
      <c r="O66" s="409" t="s">
        <v>1247</v>
      </c>
      <c r="P66" s="411" t="s">
        <v>1248</v>
      </c>
      <c r="Q66" s="412">
        <v>0.22639999999999999</v>
      </c>
      <c r="R66" s="412">
        <v>-0.18459999999999999</v>
      </c>
      <c r="S66" s="412">
        <v>0.35730000000000001</v>
      </c>
      <c r="T66" s="521">
        <v>7.9200000000000007E-2</v>
      </c>
      <c r="U66" s="521">
        <v>0.1079</v>
      </c>
      <c r="V66" s="522">
        <v>9.1200000000000003E-2</v>
      </c>
    </row>
    <row r="67" spans="15:22" ht="15" thickBot="1">
      <c r="O67" s="407" t="s">
        <v>1249</v>
      </c>
      <c r="P67" s="410" t="s">
        <v>1248</v>
      </c>
      <c r="Q67" s="408">
        <v>-14952</v>
      </c>
      <c r="R67" s="408">
        <v>-9257</v>
      </c>
      <c r="S67" s="410" t="s">
        <v>1248</v>
      </c>
      <c r="T67" s="519">
        <v>6457</v>
      </c>
      <c r="U67" s="519">
        <v>11354</v>
      </c>
      <c r="V67" s="520">
        <v>14594</v>
      </c>
    </row>
    <row r="68" spans="15:22" ht="15" thickBot="1">
      <c r="O68" s="409" t="s">
        <v>1247</v>
      </c>
      <c r="P68" s="411" t="s">
        <v>1248</v>
      </c>
      <c r="Q68" s="411" t="s">
        <v>1248</v>
      </c>
      <c r="R68" s="412">
        <v>-0.38090000000000002</v>
      </c>
      <c r="S68" s="523">
        <v>-1</v>
      </c>
      <c r="T68" s="525" t="s">
        <v>1248</v>
      </c>
      <c r="U68" s="521">
        <v>0.75849999999999995</v>
      </c>
      <c r="V68" s="522">
        <v>0.2853</v>
      </c>
    </row>
    <row r="69" spans="15:22" ht="15" thickBot="1">
      <c r="O69" s="407" t="s">
        <v>1250</v>
      </c>
      <c r="P69" s="410" t="s">
        <v>1248</v>
      </c>
      <c r="Q69" s="408">
        <v>-19173</v>
      </c>
      <c r="R69" s="408">
        <v>-13788</v>
      </c>
      <c r="S69" s="408">
        <v>-5741</v>
      </c>
      <c r="T69" s="519">
        <v>1761</v>
      </c>
      <c r="U69" s="519">
        <v>6576</v>
      </c>
      <c r="V69" s="520">
        <v>10937</v>
      </c>
    </row>
    <row r="70" spans="15:22" ht="15" thickBot="1">
      <c r="O70" s="526" t="s">
        <v>1247</v>
      </c>
      <c r="P70" s="528" t="s">
        <v>1248</v>
      </c>
      <c r="Q70" s="528" t="s">
        <v>1248</v>
      </c>
      <c r="R70" s="522">
        <v>-0.28089999999999998</v>
      </c>
      <c r="S70" s="522">
        <v>-0.58360000000000001</v>
      </c>
      <c r="T70" s="528" t="s">
        <v>1248</v>
      </c>
      <c r="U70" s="522">
        <v>2.734</v>
      </c>
      <c r="V70" s="522">
        <v>0.66310000000000002</v>
      </c>
    </row>
    <row r="71" spans="15:22" ht="29.4" thickBot="1">
      <c r="O71" s="407" t="s">
        <v>1251</v>
      </c>
      <c r="P71" s="410" t="s">
        <v>1248</v>
      </c>
      <c r="Q71" s="410" t="s">
        <v>1248</v>
      </c>
      <c r="R71" s="410" t="s">
        <v>1248</v>
      </c>
      <c r="S71" s="410" t="s">
        <v>1248</v>
      </c>
      <c r="T71" s="524">
        <v>-871.5</v>
      </c>
      <c r="U71" s="524">
        <v>-625</v>
      </c>
      <c r="V71" s="527">
        <v>-625</v>
      </c>
    </row>
    <row r="72" spans="15:22" ht="43.8" thickBot="1">
      <c r="O72" s="407" t="s">
        <v>1252</v>
      </c>
      <c r="P72" s="410" t="s">
        <v>1248</v>
      </c>
      <c r="Q72" s="410" t="s">
        <v>1248</v>
      </c>
      <c r="R72" s="410" t="s">
        <v>1248</v>
      </c>
      <c r="S72" s="410" t="s">
        <v>1248</v>
      </c>
      <c r="T72" s="519">
        <v>1908</v>
      </c>
      <c r="U72" s="519">
        <v>7990</v>
      </c>
      <c r="V72" s="520">
        <v>13936</v>
      </c>
    </row>
    <row r="73" spans="15:22" ht="15" thickBot="1">
      <c r="O73" s="409" t="s">
        <v>1247</v>
      </c>
      <c r="P73" s="411" t="s">
        <v>1248</v>
      </c>
      <c r="Q73" s="411" t="s">
        <v>1248</v>
      </c>
      <c r="R73" s="411" t="s">
        <v>1248</v>
      </c>
      <c r="S73" s="411" t="s">
        <v>1248</v>
      </c>
      <c r="T73" s="525" t="s">
        <v>1248</v>
      </c>
      <c r="U73" s="521">
        <v>3.1876000000000002</v>
      </c>
      <c r="V73" s="522">
        <v>0.74419999999999997</v>
      </c>
    </row>
    <row r="74" spans="15:22" ht="29.4" thickBot="1">
      <c r="O74" s="407" t="s">
        <v>1253</v>
      </c>
      <c r="P74" s="408">
        <v>-10680</v>
      </c>
      <c r="Q74" s="408">
        <v>-49343</v>
      </c>
      <c r="R74" s="410" t="s">
        <v>1248</v>
      </c>
      <c r="S74" s="410" t="s">
        <v>1248</v>
      </c>
      <c r="T74" s="519">
        <v>2265</v>
      </c>
      <c r="U74" s="519">
        <v>7464</v>
      </c>
      <c r="V74" s="520">
        <v>11736</v>
      </c>
    </row>
    <row r="75" spans="15:22" ht="15" thickBot="1">
      <c r="O75" s="409" t="s">
        <v>1247</v>
      </c>
      <c r="P75" s="411" t="s">
        <v>1248</v>
      </c>
      <c r="Q75" s="523">
        <v>3.62</v>
      </c>
      <c r="R75" s="523">
        <v>-1</v>
      </c>
      <c r="S75" s="411" t="s">
        <v>1248</v>
      </c>
      <c r="T75" s="525" t="s">
        <v>1248</v>
      </c>
      <c r="U75" s="521">
        <v>2.2955000000000001</v>
      </c>
      <c r="V75" s="522">
        <v>0.57230000000000003</v>
      </c>
    </row>
    <row r="76" spans="15:22" ht="19.2">
      <c r="O76" s="413" t="s">
        <v>1254</v>
      </c>
      <c r="P76" s="414">
        <v>44443</v>
      </c>
      <c r="Q76" s="415" t="s">
        <v>1359</v>
      </c>
      <c r="R76" s="414">
        <v>44931</v>
      </c>
      <c r="S76" s="415" t="s">
        <v>1360</v>
      </c>
      <c r="T76" s="415">
        <v>0</v>
      </c>
      <c r="U76" s="415">
        <v>0</v>
      </c>
      <c r="V76" s="415">
        <v>0</v>
      </c>
    </row>
    <row r="77" spans="15:22" ht="15.6">
      <c r="O77" s="530" t="s">
        <v>1363</v>
      </c>
    </row>
  </sheetData>
  <mergeCells count="6">
    <mergeCell ref="Z43:Z44"/>
    <mergeCell ref="AB43:AB44"/>
    <mergeCell ref="N38:P38"/>
    <mergeCell ref="F26:H26"/>
    <mergeCell ref="J26:L26"/>
    <mergeCell ref="N26:P26"/>
  </mergeCells>
  <hyperlinks>
    <hyperlink ref="O61" r:id="rId1" display="https://www.marketscreener.com/quote/stock/DIDI-GLOBAL-INC-124258212/finances/" xr:uid="{9C0EA7B2-D29F-4C72-8393-4434895250F1}"/>
  </hyperlinks>
  <pageMargins left="0.7" right="0.7" top="0.75" bottom="0.75" header="0.3" footer="0.3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0807F-2A8B-4C89-BCBD-604C0DAF5E1B}">
  <dimension ref="A1"/>
  <sheetViews>
    <sheetView workbookViewId="0">
      <selection activeCell="I9" sqref="I9"/>
    </sheetView>
  </sheetViews>
  <sheetFormatPr defaultRowHeight="14.4"/>
  <cols>
    <col min="3" max="3" width="51.33203125" bestFit="1" customWidth="1"/>
    <col min="5" max="5" width="7.21875" bestFit="1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AE5F26-E910-40C1-848A-15239E7501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Revenue Segment</vt:lpstr>
      <vt:lpstr>IS</vt:lpstr>
      <vt:lpstr>BS</vt:lpstr>
      <vt:lpstr>CFS</vt:lpstr>
      <vt:lpstr>Debt Schedule</vt:lpstr>
      <vt:lpstr>Fixed Asset schdeule</vt:lpstr>
      <vt:lpstr>BETA</vt:lpstr>
      <vt:lpstr>WACC</vt:lpstr>
      <vt:lpstr>DCF</vt:lpstr>
      <vt:lpstr>LYFT</vt:lpstr>
      <vt:lpstr>GRAB</vt:lpstr>
      <vt:lpstr>Trading Comps</vt:lpstr>
      <vt:lpstr>Comps Output</vt:lpstr>
      <vt:lpstr>DIDI</vt:lpstr>
      <vt:lpstr>DOOR DASH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R</dc:creator>
  <cp:lastModifiedBy>Shashank R</cp:lastModifiedBy>
  <dcterms:created xsi:type="dcterms:W3CDTF">2024-12-21T06:43:07Z</dcterms:created>
  <dcterms:modified xsi:type="dcterms:W3CDTF">2025-04-05T09:48:07Z</dcterms:modified>
</cp:coreProperties>
</file>