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work1\009 EW DD\QA_PlaxisInput\"/>
    </mc:Choice>
  </mc:AlternateContent>
  <xr:revisionPtr revIDLastSave="0" documentId="13_ncr:1_{B120DDFB-B0E3-4EB0-8D2A-ABE677651ED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Sheet1!$C$1:$X$26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S34" i="1"/>
  <c r="S35" i="1"/>
  <c r="S36" i="1"/>
  <c r="S44" i="1"/>
  <c r="S45" i="1"/>
  <c r="S46" i="1"/>
  <c r="S47" i="1"/>
  <c r="S48" i="1"/>
  <c r="S49" i="1"/>
  <c r="S50" i="1"/>
  <c r="S51" i="1"/>
  <c r="S52" i="1"/>
  <c r="S53" i="1"/>
  <c r="S28" i="1"/>
  <c r="S54" i="1" s="1"/>
  <c r="Q15" i="1"/>
  <c r="Q16" i="1"/>
  <c r="Q14" i="1"/>
  <c r="S15" i="1"/>
  <c r="S41" i="1" s="1"/>
  <c r="S16" i="1"/>
  <c r="S42" i="1" s="1"/>
  <c r="S14" i="1"/>
  <c r="S40" i="1" s="1"/>
  <c r="S19" i="1"/>
  <c r="S13" i="1"/>
  <c r="S39" i="1" s="1"/>
  <c r="S12" i="1"/>
  <c r="S38" i="1" s="1"/>
  <c r="Q13" i="1"/>
  <c r="Q12" i="1"/>
  <c r="Q11" i="1"/>
  <c r="S11" i="1"/>
  <c r="S37" i="1" s="1"/>
  <c r="S10" i="1"/>
  <c r="S8" i="1"/>
  <c r="S9" i="1"/>
  <c r="S7" i="1"/>
  <c r="S33" i="1" s="1"/>
  <c r="S5" i="1"/>
  <c r="S31" i="1" s="1"/>
  <c r="S4" i="1"/>
  <c r="S30" i="1" s="1"/>
  <c r="S6" i="1"/>
  <c r="S32" i="1" s="1"/>
  <c r="Q6" i="1"/>
  <c r="Q5" i="1"/>
  <c r="S18" i="1"/>
  <c r="S17" i="1"/>
  <c r="S43" i="1" s="1"/>
  <c r="Q46" i="1"/>
  <c r="Q47" i="1"/>
  <c r="Q48" i="1"/>
  <c r="Q49" i="1"/>
  <c r="Q50" i="1"/>
  <c r="Q51" i="1"/>
  <c r="Q52" i="1"/>
  <c r="Q53" i="1"/>
  <c r="V53" i="1"/>
  <c r="T53" i="1"/>
  <c r="U53" i="1"/>
  <c r="Q19" i="1"/>
  <c r="Q45" i="1" s="1"/>
  <c r="H2" i="1" l="1"/>
  <c r="I2" i="1"/>
  <c r="H3" i="1"/>
  <c r="I3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U3" i="1" s="1"/>
  <c r="U29" i="1" s="1"/>
  <c r="J5" i="1"/>
  <c r="U5" i="1" s="1"/>
  <c r="U31" i="1" s="1"/>
  <c r="J6" i="1"/>
  <c r="U6" i="1" s="1"/>
  <c r="U32" i="1" s="1"/>
  <c r="J7" i="1"/>
  <c r="U7" i="1" s="1"/>
  <c r="U33" i="1" s="1"/>
  <c r="J8" i="1"/>
  <c r="U8" i="1" s="1"/>
  <c r="U34" i="1" s="1"/>
  <c r="J9" i="1"/>
  <c r="U9" i="1" s="1"/>
  <c r="U35" i="1" s="1"/>
  <c r="J10" i="1"/>
  <c r="J11" i="1"/>
  <c r="U11" i="1" s="1"/>
  <c r="U37" i="1" s="1"/>
  <c r="J12" i="1"/>
  <c r="U12" i="1" s="1"/>
  <c r="U38" i="1" s="1"/>
  <c r="J13" i="1"/>
  <c r="U13" i="1" s="1"/>
  <c r="U39" i="1" s="1"/>
  <c r="J14" i="1"/>
  <c r="U14" i="1" s="1"/>
  <c r="U40" i="1" s="1"/>
  <c r="J15" i="1"/>
  <c r="U15" i="1" s="1"/>
  <c r="U41" i="1" s="1"/>
  <c r="J16" i="1"/>
  <c r="U16" i="1" s="1"/>
  <c r="U42" i="1" s="1"/>
  <c r="J17" i="1"/>
  <c r="U17" i="1" s="1"/>
  <c r="U43" i="1" s="1"/>
  <c r="J18" i="1"/>
  <c r="U18" i="1" s="1"/>
  <c r="U44" i="1" s="1"/>
  <c r="J2" i="1"/>
  <c r="U2" i="1" s="1"/>
  <c r="U28" i="1" s="1"/>
  <c r="U54" i="1" s="1"/>
  <c r="U10" i="1" l="1"/>
  <c r="U36" i="1" s="1"/>
  <c r="Q2" i="1" l="1"/>
  <c r="Q28" i="1" s="1"/>
  <c r="Q54" i="1" s="1"/>
  <c r="Q18" i="1"/>
  <c r="Q44" i="1" s="1"/>
  <c r="Q17" i="1"/>
  <c r="Q43" i="1" s="1"/>
  <c r="Q42" i="1"/>
  <c r="Q41" i="1"/>
  <c r="Q40" i="1"/>
  <c r="Q39" i="1"/>
  <c r="Q38" i="1"/>
  <c r="Q37" i="1"/>
  <c r="Q10" i="1"/>
  <c r="Q36" i="1" s="1"/>
  <c r="Q8" i="1"/>
  <c r="Q34" i="1" s="1"/>
  <c r="Q9" i="1"/>
  <c r="Q35" i="1" s="1"/>
  <c r="Q7" i="1"/>
  <c r="Q33" i="1" s="1"/>
  <c r="Q32" i="1"/>
  <c r="Q31" i="1"/>
  <c r="Q4" i="1"/>
  <c r="Q30" i="1" s="1"/>
  <c r="Q3" i="1"/>
  <c r="Q29" i="1" s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T18" i="1" l="1"/>
  <c r="T5" i="1"/>
  <c r="T8" i="1"/>
  <c r="T12" i="1"/>
  <c r="T14" i="1"/>
  <c r="T2" i="1"/>
  <c r="D21" i="1"/>
  <c r="D24" i="1"/>
  <c r="D20" i="1"/>
  <c r="D25" i="1"/>
  <c r="D23" i="1"/>
  <c r="D4" i="1"/>
  <c r="D19" i="1"/>
  <c r="D26" i="1"/>
  <c r="D22" i="1"/>
  <c r="AD20" i="1"/>
  <c r="V12" i="1" l="1"/>
  <c r="V38" i="1" s="1"/>
  <c r="T38" i="1"/>
  <c r="T34" i="1"/>
  <c r="V8" i="1"/>
  <c r="V34" i="1" s="1"/>
  <c r="V2" i="1"/>
  <c r="V28" i="1" s="1"/>
  <c r="V54" i="1" s="1"/>
  <c r="T28" i="1"/>
  <c r="T54" i="1" s="1"/>
  <c r="V5" i="1"/>
  <c r="V31" i="1" s="1"/>
  <c r="T31" i="1"/>
  <c r="V14" i="1"/>
  <c r="V40" i="1" s="1"/>
  <c r="T40" i="1"/>
  <c r="T44" i="1"/>
  <c r="V18" i="1"/>
  <c r="V44" i="1" s="1"/>
  <c r="L14" i="1"/>
  <c r="L12" i="1"/>
  <c r="L8" i="1"/>
  <c r="L5" i="1"/>
  <c r="L18" i="1"/>
  <c r="H19" i="1"/>
  <c r="I19" i="1"/>
  <c r="H4" i="1"/>
  <c r="I4" i="1"/>
  <c r="M23" i="1"/>
  <c r="J23" i="1"/>
  <c r="U23" i="1" s="1"/>
  <c r="U49" i="1" s="1"/>
  <c r="M19" i="1"/>
  <c r="K19" i="1"/>
  <c r="J19" i="1"/>
  <c r="M26" i="1"/>
  <c r="J26" i="1"/>
  <c r="U26" i="1" s="1"/>
  <c r="U52" i="1" s="1"/>
  <c r="M20" i="1"/>
  <c r="J20" i="1"/>
  <c r="U20" i="1" s="1"/>
  <c r="U46" i="1" s="1"/>
  <c r="M24" i="1"/>
  <c r="J24" i="1"/>
  <c r="U24" i="1" s="1"/>
  <c r="U50" i="1" s="1"/>
  <c r="M4" i="1"/>
  <c r="K4" i="1"/>
  <c r="J4" i="1"/>
  <c r="M25" i="1"/>
  <c r="J25" i="1"/>
  <c r="U25" i="1" s="1"/>
  <c r="U51" i="1" s="1"/>
  <c r="M22" i="1"/>
  <c r="J22" i="1"/>
  <c r="U22" i="1" s="1"/>
  <c r="U48" i="1" s="1"/>
  <c r="M21" i="1"/>
  <c r="J21" i="1"/>
  <c r="U21" i="1" s="1"/>
  <c r="U47" i="1" s="1"/>
  <c r="T3" i="1"/>
  <c r="T17" i="1"/>
  <c r="T7" i="1"/>
  <c r="T6" i="1"/>
  <c r="L2" i="1"/>
  <c r="T13" i="1"/>
  <c r="T11" i="1"/>
  <c r="O11" i="1"/>
  <c r="O3" i="1"/>
  <c r="O14" i="1"/>
  <c r="O18" i="1"/>
  <c r="O9" i="1"/>
  <c r="O5" i="1"/>
  <c r="O15" i="1"/>
  <c r="O6" i="1"/>
  <c r="O16" i="1"/>
  <c r="O7" i="1"/>
  <c r="O17" i="1"/>
  <c r="O10" i="1"/>
  <c r="O8" i="1"/>
  <c r="O2" i="1"/>
  <c r="T15" i="1"/>
  <c r="O12" i="1"/>
  <c r="O13" i="1"/>
  <c r="O19" i="1"/>
  <c r="O26" i="1"/>
  <c r="T9" i="1"/>
  <c r="O4" i="1"/>
  <c r="O23" i="1"/>
  <c r="O25" i="1"/>
  <c r="O20" i="1"/>
  <c r="O24" i="1"/>
  <c r="O22" i="1"/>
  <c r="O21" i="1"/>
  <c r="T10" i="1"/>
  <c r="T16" i="1"/>
  <c r="T37" i="1" l="1"/>
  <c r="V11" i="1"/>
  <c r="V37" i="1" s="1"/>
  <c r="T41" i="1"/>
  <c r="V15" i="1"/>
  <c r="V41" i="1" s="1"/>
  <c r="V6" i="1"/>
  <c r="V32" i="1" s="1"/>
  <c r="T32" i="1"/>
  <c r="V13" i="1"/>
  <c r="V39" i="1" s="1"/>
  <c r="T39" i="1"/>
  <c r="V10" i="1"/>
  <c r="V36" i="1" s="1"/>
  <c r="T36" i="1"/>
  <c r="V9" i="1"/>
  <c r="V35" i="1" s="1"/>
  <c r="T35" i="1"/>
  <c r="T33" i="1"/>
  <c r="V7" i="1"/>
  <c r="V33" i="1" s="1"/>
  <c r="V17" i="1"/>
  <c r="V43" i="1" s="1"/>
  <c r="T43" i="1"/>
  <c r="T29" i="1"/>
  <c r="V3" i="1"/>
  <c r="V29" i="1" s="1"/>
  <c r="V16" i="1"/>
  <c r="V42" i="1" s="1"/>
  <c r="T42" i="1"/>
  <c r="L15" i="1"/>
  <c r="L6" i="1"/>
  <c r="L7" i="1"/>
  <c r="L10" i="1"/>
  <c r="L3" i="1"/>
  <c r="L13" i="1"/>
  <c r="L9" i="1"/>
  <c r="L11" i="1"/>
  <c r="L17" i="1"/>
  <c r="U4" i="1"/>
  <c r="U30" i="1" s="1"/>
  <c r="U19" i="1"/>
  <c r="U45" i="1" s="1"/>
  <c r="T24" i="1"/>
  <c r="T20" i="1"/>
  <c r="T19" i="1"/>
  <c r="T26" i="1"/>
  <c r="T25" i="1"/>
  <c r="T22" i="1"/>
  <c r="T21" i="1"/>
  <c r="T23" i="1"/>
  <c r="T4" i="1"/>
  <c r="L16" i="1"/>
  <c r="V24" i="1" l="1"/>
  <c r="V50" i="1" s="1"/>
  <c r="T50" i="1"/>
  <c r="V21" i="1"/>
  <c r="V47" i="1" s="1"/>
  <c r="T47" i="1"/>
  <c r="V4" i="1"/>
  <c r="V30" i="1" s="1"/>
  <c r="T30" i="1"/>
  <c r="T49" i="1"/>
  <c r="V23" i="1"/>
  <c r="V49" i="1" s="1"/>
  <c r="L22" i="1"/>
  <c r="T48" i="1"/>
  <c r="V22" i="1"/>
  <c r="V48" i="1" s="1"/>
  <c r="V25" i="1"/>
  <c r="V51" i="1" s="1"/>
  <c r="T51" i="1"/>
  <c r="L26" i="1"/>
  <c r="T52" i="1"/>
  <c r="V26" i="1"/>
  <c r="V52" i="1" s="1"/>
  <c r="T45" i="1"/>
  <c r="V19" i="1"/>
  <c r="V45" i="1" s="1"/>
  <c r="L20" i="1"/>
  <c r="V20" i="1"/>
  <c r="V46" i="1" s="1"/>
  <c r="T46" i="1"/>
  <c r="L24" i="1"/>
  <c r="L19" i="1"/>
  <c r="L25" i="1"/>
  <c r="L21" i="1"/>
  <c r="L23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A17" authorId="0" shapeId="0" xr:uid="{5FE7553C-23BD-424A-A6EC-EC743F10CDA4}">
      <text>
        <r>
          <rPr>
            <b/>
            <sz val="9"/>
            <color indexed="81"/>
            <rFont val="Tahoma"/>
            <family val="2"/>
          </rPr>
          <t>Mustafa Jafari:</t>
        </r>
        <r>
          <rPr>
            <sz val="9"/>
            <color indexed="81"/>
            <rFont val="Tahoma"/>
            <family val="2"/>
          </rPr>
          <t xml:space="preserve">
Interpoldated  from design profile based on OCR</t>
        </r>
      </text>
    </comment>
  </commentList>
</comments>
</file>

<file path=xl/sharedStrings.xml><?xml version="1.0" encoding="utf-8"?>
<sst xmlns="http://schemas.openxmlformats.org/spreadsheetml/2006/main" count="242" uniqueCount="110">
  <si>
    <t>unit</t>
  </si>
  <si>
    <t>SS1_1</t>
  </si>
  <si>
    <t>SS1_2</t>
  </si>
  <si>
    <t>H1</t>
  </si>
  <si>
    <t>H2_1</t>
  </si>
  <si>
    <t>H2_2</t>
  </si>
  <si>
    <t>H3</t>
  </si>
  <si>
    <t>PC1_1</t>
  </si>
  <si>
    <t>PC1_2</t>
  </si>
  <si>
    <t>PC2</t>
  </si>
  <si>
    <t>PH1_1</t>
  </si>
  <si>
    <t>PH1_2</t>
  </si>
  <si>
    <t>PH1_3</t>
  </si>
  <si>
    <t>PH2</t>
  </si>
  <si>
    <t>PM1_1</t>
  </si>
  <si>
    <t>PM1_2</t>
  </si>
  <si>
    <t>PM2</t>
  </si>
  <si>
    <t>PM3</t>
  </si>
  <si>
    <t>PM4</t>
  </si>
  <si>
    <t>PM5_1</t>
  </si>
  <si>
    <t>PM5_2</t>
  </si>
  <si>
    <t>CC1_1</t>
  </si>
  <si>
    <t>CC1_2</t>
  </si>
  <si>
    <t>CC1_3</t>
  </si>
  <si>
    <t>CC2</t>
  </si>
  <si>
    <t>CC3</t>
  </si>
  <si>
    <t>batch_name</t>
  </si>
  <si>
    <t>BatchA_OCR-1_DR70</t>
  </si>
  <si>
    <t>BatchA_OCR-1_DR83_drain</t>
  </si>
  <si>
    <t>Batch2a_OCR-16_Ip-16</t>
  </si>
  <si>
    <t>Batch2c_OCR-8_Ip-37</t>
  </si>
  <si>
    <t>Batch3_OCR-1_DR77</t>
  </si>
  <si>
    <t>Batch3_OCR-6_DR80</t>
  </si>
  <si>
    <t>Drammen_Clay_4</t>
  </si>
  <si>
    <t>BatchB_OCR-1_DR69</t>
  </si>
  <si>
    <t>BatchB_OCR-1_DR69_undrain</t>
  </si>
  <si>
    <t>BatchB_OCR-1_DR84</t>
  </si>
  <si>
    <t>Batch19b_OCR-6</t>
  </si>
  <si>
    <t>Batch20a_OCR-6_DR80</t>
  </si>
  <si>
    <t>Batch21a_OCR-1,3</t>
  </si>
  <si>
    <t>Batch21a_OCR-1,5</t>
  </si>
  <si>
    <t>BatchC2_OCR-6_Ip-55</t>
  </si>
  <si>
    <t>filename</t>
  </si>
  <si>
    <t>Stress_Strain_Curves_BatchA_OCR-1_DR70.xlsx</t>
  </si>
  <si>
    <t>Stress_Strain_Curves_BatchA_OCR-1_DR83_drain.xlsx</t>
  </si>
  <si>
    <t>Stress_Strain_Curves_Batch2a_OCR-16_Ip-16.xlsx</t>
  </si>
  <si>
    <t>Stress_Strain_Curves_Batch2c_OCR-8_Ip-37.xlsx</t>
  </si>
  <si>
    <t>Stress_Strain_Curves_Batch3_OCR-1_DR77.xlsx</t>
  </si>
  <si>
    <t>Stress_Strain_Curves_Batch3_OCR-6_DR80.xlsx</t>
  </si>
  <si>
    <t>Stress_Strain_Curves_Drammen_Clay_4.xlsx</t>
  </si>
  <si>
    <t>Stress_Strain_Curves_BatchB_OCR-1_DR69.xlsx</t>
  </si>
  <si>
    <t>Stress_Strain_Curves_BatchB_OCR-1_DR69_undrain.xlsx</t>
  </si>
  <si>
    <t>Stress_Strain_Curves_BatchB_OCR-1_DR84.xlsx</t>
  </si>
  <si>
    <t>Stress_Strain_Curves_Batch19b_OCR-6.xlsx</t>
  </si>
  <si>
    <t>Stress_Strain_Curves_Batch20a_OCR-6_DR80.xlsx</t>
  </si>
  <si>
    <t>Stress_Strain_Curves_Batch21a_OCR-1,3.xlsx</t>
  </si>
  <si>
    <t>Stress_Strain_Curves_Batch21a_OCR-1,5.xlsx</t>
  </si>
  <si>
    <t>Stress_Strain_Curves_BatchC2_OCR-6_Ip-55.xlsx</t>
  </si>
  <si>
    <t>folder</t>
  </si>
  <si>
    <t>O:\A230000\A234416\20-Data\Geo\03_CYCLIC\All_Cyclic_Contour_20220215\BATCHES\A\A_FC1.4_OCR1_DR70\DSS\Fig_6_3_14_BatchA_DSS_Strain_Tau-0</t>
  </si>
  <si>
    <t>O:\A230000\A234416\20-Data\Geo\03_CYCLIC\All_Cyclic_Contour_20220215\BATCHES\A\A_FC1.4_OCR1_DR83\DSS\Fig_6_3_1to6_A_DSS_Strain_Tau-0</t>
  </si>
  <si>
    <t>O:\A230000\A234416\20-Data\Geo\03_CYCLIC\All_Cyclic_Contour_20220215\BATCHES\2a\Unit2a_OCR16_Ip16\DSS\Fig_4_9_6_4_Batch2a_DSS_strain_Tau-0</t>
  </si>
  <si>
    <t>O:\A230000\A234416\20-Data\Geo\03_CYCLIC\All_Cyclic_Contour_20220215\BATCHES\2c\Unit2c_OCR8_Ip37\DSS\Fig_4_9_6_9_Batch2a_DSS_strain_Tau-0</t>
  </si>
  <si>
    <t>O:\A230000\A234416\20-Data\Geo\03_CYCLIC\All_Cyclic_Contour_20220215\BATCHES\3\Batch3_FC14_OCR1_DR77\DSS\Fig_4_9_5_3d_Batch3_DSS_strain_Tau-0</t>
  </si>
  <si>
    <t>O:\A230000\A234416\20-Data\Geo\03_CYCLIC\All_Cyclic_Contour_20220215\BATCHES\3\Batch3_FC14_OCR6_DR80\DSS\Fig_4_9_5_2d_Batch3_DSS_strain_Tau-0</t>
  </si>
  <si>
    <t>O:\A230000\A234416\20-Data\Geo\03_CYCLIC\All_Cyclic_Contour_20220215\BATCHES\Drammen_Clay_4_corrected\DSS\DSS_Strain_Tau-0</t>
  </si>
  <si>
    <t>O:\A230000\A234416\20-Data\Geo\03_CYCLIC\All_Cyclic_Contour_20220215\BATCHES\B\B_FC15.1_OCR1_DR69\DSS\Fig_7_3_5_B_DSS_strain_Tau-0</t>
  </si>
  <si>
    <t>O:\A230000\A234416\20-Data\Geo\03_CYCLIC\All_Cyclic_Contour_20220215\BATCHES\B\B_FC15.1_OCR1_DR69_undrained\DSS\Fig_7_3_11_B_DSS_strain_Tau-0</t>
  </si>
  <si>
    <t>O:\A230000\A234416\20-Data\Geo\03_CYCLIC\All_Cyclic_Contour_20220215\BATCHES\B\B_FC15.1_OCR1_DR84\DSS\Fig_7_3_15_B_DSS_strain_Tau-0</t>
  </si>
  <si>
    <t>O:\A230000\A234416\20-Data\Geo\03_CYCLIC\All_Cyclic_Contour_20220215\BATCHES\19b\19b_FC30_OCR6_DR50\DSS\Fig_4_9_5_4d_Batch19b_DSS_strain_Tau-0</t>
  </si>
  <si>
    <t>O:\A230000\A234416\20-Data\Geo\03_CYCLIC\All_Cyclic_Contour_20220215\BATCHES\20a\20a_FC18_OCR6_DR80\DSS\Fig_4_9_5_5d_Batch20a_DSS_strain_Tau-0</t>
  </si>
  <si>
    <t>O:\A230000\A234416\20-Data\Geo\03_CYCLIC\All_Cyclic_Contour_20220215\BATCHES\21a\21a_FC17_OCR1.3_DR35\DSS\Fig_4_9_5_6d_Batch21a_DSS_strain_Tau-0</t>
  </si>
  <si>
    <t>O:\A230000\A234416\20-Data\Geo\03_CYCLIC\All_Cyclic_Contour_20220215\BATCHES\21a\21a_FC17_OCR1.5_DR85\DSS\Fig_4_9_5_7d_Batch21a_DSS_strain_Tau-0</t>
  </si>
  <si>
    <t>O:\A230000\A234416\20-Data\Geo\03_CYCLIC\All_Cyclic_Contour_20220215\BATCHES\C2\C2_OCR6_Ip55\DSS\Fig_5_2_13_C2_DSS_Strain_Tau-0</t>
  </si>
  <si>
    <t>Drainage</t>
  </si>
  <si>
    <t>DR</t>
  </si>
  <si>
    <t>drained</t>
  </si>
  <si>
    <t>undrained</t>
  </si>
  <si>
    <t>m</t>
  </si>
  <si>
    <t>SS1</t>
  </si>
  <si>
    <t>H2</t>
  </si>
  <si>
    <t>PM1</t>
  </si>
  <si>
    <t>PH1</t>
  </si>
  <si>
    <t>CC1</t>
  </si>
  <si>
    <t>PC1</t>
  </si>
  <si>
    <t>PM5</t>
  </si>
  <si>
    <t>G_1</t>
  </si>
  <si>
    <t>G_2</t>
  </si>
  <si>
    <t>E_1</t>
  </si>
  <si>
    <t>E_2</t>
  </si>
  <si>
    <t/>
  </si>
  <si>
    <t>sub_unit</t>
  </si>
  <si>
    <t>soil_type</t>
  </si>
  <si>
    <t>sand</t>
  </si>
  <si>
    <t>clay</t>
  </si>
  <si>
    <t>power_m</t>
  </si>
  <si>
    <t>phi_mean</t>
  </si>
  <si>
    <t>phi</t>
  </si>
  <si>
    <t>Batch_name</t>
  </si>
  <si>
    <t>E50_1</t>
  </si>
  <si>
    <t>E50_2</t>
  </si>
  <si>
    <t>74%*Eoed</t>
  </si>
  <si>
    <t>Drainage_String</t>
  </si>
  <si>
    <t>E_oed</t>
  </si>
  <si>
    <t>E_50</t>
  </si>
  <si>
    <t>E_ur</t>
  </si>
  <si>
    <t>DR_based_on_OCR</t>
  </si>
  <si>
    <t>Error: Use Eur &gt; 2*E50!</t>
  </si>
  <si>
    <t>K0</t>
  </si>
  <si>
    <t>sig_ref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</si>
</sst>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NumberFormat="1" applyBorder="1"/>
    <xf numFmtId="0" fontId="1" fillId="0" borderId="2" xfId="0" applyNumberFormat="1" applyFont="1" applyBorder="1"/>
    <xf numFmtId="0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  <xf numFmtId="0" fontId="0" fillId="2" borderId="3" xfId="0" applyNumberFormat="1" applyFill="1" applyBorder="1" applyAlignment="1">
      <alignment horizontal="center"/>
    </xf>
    <xf numFmtId="0" fontId="0" fillId="2" borderId="0" xfId="0" applyNumberFormat="1" applyFill="1"/>
    <xf numFmtId="0" fontId="0" fillId="3" borderId="1" xfId="0" applyNumberFormat="1" applyFill="1" applyBorder="1"/>
    <xf numFmtId="0" fontId="1" fillId="3" borderId="2" xfId="0" applyNumberFormat="1" applyFont="1" applyFill="1" applyBorder="1"/>
    <xf numFmtId="0" fontId="0" fillId="3" borderId="2" xfId="0" applyNumberFormat="1" applyFill="1" applyBorder="1"/>
    <xf numFmtId="0" fontId="1" fillId="3" borderId="2" xfId="0" applyNumberFormat="1" applyFont="1" applyFill="1" applyBorder="1" applyAlignment="1">
      <alignment horizontal="center"/>
    </xf>
    <xf numFmtId="0" fontId="0" fillId="3" borderId="0" xfId="0" applyNumberFormat="1" applyFill="1"/>
    <xf numFmtId="0" fontId="0" fillId="3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3" fillId="0" borderId="2" xfId="0" applyNumberFormat="1" applyFont="1" applyBorder="1"/>
    <xf numFmtId="0" fontId="0" fillId="2" borderId="3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6" fillId="0" borderId="0" xfId="0" applyNumberFormat="1" applyFont="1" applyFill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4"/>
  <sheetViews>
    <sheetView tabSelected="1" zoomScale="85" zoomScaleNormal="85" workbookViewId="0">
      <selection activeCell="V13" sqref="V13"/>
    </sheetView>
  </sheetViews>
  <sheetFormatPr defaultRowHeight="15" x14ac:dyDescent="0.25"/>
  <cols>
    <col min="1" max="1" width="18" style="6" bestFit="1" customWidth="1"/>
    <col min="2" max="2" width="5.42578125" style="6" bestFit="1" customWidth="1"/>
    <col min="3" max="3" width="10.5703125" style="6" customWidth="1"/>
    <col min="4" max="4" width="6.5703125" style="6" bestFit="1" customWidth="1"/>
    <col min="5" max="5" width="6.5703125" style="6" customWidth="1"/>
    <col min="6" max="6" width="31.7109375" style="6" hidden="1" customWidth="1"/>
    <col min="7" max="7" width="11.140625" style="6" hidden="1" customWidth="1"/>
    <col min="8" max="8" width="10.28515625" style="6" hidden="1" customWidth="1"/>
    <col min="9" max="9" width="12.140625" style="6" hidden="1" customWidth="1"/>
    <col min="10" max="10" width="11.42578125" style="6" hidden="1" customWidth="1"/>
    <col min="11" max="11" width="11.7109375" style="6" hidden="1" customWidth="1"/>
    <col min="12" max="12" width="14.140625" style="6" hidden="1" customWidth="1"/>
    <col min="13" max="13" width="26.85546875" style="6" hidden="1" customWidth="1"/>
    <col min="14" max="14" width="17.140625" style="6" hidden="1" customWidth="1"/>
    <col min="15" max="15" width="11.42578125" style="6" hidden="1" customWidth="1"/>
    <col min="16" max="16" width="11.42578125" style="6" customWidth="1"/>
    <col min="17" max="17" width="11.42578125" style="23" customWidth="1"/>
    <col min="18" max="18" width="26.85546875" style="6" customWidth="1"/>
    <col min="19" max="19" width="8" style="6" bestFit="1" customWidth="1"/>
    <col min="20" max="20" width="26.85546875" style="6" customWidth="1"/>
    <col min="21" max="21" width="26.85546875" style="23" customWidth="1"/>
    <col min="22" max="22" width="26.85546875" style="6" customWidth="1"/>
    <col min="23" max="23" width="143.5703125" style="6" customWidth="1"/>
    <col min="24" max="24" width="50.28515625" style="6" customWidth="1"/>
    <col min="27" max="30" width="9.140625" style="6"/>
    <col min="31" max="31" width="9.85546875" style="6" bestFit="1" customWidth="1"/>
    <col min="32" max="34" width="9.140625" style="6"/>
    <col min="35" max="35" width="12.42578125" style="6" bestFit="1" customWidth="1"/>
    <col min="36" max="16384" width="9.140625" style="6"/>
  </cols>
  <sheetData>
    <row r="1" spans="1:42" s="25" customFormat="1" ht="21" customHeight="1" x14ac:dyDescent="0.25">
      <c r="A1" s="25" t="s">
        <v>106</v>
      </c>
      <c r="B1" s="26" t="s">
        <v>75</v>
      </c>
      <c r="C1" s="27" t="s">
        <v>91</v>
      </c>
      <c r="D1" s="26" t="s">
        <v>0</v>
      </c>
      <c r="E1" s="26"/>
      <c r="F1" s="27" t="s">
        <v>26</v>
      </c>
      <c r="G1" s="26" t="s">
        <v>92</v>
      </c>
      <c r="H1" s="28" t="s">
        <v>88</v>
      </c>
      <c r="I1" s="28" t="s">
        <v>89</v>
      </c>
      <c r="J1" s="28" t="s">
        <v>99</v>
      </c>
      <c r="K1" s="28" t="s">
        <v>100</v>
      </c>
      <c r="L1" s="28" t="s">
        <v>101</v>
      </c>
      <c r="M1" s="28" t="s">
        <v>96</v>
      </c>
      <c r="N1" s="28" t="s">
        <v>102</v>
      </c>
      <c r="O1" s="26" t="s">
        <v>95</v>
      </c>
      <c r="P1" s="26" t="s">
        <v>109</v>
      </c>
      <c r="Q1" s="26" t="s">
        <v>97</v>
      </c>
      <c r="R1" s="26" t="s">
        <v>74</v>
      </c>
      <c r="S1" s="26" t="s">
        <v>108</v>
      </c>
      <c r="T1" s="26" t="s">
        <v>103</v>
      </c>
      <c r="U1" s="26" t="s">
        <v>104</v>
      </c>
      <c r="V1" s="26" t="s">
        <v>105</v>
      </c>
      <c r="W1" s="27" t="s">
        <v>58</v>
      </c>
      <c r="X1" s="27" t="s">
        <v>42</v>
      </c>
    </row>
    <row r="2" spans="1:42" x14ac:dyDescent="0.25">
      <c r="B2" s="1">
        <v>83</v>
      </c>
      <c r="C2" s="5" t="s">
        <v>2</v>
      </c>
      <c r="D2" s="2" t="s">
        <v>79</v>
      </c>
      <c r="E2" s="2"/>
      <c r="F2" s="5" t="s">
        <v>28</v>
      </c>
      <c r="G2" s="2" t="s">
        <v>93</v>
      </c>
      <c r="H2" s="3">
        <f t="shared" ref="H2:H19" si="0">VLOOKUP(D2,$AJ$17:$AN$39,4,FALSE)</f>
        <v>0</v>
      </c>
      <c r="I2" s="3">
        <f t="shared" ref="I2:I19" si="1">VLOOKUP(D2,$AJ$17:$AN$39,5,FALSE)</f>
        <v>126.49</v>
      </c>
      <c r="J2" s="18">
        <f>VLOOKUP(D2,$AJ$16:$AP$39,6,FALSE)</f>
        <v>0</v>
      </c>
      <c r="K2" s="19">
        <f t="shared" ref="K2:K19" si="2">VLOOKUP(D2,$AJ$16:$AP$39,7,FALSE)</f>
        <v>198.97</v>
      </c>
      <c r="L2" s="19">
        <f t="shared" ref="L2:L26" si="3">0.74*T2</f>
        <v>77690.157999999996</v>
      </c>
      <c r="M2" s="3">
        <f t="shared" ref="M2:M26" si="4">ROUND(VLOOKUP(D2,$AC$18:$AE$33,3,FALSE),1)</f>
        <v>37.700000000000003</v>
      </c>
      <c r="N2" s="1" t="s">
        <v>76</v>
      </c>
      <c r="O2" s="3">
        <f t="shared" ref="O2:O26" si="5">VLOOKUP(D2,$AC$18:$AD$33,2,FALSE)</f>
        <v>0.63</v>
      </c>
      <c r="P2" s="3">
        <v>100</v>
      </c>
      <c r="Q2" s="29">
        <f>0.1683*B2 + 22.218</f>
        <v>36.186900000000001</v>
      </c>
      <c r="R2" s="19">
        <v>0</v>
      </c>
      <c r="S2" s="19">
        <v>0.33</v>
      </c>
      <c r="T2" s="3">
        <f t="shared" ref="T2:T26" si="6">(H2+I2*B2/100)*1000</f>
        <v>104986.7</v>
      </c>
      <c r="U2" s="3">
        <f t="shared" ref="U2:U26" si="7">(J2+K2*B2/100)*1000</f>
        <v>165145.09999999998</v>
      </c>
      <c r="V2" s="3">
        <f>MAX(3*T2,2.01*U2)</f>
        <v>331941.6509999999</v>
      </c>
      <c r="W2" s="4" t="s">
        <v>60</v>
      </c>
      <c r="X2" s="5" t="s">
        <v>44</v>
      </c>
    </row>
    <row r="3" spans="1:42" x14ac:dyDescent="0.25">
      <c r="B3" s="1">
        <v>70</v>
      </c>
      <c r="C3" s="5" t="s">
        <v>1</v>
      </c>
      <c r="D3" s="2" t="s">
        <v>79</v>
      </c>
      <c r="E3" s="2"/>
      <c r="F3" s="5" t="s">
        <v>27</v>
      </c>
      <c r="G3" s="2" t="s">
        <v>93</v>
      </c>
      <c r="H3" s="3">
        <f t="shared" si="0"/>
        <v>0</v>
      </c>
      <c r="I3" s="3">
        <f t="shared" si="1"/>
        <v>126.49</v>
      </c>
      <c r="J3" s="18">
        <f t="shared" ref="J3:J26" si="8">VLOOKUP(D3,$AJ$16:$AP$39,6,FALSE)</f>
        <v>0</v>
      </c>
      <c r="K3" s="19">
        <f t="shared" si="2"/>
        <v>198.97</v>
      </c>
      <c r="L3" s="19">
        <f t="shared" si="3"/>
        <v>65521.819999999985</v>
      </c>
      <c r="M3" s="3">
        <f t="shared" si="4"/>
        <v>37.700000000000003</v>
      </c>
      <c r="N3" s="1" t="s">
        <v>77</v>
      </c>
      <c r="O3" s="3">
        <f t="shared" si="5"/>
        <v>0.63</v>
      </c>
      <c r="P3" s="3">
        <v>100</v>
      </c>
      <c r="Q3" s="29">
        <f>0.1683*B3 + 22.218</f>
        <v>33.999000000000002</v>
      </c>
      <c r="R3" s="19">
        <v>2</v>
      </c>
      <c r="S3" s="19">
        <v>0.33</v>
      </c>
      <c r="T3" s="3">
        <f t="shared" si="6"/>
        <v>88542.999999999985</v>
      </c>
      <c r="U3" s="3">
        <f t="shared" si="7"/>
        <v>139279</v>
      </c>
      <c r="V3" s="3">
        <f t="shared" ref="V3:V19" si="9">MAX(3*T3,2.01*U3)</f>
        <v>279950.78999999998</v>
      </c>
      <c r="W3" s="5" t="s">
        <v>59</v>
      </c>
      <c r="X3" s="5" t="s">
        <v>43</v>
      </c>
    </row>
    <row r="4" spans="1:42" x14ac:dyDescent="0.25">
      <c r="B4" s="1">
        <v>80</v>
      </c>
      <c r="C4" s="5" t="s">
        <v>18</v>
      </c>
      <c r="D4" s="2" t="str">
        <f>C4</f>
        <v>PM4</v>
      </c>
      <c r="E4" s="2"/>
      <c r="F4" s="5" t="s">
        <v>38</v>
      </c>
      <c r="G4" s="2" t="s">
        <v>93</v>
      </c>
      <c r="H4" s="3">
        <f t="shared" si="0"/>
        <v>0</v>
      </c>
      <c r="I4" s="3">
        <f t="shared" si="1"/>
        <v>24.53</v>
      </c>
      <c r="J4" s="18">
        <f t="shared" si="8"/>
        <v>0</v>
      </c>
      <c r="K4" s="19">
        <f t="shared" si="2"/>
        <v>20.62</v>
      </c>
      <c r="L4" s="19">
        <f t="shared" si="3"/>
        <v>14521.760000000002</v>
      </c>
      <c r="M4" s="3">
        <f t="shared" si="4"/>
        <v>30.5</v>
      </c>
      <c r="N4" s="1" t="s">
        <v>77</v>
      </c>
      <c r="O4" s="3">
        <f t="shared" si="5"/>
        <v>0.62</v>
      </c>
      <c r="P4" s="3"/>
      <c r="Q4" s="29">
        <f xml:space="preserve"> 0.0858*B4 + 24.309</f>
        <v>31.173000000000002</v>
      </c>
      <c r="R4" s="19">
        <v>2</v>
      </c>
      <c r="S4" s="19">
        <f>0.0192*B4 - 0.24</f>
        <v>1.2959999999999998</v>
      </c>
      <c r="T4" s="3">
        <f t="shared" si="6"/>
        <v>19624.000000000004</v>
      </c>
      <c r="U4" s="3">
        <f t="shared" si="7"/>
        <v>16496.000000000004</v>
      </c>
      <c r="V4" s="3">
        <f t="shared" si="9"/>
        <v>58872.000000000015</v>
      </c>
      <c r="W4" s="5" t="s">
        <v>70</v>
      </c>
      <c r="X4" s="5" t="s">
        <v>54</v>
      </c>
    </row>
    <row r="5" spans="1:42" x14ac:dyDescent="0.25">
      <c r="B5" s="1">
        <v>83</v>
      </c>
      <c r="C5" s="5" t="s">
        <v>15</v>
      </c>
      <c r="D5" s="2" t="s">
        <v>81</v>
      </c>
      <c r="E5" s="2"/>
      <c r="F5" s="5" t="s">
        <v>28</v>
      </c>
      <c r="G5" s="2" t="s">
        <v>93</v>
      </c>
      <c r="H5" s="3">
        <f t="shared" si="0"/>
        <v>0</v>
      </c>
      <c r="I5" s="3">
        <f t="shared" si="1"/>
        <v>29.77</v>
      </c>
      <c r="J5" s="18">
        <f t="shared" si="8"/>
        <v>0</v>
      </c>
      <c r="K5" s="19">
        <f t="shared" si="2"/>
        <v>24.76</v>
      </c>
      <c r="L5" s="19">
        <f t="shared" si="3"/>
        <v>18284.734</v>
      </c>
      <c r="M5" s="3">
        <f t="shared" si="4"/>
        <v>37</v>
      </c>
      <c r="N5" s="1" t="s">
        <v>76</v>
      </c>
      <c r="O5" s="3">
        <f t="shared" si="5"/>
        <v>0.52</v>
      </c>
      <c r="P5" s="3"/>
      <c r="Q5" s="29">
        <f>0.1382*B5 + 27.361</f>
        <v>38.831600000000002</v>
      </c>
      <c r="R5" s="19">
        <v>0</v>
      </c>
      <c r="S5" s="19">
        <f>0.0179*B5 - 0.2225</f>
        <v>1.2632000000000001</v>
      </c>
      <c r="T5" s="3">
        <f t="shared" si="6"/>
        <v>24709.1</v>
      </c>
      <c r="U5" s="3">
        <f t="shared" si="7"/>
        <v>20550.8</v>
      </c>
      <c r="V5" s="3">
        <f t="shared" si="9"/>
        <v>74127.299999999988</v>
      </c>
      <c r="W5" s="5" t="s">
        <v>60</v>
      </c>
      <c r="X5" s="5" t="s">
        <v>44</v>
      </c>
    </row>
    <row r="6" spans="1:42" x14ac:dyDescent="0.25">
      <c r="B6" s="1">
        <v>70</v>
      </c>
      <c r="C6" s="5" t="s">
        <v>14</v>
      </c>
      <c r="D6" s="2" t="s">
        <v>81</v>
      </c>
      <c r="E6" s="2"/>
      <c r="F6" s="5" t="s">
        <v>27</v>
      </c>
      <c r="G6" s="2" t="s">
        <v>93</v>
      </c>
      <c r="H6" s="3">
        <f t="shared" si="0"/>
        <v>0</v>
      </c>
      <c r="I6" s="3">
        <f t="shared" si="1"/>
        <v>29.77</v>
      </c>
      <c r="J6" s="18">
        <f t="shared" si="8"/>
        <v>0</v>
      </c>
      <c r="K6" s="19">
        <f t="shared" si="2"/>
        <v>24.76</v>
      </c>
      <c r="L6" s="19">
        <f t="shared" si="3"/>
        <v>15420.860000000002</v>
      </c>
      <c r="M6" s="3">
        <f t="shared" si="4"/>
        <v>37</v>
      </c>
      <c r="N6" s="1" t="s">
        <v>77</v>
      </c>
      <c r="O6" s="3">
        <f t="shared" si="5"/>
        <v>0.52</v>
      </c>
      <c r="P6" s="3"/>
      <c r="Q6" s="29">
        <f>0.1382*B6 + 27.361</f>
        <v>37.034999999999997</v>
      </c>
      <c r="R6" s="19">
        <v>2</v>
      </c>
      <c r="S6" s="19">
        <f>0.0179*B6 - 0.2225</f>
        <v>1.0305</v>
      </c>
      <c r="T6" s="3">
        <f t="shared" si="6"/>
        <v>20839.000000000004</v>
      </c>
      <c r="U6" s="3">
        <f t="shared" si="7"/>
        <v>17332</v>
      </c>
      <c r="V6" s="3">
        <f t="shared" si="9"/>
        <v>62517.000000000015</v>
      </c>
      <c r="W6" s="5" t="s">
        <v>59</v>
      </c>
      <c r="X6" s="5" t="s">
        <v>43</v>
      </c>
    </row>
    <row r="7" spans="1:42" x14ac:dyDescent="0.25">
      <c r="B7" s="1">
        <v>84</v>
      </c>
      <c r="C7" s="5" t="s">
        <v>12</v>
      </c>
      <c r="D7" s="2" t="s">
        <v>82</v>
      </c>
      <c r="E7" s="2"/>
      <c r="F7" s="5" t="s">
        <v>36</v>
      </c>
      <c r="G7" s="2" t="s">
        <v>93</v>
      </c>
      <c r="H7" s="3">
        <f t="shared" si="0"/>
        <v>0</v>
      </c>
      <c r="I7" s="3">
        <f t="shared" si="1"/>
        <v>12.92</v>
      </c>
      <c r="J7" s="18">
        <f t="shared" si="8"/>
        <v>0</v>
      </c>
      <c r="K7" s="19">
        <f t="shared" si="2"/>
        <v>12.07</v>
      </c>
      <c r="L7" s="19">
        <f t="shared" si="3"/>
        <v>8031.072000000001</v>
      </c>
      <c r="M7" s="3">
        <f t="shared" si="4"/>
        <v>29.5</v>
      </c>
      <c r="N7" s="1" t="s">
        <v>77</v>
      </c>
      <c r="O7" s="3">
        <f t="shared" si="5"/>
        <v>0.77</v>
      </c>
      <c r="P7" s="3"/>
      <c r="Q7" s="29">
        <f>0.0464*B7 + 26.381</f>
        <v>30.278600000000001</v>
      </c>
      <c r="R7" s="19">
        <v>2</v>
      </c>
      <c r="S7" s="19">
        <f>0.0011*B7 + 0.7222</f>
        <v>0.81459999999999999</v>
      </c>
      <c r="T7" s="3">
        <f t="shared" si="6"/>
        <v>10852.800000000001</v>
      </c>
      <c r="U7" s="3">
        <f t="shared" si="7"/>
        <v>10138.799999999999</v>
      </c>
      <c r="V7" s="3">
        <f t="shared" si="9"/>
        <v>32558.400000000001</v>
      </c>
      <c r="W7" s="5" t="s">
        <v>68</v>
      </c>
      <c r="X7" s="5" t="s">
        <v>52</v>
      </c>
    </row>
    <row r="8" spans="1:42" x14ac:dyDescent="0.25">
      <c r="B8" s="1">
        <v>69</v>
      </c>
      <c r="C8" s="5" t="s">
        <v>11</v>
      </c>
      <c r="D8" s="2" t="s">
        <v>82</v>
      </c>
      <c r="E8" s="2"/>
      <c r="F8" s="5" t="s">
        <v>35</v>
      </c>
      <c r="G8" s="2" t="s">
        <v>93</v>
      </c>
      <c r="H8" s="3">
        <f t="shared" si="0"/>
        <v>0</v>
      </c>
      <c r="I8" s="3">
        <f t="shared" si="1"/>
        <v>12.92</v>
      </c>
      <c r="J8" s="18">
        <f t="shared" si="8"/>
        <v>0</v>
      </c>
      <c r="K8" s="19">
        <f t="shared" si="2"/>
        <v>12.07</v>
      </c>
      <c r="L8" s="19">
        <f t="shared" si="3"/>
        <v>6596.9519999999993</v>
      </c>
      <c r="M8" s="3">
        <f t="shared" si="4"/>
        <v>29.5</v>
      </c>
      <c r="N8" s="1" t="s">
        <v>77</v>
      </c>
      <c r="O8" s="3">
        <f t="shared" si="5"/>
        <v>0.77</v>
      </c>
      <c r="P8" s="3"/>
      <c r="Q8" s="29">
        <f t="shared" ref="Q8:Q9" si="10">0.0464*B8 + 26.381</f>
        <v>29.582599999999999</v>
      </c>
      <c r="R8" s="19">
        <v>2</v>
      </c>
      <c r="S8" s="19">
        <f t="shared" ref="S8:S9" si="11">0.0011*B8 + 0.7222</f>
        <v>0.79809999999999992</v>
      </c>
      <c r="T8" s="3">
        <f t="shared" si="6"/>
        <v>8914.7999999999993</v>
      </c>
      <c r="U8" s="3">
        <f t="shared" si="7"/>
        <v>8328.3000000000011</v>
      </c>
      <c r="V8" s="3">
        <f t="shared" si="9"/>
        <v>26744.399999999998</v>
      </c>
      <c r="W8" s="5" t="s">
        <v>67</v>
      </c>
      <c r="X8" s="5" t="s">
        <v>51</v>
      </c>
    </row>
    <row r="9" spans="1:42" x14ac:dyDescent="0.25">
      <c r="B9" s="1">
        <v>69</v>
      </c>
      <c r="C9" s="5" t="s">
        <v>10</v>
      </c>
      <c r="D9" s="2" t="s">
        <v>82</v>
      </c>
      <c r="E9" s="2"/>
      <c r="F9" s="5" t="s">
        <v>34</v>
      </c>
      <c r="G9" s="2" t="s">
        <v>93</v>
      </c>
      <c r="H9" s="3">
        <f t="shared" si="0"/>
        <v>0</v>
      </c>
      <c r="I9" s="3">
        <f t="shared" si="1"/>
        <v>12.92</v>
      </c>
      <c r="J9" s="18">
        <f t="shared" si="8"/>
        <v>0</v>
      </c>
      <c r="K9" s="19">
        <f t="shared" si="2"/>
        <v>12.07</v>
      </c>
      <c r="L9" s="19">
        <f t="shared" si="3"/>
        <v>6596.9519999999993</v>
      </c>
      <c r="M9" s="3">
        <f t="shared" si="4"/>
        <v>29.5</v>
      </c>
      <c r="N9" s="1" t="s">
        <v>77</v>
      </c>
      <c r="O9" s="3">
        <f t="shared" si="5"/>
        <v>0.77</v>
      </c>
      <c r="P9" s="3"/>
      <c r="Q9" s="29">
        <f t="shared" si="10"/>
        <v>29.582599999999999</v>
      </c>
      <c r="R9" s="19">
        <v>2</v>
      </c>
      <c r="S9" s="19">
        <f t="shared" si="11"/>
        <v>0.79809999999999992</v>
      </c>
      <c r="T9" s="3">
        <f t="shared" si="6"/>
        <v>8914.7999999999993</v>
      </c>
      <c r="U9" s="3">
        <f t="shared" si="7"/>
        <v>8328.3000000000011</v>
      </c>
      <c r="V9" s="3">
        <f t="shared" si="9"/>
        <v>26744.399999999998</v>
      </c>
      <c r="W9" s="5" t="s">
        <v>66</v>
      </c>
      <c r="X9" s="5" t="s">
        <v>50</v>
      </c>
      <c r="AO9" s="15"/>
    </row>
    <row r="10" spans="1:42" x14ac:dyDescent="0.25">
      <c r="B10" s="1">
        <v>80</v>
      </c>
      <c r="C10" s="5" t="s">
        <v>8</v>
      </c>
      <c r="D10" s="2" t="s">
        <v>84</v>
      </c>
      <c r="E10" s="2"/>
      <c r="F10" s="5" t="s">
        <v>32</v>
      </c>
      <c r="G10" s="2" t="s">
        <v>93</v>
      </c>
      <c r="H10" s="3">
        <f t="shared" si="0"/>
        <v>0</v>
      </c>
      <c r="I10" s="3">
        <f t="shared" si="1"/>
        <v>60.94</v>
      </c>
      <c r="J10" s="18">
        <f t="shared" si="8"/>
        <v>0</v>
      </c>
      <c r="K10" s="19">
        <f t="shared" si="2"/>
        <v>52.79</v>
      </c>
      <c r="L10" s="19">
        <f t="shared" si="3"/>
        <v>36076.479999999996</v>
      </c>
      <c r="M10" s="3">
        <f t="shared" si="4"/>
        <v>31.9</v>
      </c>
      <c r="N10" s="1" t="s">
        <v>77</v>
      </c>
      <c r="O10" s="3">
        <f t="shared" si="5"/>
        <v>0.7</v>
      </c>
      <c r="P10" s="3"/>
      <c r="Q10" s="29">
        <f xml:space="preserve"> 0.0945*B10 + 24.651</f>
        <v>32.210999999999999</v>
      </c>
      <c r="R10" s="19">
        <v>2</v>
      </c>
      <c r="S10" s="19">
        <f>0.0102*B10 + 0.3167</f>
        <v>1.1327</v>
      </c>
      <c r="T10" s="3">
        <f t="shared" si="6"/>
        <v>48751.999999999993</v>
      </c>
      <c r="U10" s="3">
        <f t="shared" si="7"/>
        <v>42232</v>
      </c>
      <c r="V10" s="3">
        <f t="shared" si="9"/>
        <v>146255.99999999997</v>
      </c>
      <c r="W10" s="5" t="s">
        <v>64</v>
      </c>
      <c r="X10" s="5" t="s">
        <v>48</v>
      </c>
    </row>
    <row r="11" spans="1:42" x14ac:dyDescent="0.25">
      <c r="B11" s="1">
        <v>77</v>
      </c>
      <c r="C11" s="5" t="s">
        <v>7</v>
      </c>
      <c r="D11" s="2" t="s">
        <v>84</v>
      </c>
      <c r="E11" s="2"/>
      <c r="F11" s="5" t="s">
        <v>31</v>
      </c>
      <c r="G11" s="2" t="s">
        <v>93</v>
      </c>
      <c r="H11" s="3">
        <f t="shared" si="0"/>
        <v>0</v>
      </c>
      <c r="I11" s="3">
        <f t="shared" si="1"/>
        <v>60.94</v>
      </c>
      <c r="J11" s="18">
        <f t="shared" si="8"/>
        <v>0</v>
      </c>
      <c r="K11" s="19">
        <f t="shared" si="2"/>
        <v>52.79</v>
      </c>
      <c r="L11" s="19">
        <f t="shared" si="3"/>
        <v>34723.612000000001</v>
      </c>
      <c r="M11" s="3">
        <f t="shared" si="4"/>
        <v>31.9</v>
      </c>
      <c r="N11" s="1" t="s">
        <v>77</v>
      </c>
      <c r="O11" s="3">
        <f t="shared" si="5"/>
        <v>0.7</v>
      </c>
      <c r="P11" s="3"/>
      <c r="Q11" s="29">
        <f xml:space="preserve"> 0.0945*B11 + 24.651</f>
        <v>31.927500000000002</v>
      </c>
      <c r="R11" s="19">
        <v>2</v>
      </c>
      <c r="S11" s="19">
        <f>0.0102*B11 + 0.3167</f>
        <v>1.1021000000000001</v>
      </c>
      <c r="T11" s="3">
        <f t="shared" si="6"/>
        <v>46923.8</v>
      </c>
      <c r="U11" s="3">
        <f t="shared" si="7"/>
        <v>40648.299999999996</v>
      </c>
      <c r="V11" s="3">
        <f t="shared" si="9"/>
        <v>140771.40000000002</v>
      </c>
      <c r="W11" s="5" t="s">
        <v>63</v>
      </c>
      <c r="X11" s="5" t="s">
        <v>47</v>
      </c>
    </row>
    <row r="12" spans="1:42" x14ac:dyDescent="0.25">
      <c r="B12" s="1">
        <v>83</v>
      </c>
      <c r="C12" s="5" t="s">
        <v>5</v>
      </c>
      <c r="D12" s="2" t="s">
        <v>80</v>
      </c>
      <c r="E12" s="2"/>
      <c r="F12" s="5" t="s">
        <v>28</v>
      </c>
      <c r="G12" s="2" t="s">
        <v>93</v>
      </c>
      <c r="H12" s="3">
        <f t="shared" si="0"/>
        <v>0</v>
      </c>
      <c r="I12" s="3">
        <f t="shared" si="1"/>
        <v>72.31</v>
      </c>
      <c r="J12" s="18">
        <f t="shared" si="8"/>
        <v>0</v>
      </c>
      <c r="K12" s="19">
        <f t="shared" si="2"/>
        <v>69.69</v>
      </c>
      <c r="L12" s="19">
        <f t="shared" si="3"/>
        <v>44412.802000000003</v>
      </c>
      <c r="M12" s="3">
        <f t="shared" si="4"/>
        <v>37</v>
      </c>
      <c r="N12" s="1" t="s">
        <v>76</v>
      </c>
      <c r="O12" s="3">
        <f t="shared" si="5"/>
        <v>0.62</v>
      </c>
      <c r="P12" s="3"/>
      <c r="Q12" s="29">
        <f xml:space="preserve"> 0.1382*B12+ 28.195</f>
        <v>39.665599999999998</v>
      </c>
      <c r="R12" s="19">
        <v>0</v>
      </c>
      <c r="S12" s="19">
        <f xml:space="preserve"> 0.0215*B12+ 0.084</f>
        <v>1.8684999999999998</v>
      </c>
      <c r="T12" s="3">
        <f t="shared" si="6"/>
        <v>60017.3</v>
      </c>
      <c r="U12" s="3">
        <f t="shared" si="7"/>
        <v>57842.7</v>
      </c>
      <c r="V12" s="3">
        <f t="shared" si="9"/>
        <v>180051.90000000002</v>
      </c>
      <c r="W12" s="5" t="s">
        <v>60</v>
      </c>
      <c r="X12" s="5" t="s">
        <v>44</v>
      </c>
    </row>
    <row r="13" spans="1:42" x14ac:dyDescent="0.25">
      <c r="B13" s="1">
        <v>70</v>
      </c>
      <c r="C13" s="5" t="s">
        <v>4</v>
      </c>
      <c r="D13" s="2" t="s">
        <v>80</v>
      </c>
      <c r="E13" s="2"/>
      <c r="F13" s="5" t="s">
        <v>27</v>
      </c>
      <c r="G13" s="2" t="s">
        <v>93</v>
      </c>
      <c r="H13" s="3">
        <f t="shared" si="0"/>
        <v>0</v>
      </c>
      <c r="I13" s="3">
        <f t="shared" si="1"/>
        <v>72.31</v>
      </c>
      <c r="J13" s="18">
        <f t="shared" si="8"/>
        <v>0</v>
      </c>
      <c r="K13" s="19">
        <f t="shared" si="2"/>
        <v>69.69</v>
      </c>
      <c r="L13" s="19">
        <f t="shared" si="3"/>
        <v>37456.58</v>
      </c>
      <c r="M13" s="3">
        <f t="shared" si="4"/>
        <v>37</v>
      </c>
      <c r="N13" s="1" t="s">
        <v>77</v>
      </c>
      <c r="O13" s="3">
        <f t="shared" si="5"/>
        <v>0.62</v>
      </c>
      <c r="P13" s="3"/>
      <c r="Q13" s="29">
        <f xml:space="preserve"> 0.1382*B13+ 28.195</f>
        <v>37.869</v>
      </c>
      <c r="R13" s="19">
        <v>2</v>
      </c>
      <c r="S13" s="19">
        <f xml:space="preserve"> 0.0215*B13+ 0.084</f>
        <v>1.589</v>
      </c>
      <c r="T13" s="3">
        <f t="shared" si="6"/>
        <v>50617</v>
      </c>
      <c r="U13" s="3">
        <f t="shared" si="7"/>
        <v>48783</v>
      </c>
      <c r="V13" s="3">
        <f t="shared" si="9"/>
        <v>151851</v>
      </c>
      <c r="W13" s="5" t="s">
        <v>59</v>
      </c>
      <c r="X13" s="5" t="s">
        <v>43</v>
      </c>
    </row>
    <row r="14" spans="1:42" x14ac:dyDescent="0.25">
      <c r="B14" s="1">
        <v>84</v>
      </c>
      <c r="C14" s="5" t="s">
        <v>23</v>
      </c>
      <c r="D14" s="2" t="s">
        <v>83</v>
      </c>
      <c r="E14" s="2"/>
      <c r="F14" s="5" t="s">
        <v>36</v>
      </c>
      <c r="G14" s="2" t="s">
        <v>93</v>
      </c>
      <c r="H14" s="3">
        <f t="shared" si="0"/>
        <v>0</v>
      </c>
      <c r="I14" s="3">
        <f t="shared" si="1"/>
        <v>24.78</v>
      </c>
      <c r="J14" s="18">
        <f t="shared" si="8"/>
        <v>0</v>
      </c>
      <c r="K14" s="19">
        <f t="shared" si="2"/>
        <v>21.19</v>
      </c>
      <c r="L14" s="19">
        <f t="shared" si="3"/>
        <v>15403.248</v>
      </c>
      <c r="M14" s="3">
        <f t="shared" si="4"/>
        <v>35.5</v>
      </c>
      <c r="N14" s="1" t="s">
        <v>77</v>
      </c>
      <c r="O14" s="3">
        <f t="shared" si="5"/>
        <v>0.54</v>
      </c>
      <c r="P14" s="3"/>
      <c r="Q14" s="29">
        <f>0.1088*B14 + 27.749</f>
        <v>36.888199999999998</v>
      </c>
      <c r="R14" s="19">
        <v>2</v>
      </c>
      <c r="S14" s="19">
        <f xml:space="preserve"> 0.0091*B14 + 0.114</f>
        <v>0.87840000000000007</v>
      </c>
      <c r="T14" s="3">
        <f t="shared" si="6"/>
        <v>20815.2</v>
      </c>
      <c r="U14" s="3">
        <f t="shared" si="7"/>
        <v>17799.600000000002</v>
      </c>
      <c r="V14" s="3">
        <f>MAX(3*T14,2.01*U14)</f>
        <v>62445.600000000006</v>
      </c>
      <c r="W14" s="5" t="s">
        <v>68</v>
      </c>
      <c r="X14" s="5" t="s">
        <v>52</v>
      </c>
    </row>
    <row r="15" spans="1:42" x14ac:dyDescent="0.25">
      <c r="B15" s="1">
        <v>69</v>
      </c>
      <c r="C15" s="5" t="s">
        <v>22</v>
      </c>
      <c r="D15" s="2" t="s">
        <v>83</v>
      </c>
      <c r="E15" s="2"/>
      <c r="F15" s="5" t="s">
        <v>35</v>
      </c>
      <c r="G15" s="2" t="s">
        <v>93</v>
      </c>
      <c r="H15" s="3">
        <f t="shared" si="0"/>
        <v>0</v>
      </c>
      <c r="I15" s="3">
        <f t="shared" si="1"/>
        <v>24.78</v>
      </c>
      <c r="J15" s="18">
        <f t="shared" si="8"/>
        <v>0</v>
      </c>
      <c r="K15" s="19">
        <f t="shared" si="2"/>
        <v>21.19</v>
      </c>
      <c r="L15" s="19">
        <f t="shared" si="3"/>
        <v>12652.668</v>
      </c>
      <c r="M15" s="3">
        <f t="shared" si="4"/>
        <v>35.5</v>
      </c>
      <c r="N15" s="1" t="s">
        <v>77</v>
      </c>
      <c r="O15" s="3">
        <f t="shared" si="5"/>
        <v>0.54</v>
      </c>
      <c r="P15" s="3"/>
      <c r="Q15" s="29">
        <f t="shared" ref="Q15:Q16" si="12">0.1088*B15 + 27.749</f>
        <v>35.2562</v>
      </c>
      <c r="R15" s="19">
        <v>2</v>
      </c>
      <c r="S15" s="19">
        <f t="shared" ref="S15:S16" si="13" xml:space="preserve"> 0.0091*B15 + 0.114</f>
        <v>0.7419</v>
      </c>
      <c r="T15" s="3">
        <f t="shared" si="6"/>
        <v>17098.2</v>
      </c>
      <c r="U15" s="3">
        <f t="shared" si="7"/>
        <v>14621.100000000002</v>
      </c>
      <c r="V15" s="3">
        <f t="shared" si="9"/>
        <v>51294.600000000006</v>
      </c>
      <c r="W15" s="5" t="s">
        <v>67</v>
      </c>
      <c r="X15" s="5" t="s">
        <v>51</v>
      </c>
    </row>
    <row r="16" spans="1:42" x14ac:dyDescent="0.25">
      <c r="B16" s="1">
        <v>69</v>
      </c>
      <c r="C16" s="5" t="s">
        <v>21</v>
      </c>
      <c r="D16" s="2" t="s">
        <v>83</v>
      </c>
      <c r="E16" s="2"/>
      <c r="F16" s="5" t="s">
        <v>34</v>
      </c>
      <c r="G16" s="2" t="s">
        <v>93</v>
      </c>
      <c r="H16" s="3">
        <f t="shared" si="0"/>
        <v>0</v>
      </c>
      <c r="I16" s="3">
        <f t="shared" si="1"/>
        <v>24.78</v>
      </c>
      <c r="J16" s="18">
        <f t="shared" si="8"/>
        <v>0</v>
      </c>
      <c r="K16" s="19">
        <f t="shared" si="2"/>
        <v>21.19</v>
      </c>
      <c r="L16" s="19">
        <f t="shared" si="3"/>
        <v>12652.668</v>
      </c>
      <c r="M16" s="3">
        <f t="shared" si="4"/>
        <v>35.5</v>
      </c>
      <c r="N16" s="1" t="s">
        <v>77</v>
      </c>
      <c r="O16" s="3">
        <f t="shared" si="5"/>
        <v>0.54</v>
      </c>
      <c r="P16" s="3"/>
      <c r="Q16" s="29">
        <f t="shared" si="12"/>
        <v>35.2562</v>
      </c>
      <c r="R16" s="19">
        <v>2</v>
      </c>
      <c r="S16" s="19">
        <f t="shared" si="13"/>
        <v>0.7419</v>
      </c>
      <c r="T16" s="3">
        <f t="shared" si="6"/>
        <v>17098.2</v>
      </c>
      <c r="U16" s="3">
        <f t="shared" si="7"/>
        <v>14621.100000000002</v>
      </c>
      <c r="V16" s="3">
        <f t="shared" si="9"/>
        <v>51294.600000000006</v>
      </c>
      <c r="W16" s="5" t="s">
        <v>66</v>
      </c>
      <c r="X16" s="5" t="s">
        <v>50</v>
      </c>
      <c r="AH16" s="6" t="s">
        <v>91</v>
      </c>
      <c r="AI16" s="6" t="s">
        <v>98</v>
      </c>
      <c r="AJ16" s="7" t="s">
        <v>0</v>
      </c>
      <c r="AK16" s="7" t="s">
        <v>86</v>
      </c>
      <c r="AL16" s="7" t="s">
        <v>87</v>
      </c>
      <c r="AM16" s="7" t="s">
        <v>88</v>
      </c>
      <c r="AN16" s="7" t="s">
        <v>89</v>
      </c>
      <c r="AO16" s="7" t="s">
        <v>99</v>
      </c>
      <c r="AP16" s="7" t="s">
        <v>100</v>
      </c>
    </row>
    <row r="17" spans="1:45" x14ac:dyDescent="0.25">
      <c r="A17" s="16">
        <v>53</v>
      </c>
      <c r="B17" s="16">
        <v>85</v>
      </c>
      <c r="C17" s="5" t="s">
        <v>20</v>
      </c>
      <c r="D17" s="2" t="s">
        <v>85</v>
      </c>
      <c r="E17" s="2"/>
      <c r="F17" s="5" t="s">
        <v>40</v>
      </c>
      <c r="G17" s="2" t="s">
        <v>94</v>
      </c>
      <c r="H17" s="3">
        <f t="shared" si="0"/>
        <v>0</v>
      </c>
      <c r="I17" s="3">
        <f t="shared" si="1"/>
        <v>23.42</v>
      </c>
      <c r="J17" s="18">
        <f t="shared" si="8"/>
        <v>0</v>
      </c>
      <c r="K17" s="19">
        <f t="shared" si="2"/>
        <v>20.39</v>
      </c>
      <c r="L17" s="19">
        <f t="shared" si="3"/>
        <v>14731.18</v>
      </c>
      <c r="M17" s="3">
        <f t="shared" si="4"/>
        <v>30.4</v>
      </c>
      <c r="N17" s="1" t="s">
        <v>77</v>
      </c>
      <c r="O17" s="3">
        <f t="shared" si="5"/>
        <v>0.59</v>
      </c>
      <c r="P17" s="3"/>
      <c r="Q17" s="29">
        <f xml:space="preserve"> 0.0906*B17 + 23.958</f>
        <v>31.658999999999999</v>
      </c>
      <c r="R17" s="19">
        <v>2</v>
      </c>
      <c r="S17" s="19">
        <f>0.0171*B17 - 0.0258</f>
        <v>1.4277</v>
      </c>
      <c r="T17" s="3">
        <f t="shared" si="6"/>
        <v>19907</v>
      </c>
      <c r="U17" s="3">
        <f t="shared" si="7"/>
        <v>17331.500000000004</v>
      </c>
      <c r="V17" s="3">
        <f t="shared" si="9"/>
        <v>59721</v>
      </c>
      <c r="W17" s="5" t="s">
        <v>72</v>
      </c>
      <c r="X17" s="5" t="s">
        <v>56</v>
      </c>
      <c r="AD17" s="8" t="s">
        <v>78</v>
      </c>
      <c r="AE17" s="8" t="s">
        <v>96</v>
      </c>
      <c r="AF17" s="8"/>
      <c r="AH17" s="6" t="s">
        <v>1</v>
      </c>
      <c r="AJ17" s="7" t="s">
        <v>79</v>
      </c>
      <c r="AK17" s="7">
        <v>2.39</v>
      </c>
      <c r="AL17" s="7">
        <v>497.39</v>
      </c>
      <c r="AM17" s="7">
        <v>0</v>
      </c>
      <c r="AN17" s="7">
        <v>126.49</v>
      </c>
      <c r="AO17" s="7">
        <v>0</v>
      </c>
      <c r="AP17" s="17">
        <v>198.97</v>
      </c>
      <c r="AR17" s="17"/>
      <c r="AS17" s="17"/>
    </row>
    <row r="18" spans="1:45" x14ac:dyDescent="0.25">
      <c r="A18" s="16">
        <v>50</v>
      </c>
      <c r="B18" s="16">
        <v>35</v>
      </c>
      <c r="C18" s="5" t="s">
        <v>19</v>
      </c>
      <c r="D18" s="2" t="s">
        <v>85</v>
      </c>
      <c r="E18" s="2"/>
      <c r="F18" s="5" t="s">
        <v>39</v>
      </c>
      <c r="G18" s="2" t="s">
        <v>94</v>
      </c>
      <c r="H18" s="3">
        <f t="shared" si="0"/>
        <v>0</v>
      </c>
      <c r="I18" s="3">
        <f t="shared" si="1"/>
        <v>23.42</v>
      </c>
      <c r="J18" s="18">
        <f t="shared" si="8"/>
        <v>0</v>
      </c>
      <c r="K18" s="19">
        <f t="shared" si="2"/>
        <v>20.39</v>
      </c>
      <c r="L18" s="19">
        <f t="shared" si="3"/>
        <v>6065.7800000000016</v>
      </c>
      <c r="M18" s="3">
        <f t="shared" si="4"/>
        <v>30.4</v>
      </c>
      <c r="N18" s="1" t="s">
        <v>77</v>
      </c>
      <c r="O18" s="3">
        <f t="shared" si="5"/>
        <v>0.59</v>
      </c>
      <c r="P18" s="3"/>
      <c r="Q18" s="29">
        <f xml:space="preserve"> 0.0906*B18 + 23.958</f>
        <v>27.128999999999998</v>
      </c>
      <c r="R18" s="19">
        <v>2</v>
      </c>
      <c r="S18" s="19">
        <f>0.0171*B18 - 0.0258</f>
        <v>0.57269999999999999</v>
      </c>
      <c r="T18" s="3">
        <f t="shared" si="6"/>
        <v>8197.0000000000018</v>
      </c>
      <c r="U18" s="3">
        <f t="shared" si="7"/>
        <v>7136.5</v>
      </c>
      <c r="V18" s="3">
        <f t="shared" si="9"/>
        <v>24591.000000000007</v>
      </c>
      <c r="W18" s="5" t="s">
        <v>71</v>
      </c>
      <c r="X18" s="5" t="s">
        <v>55</v>
      </c>
      <c r="AC18" s="7" t="s">
        <v>24</v>
      </c>
      <c r="AD18" s="7">
        <v>1</v>
      </c>
      <c r="AE18" s="7">
        <v>0</v>
      </c>
      <c r="AF18" s="7"/>
      <c r="AH18" s="6" t="s">
        <v>2</v>
      </c>
      <c r="AJ18" s="7" t="s">
        <v>79</v>
      </c>
      <c r="AK18" s="7">
        <v>2.39</v>
      </c>
      <c r="AL18" s="7">
        <v>497.39</v>
      </c>
      <c r="AM18" s="7">
        <v>0</v>
      </c>
      <c r="AN18" s="7">
        <v>126.49</v>
      </c>
      <c r="AO18" s="7">
        <v>0</v>
      </c>
      <c r="AP18" s="17">
        <v>198.97</v>
      </c>
      <c r="AR18" s="17"/>
      <c r="AS18" s="17"/>
    </row>
    <row r="19" spans="1:45" x14ac:dyDescent="0.25">
      <c r="A19" s="16">
        <v>85</v>
      </c>
      <c r="B19" s="16">
        <v>50</v>
      </c>
      <c r="C19" s="5" t="s">
        <v>17</v>
      </c>
      <c r="D19" s="2" t="str">
        <f t="shared" ref="D19:D26" si="14">C19</f>
        <v>PM3</v>
      </c>
      <c r="E19" s="2"/>
      <c r="F19" s="5" t="s">
        <v>37</v>
      </c>
      <c r="G19" s="2" t="s">
        <v>94</v>
      </c>
      <c r="H19" s="3">
        <f t="shared" si="0"/>
        <v>0</v>
      </c>
      <c r="I19" s="3">
        <f t="shared" si="1"/>
        <v>17.22</v>
      </c>
      <c r="J19" s="18">
        <f t="shared" si="8"/>
        <v>0</v>
      </c>
      <c r="K19" s="19">
        <f t="shared" si="2"/>
        <v>14.84</v>
      </c>
      <c r="L19" s="19">
        <f t="shared" si="3"/>
        <v>6371.4</v>
      </c>
      <c r="M19" s="3">
        <f t="shared" si="4"/>
        <v>29.5</v>
      </c>
      <c r="N19" s="1" t="s">
        <v>77</v>
      </c>
      <c r="O19" s="3">
        <f t="shared" si="5"/>
        <v>0.55000000000000004</v>
      </c>
      <c r="P19" s="3"/>
      <c r="Q19" s="29">
        <f>0.0759*B19 + 24.172</f>
        <v>27.966999999999999</v>
      </c>
      <c r="R19" s="19">
        <v>2</v>
      </c>
      <c r="S19" s="19">
        <f xml:space="preserve"> 0.0157*B19- 0.2712</f>
        <v>0.51379999999999992</v>
      </c>
      <c r="T19" s="3">
        <f t="shared" si="6"/>
        <v>8610</v>
      </c>
      <c r="U19" s="3">
        <f t="shared" si="7"/>
        <v>7420</v>
      </c>
      <c r="V19" s="3">
        <f t="shared" si="9"/>
        <v>25830</v>
      </c>
      <c r="W19" s="5" t="s">
        <v>69</v>
      </c>
      <c r="X19" s="5" t="s">
        <v>53</v>
      </c>
      <c r="AC19" s="7" t="s">
        <v>79</v>
      </c>
      <c r="AD19" s="7">
        <v>0.63</v>
      </c>
      <c r="AE19" s="7">
        <v>37.731707317073202</v>
      </c>
      <c r="AF19" s="7"/>
      <c r="AJ19" s="7" t="s">
        <v>80</v>
      </c>
      <c r="AK19" s="7">
        <v>128.81</v>
      </c>
      <c r="AL19" s="7">
        <v>119.8</v>
      </c>
      <c r="AM19" s="7">
        <v>0</v>
      </c>
      <c r="AN19" s="7">
        <v>72.31</v>
      </c>
      <c r="AO19" s="7">
        <v>0</v>
      </c>
      <c r="AP19" s="17">
        <v>69.69</v>
      </c>
      <c r="AR19" s="17"/>
      <c r="AS19" s="17"/>
    </row>
    <row r="20" spans="1:45" s="13" customFormat="1" x14ac:dyDescent="0.25">
      <c r="B20" s="11">
        <v>0</v>
      </c>
      <c r="C20" s="9" t="s">
        <v>16</v>
      </c>
      <c r="D20" s="10" t="str">
        <f t="shared" si="14"/>
        <v>PM2</v>
      </c>
      <c r="E20" s="10"/>
      <c r="F20" s="9" t="s">
        <v>33</v>
      </c>
      <c r="G20" s="10" t="s">
        <v>94</v>
      </c>
      <c r="H20" s="12">
        <v>0</v>
      </c>
      <c r="I20" s="12">
        <v>0</v>
      </c>
      <c r="J20" s="20">
        <f t="shared" si="8"/>
        <v>0</v>
      </c>
      <c r="K20" s="21">
        <v>0</v>
      </c>
      <c r="L20" s="21">
        <f t="shared" si="3"/>
        <v>0</v>
      </c>
      <c r="M20" s="12">
        <f t="shared" si="4"/>
        <v>0</v>
      </c>
      <c r="N20" s="11" t="s">
        <v>77</v>
      </c>
      <c r="O20" s="12">
        <f t="shared" si="5"/>
        <v>1</v>
      </c>
      <c r="P20" s="12"/>
      <c r="Q20" s="12">
        <v>0</v>
      </c>
      <c r="R20" s="12"/>
      <c r="S20" s="12"/>
      <c r="T20" s="12">
        <f t="shared" si="6"/>
        <v>0</v>
      </c>
      <c r="U20" s="12">
        <f t="shared" si="7"/>
        <v>0</v>
      </c>
      <c r="V20" s="12">
        <f t="shared" ref="V20:V26" si="15">3*T20</f>
        <v>0</v>
      </c>
      <c r="W20" s="9" t="s">
        <v>65</v>
      </c>
      <c r="X20" s="9" t="s">
        <v>49</v>
      </c>
      <c r="AC20" s="14" t="s">
        <v>80</v>
      </c>
      <c r="AD20" s="14">
        <f>0.62</f>
        <v>0.62</v>
      </c>
      <c r="AE20" s="14">
        <v>36.954545454545503</v>
      </c>
      <c r="AF20" s="14"/>
      <c r="AJ20" s="14" t="s">
        <v>80</v>
      </c>
      <c r="AK20" s="14">
        <v>128.81</v>
      </c>
      <c r="AL20" s="14">
        <v>119.8</v>
      </c>
      <c r="AM20" s="14">
        <v>0</v>
      </c>
      <c r="AN20" s="14">
        <v>72.31</v>
      </c>
      <c r="AO20" s="14">
        <v>0</v>
      </c>
      <c r="AP20" s="22">
        <v>69.69</v>
      </c>
      <c r="AR20" s="22"/>
      <c r="AS20" s="22"/>
    </row>
    <row r="21" spans="1:45" s="13" customFormat="1" x14ac:dyDescent="0.25">
      <c r="B21" s="11">
        <v>0</v>
      </c>
      <c r="C21" s="9" t="s">
        <v>13</v>
      </c>
      <c r="D21" s="10" t="str">
        <f t="shared" si="14"/>
        <v>PH2</v>
      </c>
      <c r="E21" s="10"/>
      <c r="F21" s="9" t="s">
        <v>33</v>
      </c>
      <c r="G21" s="10" t="s">
        <v>94</v>
      </c>
      <c r="H21" s="12">
        <v>0</v>
      </c>
      <c r="I21" s="12">
        <v>0</v>
      </c>
      <c r="J21" s="20">
        <f t="shared" si="8"/>
        <v>0</v>
      </c>
      <c r="K21" s="21">
        <v>0</v>
      </c>
      <c r="L21" s="21">
        <f t="shared" si="3"/>
        <v>0</v>
      </c>
      <c r="M21" s="12">
        <f t="shared" si="4"/>
        <v>0</v>
      </c>
      <c r="N21" s="11" t="s">
        <v>77</v>
      </c>
      <c r="O21" s="12">
        <f t="shared" si="5"/>
        <v>1</v>
      </c>
      <c r="P21" s="12"/>
      <c r="Q21" s="12">
        <v>0</v>
      </c>
      <c r="R21" s="12"/>
      <c r="S21" s="12"/>
      <c r="T21" s="12">
        <f t="shared" si="6"/>
        <v>0</v>
      </c>
      <c r="U21" s="12">
        <f t="shared" si="7"/>
        <v>0</v>
      </c>
      <c r="V21" s="12">
        <f t="shared" si="15"/>
        <v>0</v>
      </c>
      <c r="W21" s="9" t="s">
        <v>65</v>
      </c>
      <c r="X21" s="9" t="s">
        <v>49</v>
      </c>
      <c r="Y21" s="24"/>
      <c r="Z21" s="24"/>
      <c r="AC21" s="14" t="s">
        <v>81</v>
      </c>
      <c r="AD21" s="14">
        <v>0.52</v>
      </c>
      <c r="AE21" s="14">
        <v>37</v>
      </c>
      <c r="AF21" s="14"/>
      <c r="AJ21" s="14" t="s">
        <v>90</v>
      </c>
      <c r="AK21" s="14"/>
      <c r="AL21" s="14"/>
      <c r="AM21" s="14"/>
      <c r="AN21" s="14"/>
      <c r="AO21" s="14">
        <v>0</v>
      </c>
      <c r="AP21" s="22"/>
      <c r="AR21" s="22"/>
      <c r="AS21" s="22"/>
    </row>
    <row r="22" spans="1:45" s="13" customFormat="1" x14ac:dyDescent="0.25">
      <c r="B22" s="11">
        <v>0</v>
      </c>
      <c r="C22" s="9" t="s">
        <v>9</v>
      </c>
      <c r="D22" s="10" t="str">
        <f t="shared" si="14"/>
        <v>PC2</v>
      </c>
      <c r="E22" s="10"/>
      <c r="F22" s="9" t="s">
        <v>33</v>
      </c>
      <c r="G22" s="10" t="s">
        <v>94</v>
      </c>
      <c r="H22" s="12">
        <v>0</v>
      </c>
      <c r="I22" s="12">
        <v>0</v>
      </c>
      <c r="J22" s="20">
        <f t="shared" si="8"/>
        <v>0</v>
      </c>
      <c r="K22" s="21">
        <v>0</v>
      </c>
      <c r="L22" s="21">
        <f t="shared" si="3"/>
        <v>0</v>
      </c>
      <c r="M22" s="12">
        <f t="shared" si="4"/>
        <v>0</v>
      </c>
      <c r="N22" s="11" t="s">
        <v>77</v>
      </c>
      <c r="O22" s="12">
        <f t="shared" si="5"/>
        <v>1</v>
      </c>
      <c r="P22" s="12"/>
      <c r="Q22" s="12">
        <v>0</v>
      </c>
      <c r="R22" s="12"/>
      <c r="S22" s="12"/>
      <c r="T22" s="12">
        <f t="shared" si="6"/>
        <v>0</v>
      </c>
      <c r="U22" s="12">
        <f t="shared" si="7"/>
        <v>0</v>
      </c>
      <c r="V22" s="12">
        <f t="shared" si="15"/>
        <v>0</v>
      </c>
      <c r="W22" s="9" t="s">
        <v>65</v>
      </c>
      <c r="X22" s="9" t="s">
        <v>49</v>
      </c>
      <c r="Y22" s="24"/>
      <c r="Z22" s="24"/>
      <c r="AC22" s="14" t="s">
        <v>82</v>
      </c>
      <c r="AD22" s="14">
        <v>0.77</v>
      </c>
      <c r="AE22" s="14">
        <v>29.5</v>
      </c>
      <c r="AF22" s="14"/>
      <c r="AJ22" s="14" t="s">
        <v>81</v>
      </c>
      <c r="AK22" s="14">
        <v>179.27</v>
      </c>
      <c r="AL22" s="14">
        <v>25.72</v>
      </c>
      <c r="AM22" s="14">
        <v>0</v>
      </c>
      <c r="AN22" s="14">
        <v>29.77</v>
      </c>
      <c r="AO22" s="14">
        <v>0</v>
      </c>
      <c r="AP22" s="22">
        <v>24.76</v>
      </c>
      <c r="AR22" s="22"/>
      <c r="AS22" s="22"/>
    </row>
    <row r="23" spans="1:45" s="13" customFormat="1" x14ac:dyDescent="0.25">
      <c r="B23" s="11">
        <v>0</v>
      </c>
      <c r="C23" s="9" t="s">
        <v>6</v>
      </c>
      <c r="D23" s="10" t="str">
        <f t="shared" si="14"/>
        <v>H3</v>
      </c>
      <c r="E23" s="10"/>
      <c r="F23" s="9" t="s">
        <v>30</v>
      </c>
      <c r="G23" s="10" t="s">
        <v>94</v>
      </c>
      <c r="H23" s="12">
        <v>0</v>
      </c>
      <c r="I23" s="12">
        <v>0</v>
      </c>
      <c r="J23" s="20">
        <f t="shared" si="8"/>
        <v>0</v>
      </c>
      <c r="K23" s="21">
        <v>0</v>
      </c>
      <c r="L23" s="21">
        <f t="shared" si="3"/>
        <v>0</v>
      </c>
      <c r="M23" s="12">
        <f t="shared" si="4"/>
        <v>0</v>
      </c>
      <c r="N23" s="11" t="s">
        <v>77</v>
      </c>
      <c r="O23" s="12">
        <f t="shared" si="5"/>
        <v>1</v>
      </c>
      <c r="P23" s="12"/>
      <c r="Q23" s="12">
        <v>0</v>
      </c>
      <c r="R23" s="12"/>
      <c r="S23" s="12"/>
      <c r="T23" s="12">
        <f t="shared" si="6"/>
        <v>0</v>
      </c>
      <c r="U23" s="12">
        <f t="shared" si="7"/>
        <v>0</v>
      </c>
      <c r="V23" s="12">
        <f t="shared" si="15"/>
        <v>0</v>
      </c>
      <c r="W23" s="9" t="s">
        <v>62</v>
      </c>
      <c r="X23" s="9" t="s">
        <v>46</v>
      </c>
      <c r="Y23" s="24"/>
      <c r="Z23" s="24"/>
      <c r="AC23" s="14" t="s">
        <v>83</v>
      </c>
      <c r="AD23" s="14">
        <v>0.54</v>
      </c>
      <c r="AE23" s="14">
        <v>35.545454545454596</v>
      </c>
      <c r="AF23" s="14"/>
      <c r="AJ23" s="14" t="s">
        <v>82</v>
      </c>
      <c r="AK23" s="14">
        <v>182.61</v>
      </c>
      <c r="AL23" s="14">
        <v>13.14</v>
      </c>
      <c r="AM23" s="14">
        <v>0</v>
      </c>
      <c r="AN23" s="14">
        <v>12.92</v>
      </c>
      <c r="AO23" s="14">
        <v>0</v>
      </c>
      <c r="AP23" s="22">
        <v>12.07</v>
      </c>
      <c r="AR23" s="22"/>
      <c r="AS23" s="22"/>
    </row>
    <row r="24" spans="1:45" s="13" customFormat="1" x14ac:dyDescent="0.25">
      <c r="B24" s="11">
        <v>0</v>
      </c>
      <c r="C24" s="9" t="s">
        <v>3</v>
      </c>
      <c r="D24" s="10" t="str">
        <f t="shared" si="14"/>
        <v>H1</v>
      </c>
      <c r="E24" s="10"/>
      <c r="F24" s="9" t="s">
        <v>29</v>
      </c>
      <c r="G24" s="10" t="s">
        <v>94</v>
      </c>
      <c r="H24" s="12">
        <v>0</v>
      </c>
      <c r="I24" s="12">
        <v>0</v>
      </c>
      <c r="J24" s="20">
        <f t="shared" si="8"/>
        <v>0</v>
      </c>
      <c r="K24" s="21">
        <v>0</v>
      </c>
      <c r="L24" s="21">
        <f t="shared" si="3"/>
        <v>0</v>
      </c>
      <c r="M24" s="12">
        <f t="shared" si="4"/>
        <v>0</v>
      </c>
      <c r="N24" s="11" t="s">
        <v>77</v>
      </c>
      <c r="O24" s="12">
        <f t="shared" si="5"/>
        <v>1</v>
      </c>
      <c r="P24" s="12"/>
      <c r="Q24" s="12">
        <v>0</v>
      </c>
      <c r="R24" s="12"/>
      <c r="S24" s="12"/>
      <c r="T24" s="12">
        <f t="shared" si="6"/>
        <v>0</v>
      </c>
      <c r="U24" s="12">
        <f t="shared" si="7"/>
        <v>0</v>
      </c>
      <c r="V24" s="12">
        <f t="shared" si="15"/>
        <v>0</v>
      </c>
      <c r="W24" s="9" t="s">
        <v>61</v>
      </c>
      <c r="X24" s="9" t="s">
        <v>45</v>
      </c>
      <c r="Y24" s="24"/>
      <c r="Z24" s="24"/>
      <c r="AC24" s="14" t="s">
        <v>84</v>
      </c>
      <c r="AD24" s="14">
        <v>0.7</v>
      </c>
      <c r="AE24" s="14">
        <v>31.904942965779501</v>
      </c>
      <c r="AF24" s="14"/>
      <c r="AJ24" s="14" t="s">
        <v>90</v>
      </c>
      <c r="AK24" s="14"/>
      <c r="AL24" s="14"/>
      <c r="AM24" s="14"/>
      <c r="AN24" s="14"/>
      <c r="AO24" s="14">
        <v>0</v>
      </c>
      <c r="AP24" s="22"/>
      <c r="AR24" s="22"/>
      <c r="AS24" s="22"/>
    </row>
    <row r="25" spans="1:45" s="13" customFormat="1" x14ac:dyDescent="0.25">
      <c r="B25" s="11">
        <v>0</v>
      </c>
      <c r="C25" s="9" t="s">
        <v>25</v>
      </c>
      <c r="D25" s="10" t="str">
        <f t="shared" si="14"/>
        <v>CC3</v>
      </c>
      <c r="E25" s="10"/>
      <c r="F25" s="9" t="s">
        <v>33</v>
      </c>
      <c r="G25" s="10" t="s">
        <v>94</v>
      </c>
      <c r="H25" s="12">
        <v>0</v>
      </c>
      <c r="I25" s="12">
        <v>0</v>
      </c>
      <c r="J25" s="20">
        <f t="shared" si="8"/>
        <v>0</v>
      </c>
      <c r="K25" s="21">
        <v>0</v>
      </c>
      <c r="L25" s="21">
        <f t="shared" si="3"/>
        <v>0</v>
      </c>
      <c r="M25" s="12">
        <f t="shared" si="4"/>
        <v>0</v>
      </c>
      <c r="N25" s="11" t="s">
        <v>77</v>
      </c>
      <c r="O25" s="12">
        <f t="shared" si="5"/>
        <v>1</v>
      </c>
      <c r="P25" s="12"/>
      <c r="Q25" s="12">
        <v>0</v>
      </c>
      <c r="R25" s="12"/>
      <c r="S25" s="12"/>
      <c r="T25" s="12">
        <f t="shared" si="6"/>
        <v>0</v>
      </c>
      <c r="U25" s="12">
        <f t="shared" si="7"/>
        <v>0</v>
      </c>
      <c r="V25" s="12">
        <f t="shared" si="15"/>
        <v>0</v>
      </c>
      <c r="W25" s="9" t="s">
        <v>65</v>
      </c>
      <c r="X25" s="9" t="s">
        <v>49</v>
      </c>
      <c r="Y25" s="24"/>
      <c r="Z25" s="24"/>
      <c r="AC25" s="14" t="s">
        <v>17</v>
      </c>
      <c r="AD25" s="14">
        <v>0.55000000000000004</v>
      </c>
      <c r="AE25" s="14">
        <v>29.488372093023301</v>
      </c>
      <c r="AF25" s="14"/>
      <c r="AJ25" s="14" t="s">
        <v>83</v>
      </c>
      <c r="AK25" s="14">
        <v>100.7</v>
      </c>
      <c r="AL25" s="14">
        <v>14.4</v>
      </c>
      <c r="AM25" s="14">
        <v>0</v>
      </c>
      <c r="AN25" s="14">
        <v>24.78</v>
      </c>
      <c r="AO25" s="14">
        <v>0</v>
      </c>
      <c r="AP25" s="22">
        <v>21.19</v>
      </c>
      <c r="AR25" s="22"/>
      <c r="AS25" s="22"/>
    </row>
    <row r="26" spans="1:45" s="13" customFormat="1" x14ac:dyDescent="0.25">
      <c r="B26" s="11">
        <v>0</v>
      </c>
      <c r="C26" s="9" t="s">
        <v>24</v>
      </c>
      <c r="D26" s="10" t="str">
        <f t="shared" si="14"/>
        <v>CC2</v>
      </c>
      <c r="E26" s="10"/>
      <c r="F26" s="9" t="s">
        <v>41</v>
      </c>
      <c r="G26" s="10" t="s">
        <v>94</v>
      </c>
      <c r="H26" s="12">
        <v>0</v>
      </c>
      <c r="I26" s="12">
        <v>0</v>
      </c>
      <c r="J26" s="20">
        <f t="shared" si="8"/>
        <v>0</v>
      </c>
      <c r="K26" s="21">
        <v>0</v>
      </c>
      <c r="L26" s="21">
        <f t="shared" si="3"/>
        <v>0</v>
      </c>
      <c r="M26" s="12">
        <f t="shared" si="4"/>
        <v>0</v>
      </c>
      <c r="N26" s="11" t="s">
        <v>77</v>
      </c>
      <c r="O26" s="12">
        <f t="shared" si="5"/>
        <v>1</v>
      </c>
      <c r="P26" s="12"/>
      <c r="Q26" s="12">
        <v>0</v>
      </c>
      <c r="R26" s="12"/>
      <c r="S26" s="12"/>
      <c r="T26" s="12">
        <f t="shared" si="6"/>
        <v>0</v>
      </c>
      <c r="U26" s="12">
        <f t="shared" si="7"/>
        <v>0</v>
      </c>
      <c r="V26" s="12">
        <f t="shared" si="15"/>
        <v>0</v>
      </c>
      <c r="W26" s="9" t="s">
        <v>73</v>
      </c>
      <c r="X26" s="9" t="s">
        <v>57</v>
      </c>
      <c r="Y26" s="24"/>
      <c r="Z26" s="24"/>
      <c r="AC26" s="14" t="s">
        <v>18</v>
      </c>
      <c r="AD26" s="14">
        <v>0.62</v>
      </c>
      <c r="AE26" s="14">
        <v>30.473684210526301</v>
      </c>
      <c r="AF26" s="14"/>
      <c r="AJ26" s="14" t="s">
        <v>90</v>
      </c>
      <c r="AK26" s="14"/>
      <c r="AL26" s="14"/>
      <c r="AM26" s="14"/>
      <c r="AN26" s="14"/>
      <c r="AO26" s="14">
        <v>0</v>
      </c>
      <c r="AP26" s="22"/>
      <c r="AR26" s="22"/>
      <c r="AS26" s="22"/>
    </row>
    <row r="27" spans="1:45" x14ac:dyDescent="0.25">
      <c r="AC27" s="7" t="s">
        <v>85</v>
      </c>
      <c r="AD27" s="7">
        <v>0.59</v>
      </c>
      <c r="AE27" s="7">
        <v>30.410112359550599</v>
      </c>
      <c r="AF27" s="7"/>
      <c r="AJ27" s="7" t="s">
        <v>84</v>
      </c>
      <c r="AK27" s="7">
        <v>168.52</v>
      </c>
      <c r="AL27" s="7">
        <v>88.89</v>
      </c>
      <c r="AM27" s="7">
        <v>0</v>
      </c>
      <c r="AN27" s="7">
        <v>60.94</v>
      </c>
      <c r="AO27" s="7">
        <v>0</v>
      </c>
      <c r="AP27" s="17">
        <v>52.79</v>
      </c>
      <c r="AR27" s="17"/>
      <c r="AS27" s="17"/>
    </row>
    <row r="28" spans="1:45" x14ac:dyDescent="0.25">
      <c r="Q28" s="23">
        <f>ROUND(Q2,0)</f>
        <v>36</v>
      </c>
      <c r="S28" s="6">
        <f>ROUND(S2,1)</f>
        <v>0.3</v>
      </c>
      <c r="T28" s="12">
        <f>ROUND(T2,-2)</f>
        <v>105000</v>
      </c>
      <c r="U28" s="12">
        <f>ROUND(U2,-2)</f>
        <v>165100</v>
      </c>
      <c r="V28" s="12">
        <f>ROUND(V2,-2)</f>
        <v>331900</v>
      </c>
      <c r="W28" s="23"/>
      <c r="AC28" s="7" t="s">
        <v>3</v>
      </c>
      <c r="AD28" s="7">
        <v>1</v>
      </c>
      <c r="AE28" s="7">
        <v>0</v>
      </c>
      <c r="AF28" s="7"/>
      <c r="AJ28" s="7" t="s">
        <v>84</v>
      </c>
      <c r="AK28" s="7">
        <v>168.52</v>
      </c>
      <c r="AL28" s="7">
        <v>88.89</v>
      </c>
      <c r="AM28" s="7">
        <v>0</v>
      </c>
      <c r="AN28" s="7">
        <v>60.94</v>
      </c>
      <c r="AO28" s="7">
        <v>0</v>
      </c>
      <c r="AP28" s="17">
        <v>52.79</v>
      </c>
      <c r="AR28" s="17"/>
      <c r="AS28" s="17"/>
    </row>
    <row r="29" spans="1:45" x14ac:dyDescent="0.25">
      <c r="Q29" s="23">
        <f t="shared" ref="Q29:Q54" si="16">ROUND(Q3,0)</f>
        <v>34</v>
      </c>
      <c r="S29" s="6">
        <f t="shared" ref="S29:S54" si="17">ROUND(S3,1)</f>
        <v>0.3</v>
      </c>
      <c r="T29" s="12">
        <f t="shared" ref="T29:V29" si="18">ROUND(T3,-2)</f>
        <v>88500</v>
      </c>
      <c r="U29" s="12">
        <f t="shared" si="18"/>
        <v>139300</v>
      </c>
      <c r="V29" s="12">
        <f t="shared" si="18"/>
        <v>280000</v>
      </c>
      <c r="W29" s="23"/>
      <c r="AC29" s="7" t="s">
        <v>6</v>
      </c>
      <c r="AD29" s="7">
        <v>1</v>
      </c>
      <c r="AE29" s="7">
        <v>0</v>
      </c>
      <c r="AF29" s="7"/>
      <c r="AJ29" s="7" t="s">
        <v>17</v>
      </c>
      <c r="AK29" s="7">
        <v>153.33000000000001</v>
      </c>
      <c r="AL29" s="7">
        <v>47.67</v>
      </c>
      <c r="AM29" s="7">
        <v>0</v>
      </c>
      <c r="AN29" s="7">
        <v>17.22</v>
      </c>
      <c r="AO29" s="7">
        <v>0</v>
      </c>
      <c r="AP29" s="17">
        <v>14.84</v>
      </c>
      <c r="AR29" s="17"/>
      <c r="AS29" s="17"/>
    </row>
    <row r="30" spans="1:45" x14ac:dyDescent="0.25">
      <c r="Q30" s="23">
        <f t="shared" si="16"/>
        <v>31</v>
      </c>
      <c r="S30" s="6">
        <f t="shared" si="17"/>
        <v>1.3</v>
      </c>
      <c r="T30" s="12">
        <f t="shared" ref="T30:V30" si="19">ROUND(T4,-2)</f>
        <v>19600</v>
      </c>
      <c r="U30" s="12">
        <f t="shared" si="19"/>
        <v>16500</v>
      </c>
      <c r="V30" s="12">
        <f t="shared" si="19"/>
        <v>58900</v>
      </c>
      <c r="W30" s="23"/>
      <c r="X30" s="6" t="s">
        <v>107</v>
      </c>
      <c r="AC30" s="7" t="s">
        <v>9</v>
      </c>
      <c r="AD30" s="7">
        <v>1</v>
      </c>
      <c r="AE30" s="7">
        <v>0</v>
      </c>
      <c r="AF30" s="7"/>
      <c r="AJ30" s="7" t="s">
        <v>18</v>
      </c>
      <c r="AK30" s="7">
        <v>138.55000000000001</v>
      </c>
      <c r="AL30" s="7">
        <v>69.290000000000006</v>
      </c>
      <c r="AM30" s="7">
        <v>0</v>
      </c>
      <c r="AN30" s="7">
        <v>24.53</v>
      </c>
      <c r="AO30" s="7">
        <v>0</v>
      </c>
      <c r="AP30" s="17">
        <v>20.62</v>
      </c>
      <c r="AR30" s="17"/>
      <c r="AS30" s="17"/>
    </row>
    <row r="31" spans="1:45" x14ac:dyDescent="0.25">
      <c r="Q31" s="23">
        <f t="shared" si="16"/>
        <v>39</v>
      </c>
      <c r="S31" s="6">
        <f t="shared" si="17"/>
        <v>1.3</v>
      </c>
      <c r="T31" s="12">
        <f t="shared" ref="T31:V31" si="20">ROUND(T5,-2)</f>
        <v>24700</v>
      </c>
      <c r="U31" s="12">
        <f t="shared" si="20"/>
        <v>20600</v>
      </c>
      <c r="V31" s="12">
        <f t="shared" si="20"/>
        <v>74100</v>
      </c>
      <c r="W31" s="23"/>
      <c r="AC31" s="7" t="s">
        <v>13</v>
      </c>
      <c r="AD31" s="7">
        <v>1</v>
      </c>
      <c r="AE31" s="7">
        <v>0</v>
      </c>
      <c r="AF31" s="7"/>
      <c r="AJ31" s="7" t="s">
        <v>85</v>
      </c>
      <c r="AK31" s="7">
        <v>172.3</v>
      </c>
      <c r="AL31" s="7">
        <v>35.380000000000003</v>
      </c>
      <c r="AM31" s="7">
        <v>0</v>
      </c>
      <c r="AN31" s="7">
        <v>23.42</v>
      </c>
      <c r="AO31" s="7">
        <v>0</v>
      </c>
      <c r="AP31" s="17">
        <v>20.39</v>
      </c>
      <c r="AR31" s="17"/>
      <c r="AS31" s="17"/>
    </row>
    <row r="32" spans="1:45" x14ac:dyDescent="0.25">
      <c r="Q32" s="23">
        <f t="shared" si="16"/>
        <v>37</v>
      </c>
      <c r="S32" s="6">
        <f t="shared" si="17"/>
        <v>1</v>
      </c>
      <c r="T32" s="12">
        <f t="shared" ref="T32:V32" si="21">ROUND(T6,-2)</f>
        <v>20800</v>
      </c>
      <c r="U32" s="12">
        <f t="shared" si="21"/>
        <v>17300</v>
      </c>
      <c r="V32" s="12">
        <f t="shared" si="21"/>
        <v>62500</v>
      </c>
      <c r="W32" s="23"/>
      <c r="AC32" s="7" t="s">
        <v>16</v>
      </c>
      <c r="AD32" s="7">
        <v>1</v>
      </c>
      <c r="AE32" s="7">
        <v>0</v>
      </c>
      <c r="AF32" s="7"/>
      <c r="AJ32" s="7" t="s">
        <v>85</v>
      </c>
      <c r="AK32" s="7">
        <v>172.3</v>
      </c>
      <c r="AL32" s="7">
        <v>35.380000000000003</v>
      </c>
      <c r="AM32" s="7">
        <v>0</v>
      </c>
      <c r="AN32" s="7">
        <v>23.42</v>
      </c>
      <c r="AO32" s="7">
        <v>0</v>
      </c>
      <c r="AP32" s="17">
        <v>20.39</v>
      </c>
      <c r="AR32" s="17"/>
      <c r="AS32" s="17"/>
    </row>
    <row r="33" spans="17:45" x14ac:dyDescent="0.25">
      <c r="Q33" s="23">
        <f t="shared" si="16"/>
        <v>30</v>
      </c>
      <c r="S33" s="6">
        <f t="shared" si="17"/>
        <v>0.8</v>
      </c>
      <c r="T33" s="12">
        <f t="shared" ref="T33:V33" si="22">ROUND(T7,-2)</f>
        <v>10900</v>
      </c>
      <c r="U33" s="12">
        <f t="shared" si="22"/>
        <v>10100</v>
      </c>
      <c r="V33" s="12">
        <f t="shared" si="22"/>
        <v>32600</v>
      </c>
      <c r="W33" s="23"/>
      <c r="AC33" s="7" t="s">
        <v>25</v>
      </c>
      <c r="AD33" s="7">
        <v>1</v>
      </c>
      <c r="AE33" s="7">
        <v>0</v>
      </c>
      <c r="AF33" s="7"/>
      <c r="AJ33" s="7" t="s">
        <v>3</v>
      </c>
      <c r="AK33" s="7">
        <v>1</v>
      </c>
      <c r="AL33" s="7">
        <v>1</v>
      </c>
      <c r="AM33" s="7">
        <v>1</v>
      </c>
      <c r="AN33" s="7">
        <v>1</v>
      </c>
      <c r="AO33" s="7">
        <v>0</v>
      </c>
      <c r="AP33" s="17">
        <v>1</v>
      </c>
      <c r="AR33" s="17"/>
      <c r="AS33" s="17"/>
    </row>
    <row r="34" spans="17:45" x14ac:dyDescent="0.25">
      <c r="Q34" s="23">
        <f t="shared" si="16"/>
        <v>30</v>
      </c>
      <c r="S34" s="6">
        <f t="shared" si="17"/>
        <v>0.8</v>
      </c>
      <c r="T34" s="12">
        <f t="shared" ref="T34:V34" si="23">ROUND(T8,-2)</f>
        <v>8900</v>
      </c>
      <c r="U34" s="12">
        <f t="shared" si="23"/>
        <v>8300</v>
      </c>
      <c r="V34" s="12">
        <f t="shared" si="23"/>
        <v>26700</v>
      </c>
      <c r="W34" s="23"/>
      <c r="AJ34" s="7" t="s">
        <v>6</v>
      </c>
      <c r="AK34" s="7">
        <v>1</v>
      </c>
      <c r="AL34" s="7">
        <v>1</v>
      </c>
      <c r="AM34" s="7">
        <v>1</v>
      </c>
      <c r="AN34" s="7">
        <v>1</v>
      </c>
      <c r="AO34" s="7">
        <v>0</v>
      </c>
      <c r="AP34" s="17">
        <v>1</v>
      </c>
      <c r="AR34" s="17"/>
      <c r="AS34" s="17"/>
    </row>
    <row r="35" spans="17:45" x14ac:dyDescent="0.25">
      <c r="Q35" s="23">
        <f t="shared" si="16"/>
        <v>30</v>
      </c>
      <c r="S35" s="6">
        <f t="shared" si="17"/>
        <v>0.8</v>
      </c>
      <c r="T35" s="12">
        <f t="shared" ref="T35:V35" si="24">ROUND(T9,-2)</f>
        <v>8900</v>
      </c>
      <c r="U35" s="12">
        <f t="shared" si="24"/>
        <v>8300</v>
      </c>
      <c r="V35" s="12">
        <f t="shared" si="24"/>
        <v>26700</v>
      </c>
      <c r="W35" s="23"/>
      <c r="AJ35" s="7" t="s">
        <v>24</v>
      </c>
      <c r="AK35" s="7">
        <v>1</v>
      </c>
      <c r="AL35" s="7">
        <v>1</v>
      </c>
      <c r="AM35" s="7">
        <v>1</v>
      </c>
      <c r="AN35" s="7">
        <v>1</v>
      </c>
      <c r="AO35" s="7">
        <v>0</v>
      </c>
      <c r="AP35" s="17">
        <v>1</v>
      </c>
      <c r="AR35" s="17"/>
      <c r="AS35" s="17"/>
    </row>
    <row r="36" spans="17:45" x14ac:dyDescent="0.25">
      <c r="Q36" s="23">
        <f t="shared" si="16"/>
        <v>32</v>
      </c>
      <c r="S36" s="6">
        <f t="shared" si="17"/>
        <v>1.1000000000000001</v>
      </c>
      <c r="T36" s="12">
        <f t="shared" ref="T36:V36" si="25">ROUND(T10,-2)</f>
        <v>48800</v>
      </c>
      <c r="U36" s="12">
        <f t="shared" si="25"/>
        <v>42200</v>
      </c>
      <c r="V36" s="12">
        <f t="shared" si="25"/>
        <v>146300</v>
      </c>
      <c r="W36" s="23"/>
      <c r="AJ36" s="7" t="s">
        <v>9</v>
      </c>
      <c r="AK36" s="7">
        <v>1</v>
      </c>
      <c r="AL36" s="7">
        <v>1</v>
      </c>
      <c r="AM36" s="7">
        <v>1</v>
      </c>
      <c r="AN36" s="7">
        <v>1</v>
      </c>
      <c r="AO36" s="7">
        <v>0</v>
      </c>
      <c r="AP36" s="17">
        <v>1</v>
      </c>
      <c r="AR36" s="17"/>
      <c r="AS36" s="17"/>
    </row>
    <row r="37" spans="17:45" x14ac:dyDescent="0.25">
      <c r="Q37" s="23">
        <f t="shared" si="16"/>
        <v>32</v>
      </c>
      <c r="S37" s="6">
        <f t="shared" si="17"/>
        <v>1.1000000000000001</v>
      </c>
      <c r="T37" s="12">
        <f t="shared" ref="T37:V37" si="26">ROUND(T11,-2)</f>
        <v>46900</v>
      </c>
      <c r="U37" s="12">
        <f t="shared" si="26"/>
        <v>40600</v>
      </c>
      <c r="V37" s="12">
        <f t="shared" si="26"/>
        <v>140800</v>
      </c>
      <c r="W37" s="23"/>
      <c r="AJ37" s="7" t="s">
        <v>13</v>
      </c>
      <c r="AK37" s="7">
        <v>1</v>
      </c>
      <c r="AL37" s="7">
        <v>1</v>
      </c>
      <c r="AM37" s="7">
        <v>1</v>
      </c>
      <c r="AN37" s="7">
        <v>1</v>
      </c>
      <c r="AO37" s="7">
        <v>0</v>
      </c>
      <c r="AP37" s="17">
        <v>1</v>
      </c>
      <c r="AR37" s="17"/>
      <c r="AS37" s="17"/>
    </row>
    <row r="38" spans="17:45" x14ac:dyDescent="0.25">
      <c r="Q38" s="23">
        <f t="shared" si="16"/>
        <v>40</v>
      </c>
      <c r="S38" s="6">
        <f t="shared" si="17"/>
        <v>1.9</v>
      </c>
      <c r="T38" s="12">
        <f t="shared" ref="T38:V38" si="27">ROUND(T12,-2)</f>
        <v>60000</v>
      </c>
      <c r="U38" s="12">
        <f t="shared" si="27"/>
        <v>57800</v>
      </c>
      <c r="V38" s="12">
        <f t="shared" si="27"/>
        <v>180100</v>
      </c>
      <c r="W38" s="23"/>
      <c r="AJ38" s="7" t="s">
        <v>16</v>
      </c>
      <c r="AK38" s="7">
        <v>1</v>
      </c>
      <c r="AL38" s="7">
        <v>1</v>
      </c>
      <c r="AM38" s="7">
        <v>1</v>
      </c>
      <c r="AN38" s="7">
        <v>1</v>
      </c>
      <c r="AO38" s="7">
        <v>0</v>
      </c>
      <c r="AP38" s="17">
        <v>1</v>
      </c>
      <c r="AR38" s="17"/>
      <c r="AS38" s="17"/>
    </row>
    <row r="39" spans="17:45" x14ac:dyDescent="0.25">
      <c r="Q39" s="23">
        <f t="shared" si="16"/>
        <v>38</v>
      </c>
      <c r="S39" s="6">
        <f t="shared" si="17"/>
        <v>1.6</v>
      </c>
      <c r="T39" s="12">
        <f t="shared" ref="T39:V39" si="28">ROUND(T13,-2)</f>
        <v>50600</v>
      </c>
      <c r="U39" s="12">
        <f t="shared" si="28"/>
        <v>48800</v>
      </c>
      <c r="V39" s="12">
        <f t="shared" si="28"/>
        <v>151900</v>
      </c>
      <c r="W39" s="23"/>
      <c r="AJ39" s="7" t="s">
        <v>25</v>
      </c>
      <c r="AK39" s="7">
        <v>1</v>
      </c>
      <c r="AL39" s="7">
        <v>1</v>
      </c>
      <c r="AM39" s="7">
        <v>1</v>
      </c>
      <c r="AN39" s="7">
        <v>1</v>
      </c>
      <c r="AO39" s="7">
        <v>0</v>
      </c>
      <c r="AP39" s="17">
        <v>1</v>
      </c>
      <c r="AR39" s="17"/>
      <c r="AS39" s="17"/>
    </row>
    <row r="40" spans="17:45" x14ac:dyDescent="0.25">
      <c r="Q40" s="23">
        <f t="shared" si="16"/>
        <v>37</v>
      </c>
      <c r="S40" s="6">
        <f t="shared" si="17"/>
        <v>0.9</v>
      </c>
      <c r="T40" s="12">
        <f t="shared" ref="T40:V40" si="29">ROUND(T14,-2)</f>
        <v>20800</v>
      </c>
      <c r="U40" s="12">
        <f t="shared" si="29"/>
        <v>17800</v>
      </c>
      <c r="V40" s="12">
        <f t="shared" si="29"/>
        <v>62400</v>
      </c>
      <c r="W40" s="23"/>
    </row>
    <row r="41" spans="17:45" x14ac:dyDescent="0.25">
      <c r="Q41" s="23">
        <f t="shared" si="16"/>
        <v>35</v>
      </c>
      <c r="S41" s="6">
        <f t="shared" si="17"/>
        <v>0.7</v>
      </c>
      <c r="T41" s="12">
        <f t="shared" ref="T41:V41" si="30">ROUND(T15,-2)</f>
        <v>17100</v>
      </c>
      <c r="U41" s="12">
        <f t="shared" si="30"/>
        <v>14600</v>
      </c>
      <c r="V41" s="12">
        <f t="shared" si="30"/>
        <v>51300</v>
      </c>
      <c r="W41" s="23"/>
    </row>
    <row r="42" spans="17:45" x14ac:dyDescent="0.25">
      <c r="Q42" s="23">
        <f t="shared" si="16"/>
        <v>35</v>
      </c>
      <c r="S42" s="6">
        <f t="shared" si="17"/>
        <v>0.7</v>
      </c>
      <c r="T42" s="12">
        <f t="shared" ref="T42:V42" si="31">ROUND(T16,-2)</f>
        <v>17100</v>
      </c>
      <c r="U42" s="12">
        <f t="shared" si="31"/>
        <v>14600</v>
      </c>
      <c r="V42" s="12">
        <f t="shared" si="31"/>
        <v>51300</v>
      </c>
      <c r="W42" s="23"/>
    </row>
    <row r="43" spans="17:45" x14ac:dyDescent="0.25">
      <c r="Q43" s="23">
        <f t="shared" si="16"/>
        <v>32</v>
      </c>
      <c r="S43" s="6">
        <f t="shared" si="17"/>
        <v>1.4</v>
      </c>
      <c r="T43" s="12">
        <f t="shared" ref="T43:V43" si="32">ROUND(T17,-2)</f>
        <v>19900</v>
      </c>
      <c r="U43" s="12">
        <f t="shared" si="32"/>
        <v>17300</v>
      </c>
      <c r="V43" s="12">
        <f t="shared" si="32"/>
        <v>59700</v>
      </c>
      <c r="W43" s="23"/>
    </row>
    <row r="44" spans="17:45" x14ac:dyDescent="0.25">
      <c r="Q44" s="23">
        <f t="shared" si="16"/>
        <v>27</v>
      </c>
      <c r="S44" s="6">
        <f t="shared" si="17"/>
        <v>0.6</v>
      </c>
      <c r="T44" s="12">
        <f t="shared" ref="T44:V44" si="33">ROUND(T18,-2)</f>
        <v>8200</v>
      </c>
      <c r="U44" s="12">
        <f t="shared" si="33"/>
        <v>7100</v>
      </c>
      <c r="V44" s="12">
        <f t="shared" si="33"/>
        <v>24600</v>
      </c>
      <c r="W44" s="23"/>
    </row>
    <row r="45" spans="17:45" x14ac:dyDescent="0.25">
      <c r="Q45" s="23">
        <f t="shared" si="16"/>
        <v>28</v>
      </c>
      <c r="S45" s="6">
        <f t="shared" si="17"/>
        <v>0.5</v>
      </c>
      <c r="T45" s="12">
        <f t="shared" ref="T45:V45" si="34">ROUND(T19,-2)</f>
        <v>8600</v>
      </c>
      <c r="U45" s="12">
        <f t="shared" si="34"/>
        <v>7400</v>
      </c>
      <c r="V45" s="12">
        <f t="shared" si="34"/>
        <v>25800</v>
      </c>
      <c r="W45" s="23"/>
    </row>
    <row r="46" spans="17:45" x14ac:dyDescent="0.25">
      <c r="Q46" s="23">
        <f t="shared" si="16"/>
        <v>0</v>
      </c>
      <c r="S46" s="6">
        <f t="shared" si="17"/>
        <v>0</v>
      </c>
      <c r="T46" s="12">
        <f t="shared" ref="T46:V46" si="35">ROUND(T20,-2)</f>
        <v>0</v>
      </c>
      <c r="U46" s="12">
        <f t="shared" si="35"/>
        <v>0</v>
      </c>
      <c r="V46" s="12">
        <f t="shared" si="35"/>
        <v>0</v>
      </c>
    </row>
    <row r="47" spans="17:45" x14ac:dyDescent="0.25">
      <c r="Q47" s="23">
        <f t="shared" si="16"/>
        <v>0</v>
      </c>
      <c r="S47" s="6">
        <f t="shared" si="17"/>
        <v>0</v>
      </c>
      <c r="T47" s="12">
        <f t="shared" ref="T47:V47" si="36">ROUND(T21,-2)</f>
        <v>0</v>
      </c>
      <c r="U47" s="12">
        <f t="shared" si="36"/>
        <v>0</v>
      </c>
      <c r="V47" s="12">
        <f t="shared" si="36"/>
        <v>0</v>
      </c>
    </row>
    <row r="48" spans="17:45" x14ac:dyDescent="0.25">
      <c r="Q48" s="23">
        <f t="shared" si="16"/>
        <v>0</v>
      </c>
      <c r="S48" s="6">
        <f t="shared" si="17"/>
        <v>0</v>
      </c>
      <c r="T48" s="12">
        <f t="shared" ref="T48:V48" si="37">ROUND(T22,-2)</f>
        <v>0</v>
      </c>
      <c r="U48" s="12">
        <f t="shared" si="37"/>
        <v>0</v>
      </c>
      <c r="V48" s="12">
        <f t="shared" si="37"/>
        <v>0</v>
      </c>
    </row>
    <row r="49" spans="17:22" x14ac:dyDescent="0.25">
      <c r="Q49" s="23">
        <f t="shared" si="16"/>
        <v>0</v>
      </c>
      <c r="S49" s="6">
        <f t="shared" si="17"/>
        <v>0</v>
      </c>
      <c r="T49" s="12">
        <f t="shared" ref="T49:V49" si="38">ROUND(T23,-2)</f>
        <v>0</v>
      </c>
      <c r="U49" s="12">
        <f t="shared" si="38"/>
        <v>0</v>
      </c>
      <c r="V49" s="12">
        <f t="shared" si="38"/>
        <v>0</v>
      </c>
    </row>
    <row r="50" spans="17:22" x14ac:dyDescent="0.25">
      <c r="Q50" s="23">
        <f t="shared" si="16"/>
        <v>0</v>
      </c>
      <c r="S50" s="6">
        <f t="shared" si="17"/>
        <v>0</v>
      </c>
      <c r="T50" s="12">
        <f t="shared" ref="T50:V50" si="39">ROUND(T24,-2)</f>
        <v>0</v>
      </c>
      <c r="U50" s="12">
        <f t="shared" si="39"/>
        <v>0</v>
      </c>
      <c r="V50" s="12">
        <f t="shared" si="39"/>
        <v>0</v>
      </c>
    </row>
    <row r="51" spans="17:22" x14ac:dyDescent="0.25">
      <c r="Q51" s="23">
        <f t="shared" si="16"/>
        <v>0</v>
      </c>
      <c r="S51" s="6">
        <f t="shared" si="17"/>
        <v>0</v>
      </c>
      <c r="T51" s="12">
        <f t="shared" ref="T51:V51" si="40">ROUND(T25,-2)</f>
        <v>0</v>
      </c>
      <c r="U51" s="12">
        <f t="shared" si="40"/>
        <v>0</v>
      </c>
      <c r="V51" s="12">
        <f t="shared" si="40"/>
        <v>0</v>
      </c>
    </row>
    <row r="52" spans="17:22" x14ac:dyDescent="0.25">
      <c r="Q52" s="23">
        <f t="shared" si="16"/>
        <v>0</v>
      </c>
      <c r="S52" s="6">
        <f t="shared" si="17"/>
        <v>0</v>
      </c>
      <c r="T52" s="12">
        <f t="shared" ref="T52:V52" si="41">ROUND(T26,-2)</f>
        <v>0</v>
      </c>
      <c r="U52" s="12">
        <f t="shared" si="41"/>
        <v>0</v>
      </c>
      <c r="V52" s="12">
        <f t="shared" si="41"/>
        <v>0</v>
      </c>
    </row>
    <row r="53" spans="17:22" x14ac:dyDescent="0.25">
      <c r="Q53" s="23">
        <f t="shared" si="16"/>
        <v>0</v>
      </c>
      <c r="S53" s="6">
        <f t="shared" si="17"/>
        <v>0</v>
      </c>
      <c r="T53" s="12">
        <f t="shared" ref="T53:V53" si="42">ROUND(T27,-2)</f>
        <v>0</v>
      </c>
      <c r="U53" s="12">
        <f t="shared" si="42"/>
        <v>0</v>
      </c>
      <c r="V53" s="12">
        <f t="shared" si="42"/>
        <v>0</v>
      </c>
    </row>
    <row r="54" spans="17:22" x14ac:dyDescent="0.25">
      <c r="Q54" s="23">
        <f t="shared" si="16"/>
        <v>36</v>
      </c>
      <c r="S54" s="6">
        <f t="shared" si="17"/>
        <v>0.3</v>
      </c>
      <c r="T54" s="12">
        <f t="shared" ref="T54:V54" si="43">ROUND(T28,-2)</f>
        <v>105000</v>
      </c>
      <c r="U54" s="12">
        <f t="shared" si="43"/>
        <v>165100</v>
      </c>
      <c r="V54" s="12">
        <f t="shared" si="43"/>
        <v>331900</v>
      </c>
    </row>
  </sheetData>
  <autoFilter ref="C1:X26" xr:uid="{00000000-0001-0000-0000-000000000000}"/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Jafari</dc:creator>
  <cp:lastModifiedBy>Mustafa Jafari</cp:lastModifiedBy>
  <dcterms:created xsi:type="dcterms:W3CDTF">2022-04-27T13:50:43Z</dcterms:created>
  <dcterms:modified xsi:type="dcterms:W3CDTF">2022-05-09T10:07:29Z</dcterms:modified>
</cp:coreProperties>
</file>