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ul\Desktop\Data Analyst\GITHUB PROJECTS\"/>
    </mc:Choice>
  </mc:AlternateContent>
  <xr:revisionPtr revIDLastSave="0" documentId="13_ncr:1_{75BE6B5A-057C-4FAF-B233-F1A31740AC83}" xr6:coauthVersionLast="47" xr6:coauthVersionMax="47" xr10:uidLastSave="{00000000-0000-0000-0000-000000000000}"/>
  <bookViews>
    <workbookView xWindow="-110" yWindow="-110" windowWidth="19420" windowHeight="10420" firstSheet="1" activeTab="1" xr2:uid="{C81F0071-B93D-4ED0-BDE2-6197B56A6CC7}"/>
  </bookViews>
  <sheets>
    <sheet name="America_by_year_1991-2019" sheetId="5" r:id="rId1"/>
    <sheet name="UK" sheetId="1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9" i="16" l="1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 l="1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0" i="16"/>
  <c r="B9" i="16"/>
  <c r="B8" i="16"/>
  <c r="B5" i="16"/>
  <c r="B7" i="16"/>
  <c r="B6" i="16"/>
  <c r="B4" i="16"/>
  <c r="B3" i="16"/>
  <c r="B2" i="16"/>
  <c r="B170" i="16"/>
  <c r="B181" i="16"/>
  <c r="B180" i="16"/>
  <c r="B179" i="16"/>
  <c r="B178" i="16"/>
  <c r="B177" i="16"/>
  <c r="B176" i="16"/>
  <c r="B175" i="16"/>
  <c r="B174" i="16"/>
  <c r="B173" i="16"/>
  <c r="B172" i="16"/>
  <c r="B171" i="16"/>
  <c r="F21" i="5" l="1"/>
  <c r="F20" i="5"/>
  <c r="H10" i="5"/>
  <c r="AC10" i="5" s="1"/>
  <c r="AC9" i="5"/>
  <c r="H9" i="5"/>
  <c r="I9" i="5" s="1"/>
  <c r="AC8" i="5"/>
  <c r="I8" i="5"/>
  <c r="G7" i="5"/>
  <c r="G6" i="5"/>
  <c r="H5" i="5"/>
  <c r="I5" i="5" s="1"/>
  <c r="B5" i="5" s="1"/>
  <c r="G5" i="5"/>
  <c r="I4" i="5"/>
  <c r="G4" i="5"/>
  <c r="B4" i="5"/>
  <c r="I3" i="5"/>
  <c r="B3" i="5" s="1"/>
  <c r="H3" i="5"/>
  <c r="G3" i="5"/>
  <c r="H11" i="5" l="1"/>
  <c r="H12" i="5" s="1"/>
  <c r="H13" i="5"/>
  <c r="AC12" i="5"/>
  <c r="I12" i="5"/>
  <c r="I11" i="5"/>
  <c r="H6" i="5"/>
  <c r="I10" i="5"/>
  <c r="AC11" i="5"/>
  <c r="I6" i="5" l="1"/>
  <c r="B6" i="5" s="1"/>
  <c r="H7" i="5"/>
  <c r="I7" i="5" s="1"/>
  <c r="B7" i="5" s="1"/>
  <c r="I13" i="5"/>
  <c r="H14" i="5"/>
  <c r="AC13" i="5"/>
  <c r="AC14" i="5" l="1"/>
  <c r="I14" i="5"/>
  <c r="H15" i="5"/>
  <c r="H16" i="5" l="1"/>
  <c r="AC15" i="5"/>
  <c r="I15" i="5"/>
  <c r="H17" i="5" l="1"/>
  <c r="AC16" i="5"/>
  <c r="I16" i="5"/>
  <c r="I17" i="5" l="1"/>
  <c r="H18" i="5"/>
  <c r="AC17" i="5"/>
  <c r="AC18" i="5" l="1"/>
  <c r="I18" i="5"/>
  <c r="H19" i="5"/>
  <c r="AC19" i="5" l="1"/>
  <c r="I19" i="5"/>
  <c r="H20" i="5"/>
  <c r="AC20" i="5" l="1"/>
  <c r="I20" i="5"/>
  <c r="H21" i="5"/>
  <c r="H22" i="5" l="1"/>
  <c r="AC21" i="5"/>
  <c r="I21" i="5"/>
  <c r="H23" i="5" l="1"/>
  <c r="AC22" i="5"/>
  <c r="I22" i="5"/>
  <c r="I23" i="5" l="1"/>
  <c r="AC23" i="5"/>
  <c r="H24" i="5"/>
  <c r="AC24" i="5" l="1"/>
  <c r="I24" i="5"/>
  <c r="H25" i="5"/>
  <c r="H26" i="5" l="1"/>
  <c r="AC25" i="5"/>
  <c r="I25" i="5"/>
  <c r="H27" i="5" l="1"/>
  <c r="I26" i="5"/>
  <c r="AC26" i="5"/>
  <c r="I27" i="5" l="1"/>
  <c r="AC27" i="5"/>
  <c r="H28" i="5"/>
  <c r="AC28" i="5" l="1"/>
  <c r="I28" i="5"/>
  <c r="H29" i="5"/>
  <c r="H30" i="5" l="1"/>
  <c r="AC29" i="5"/>
  <c r="I29" i="5"/>
  <c r="I30" i="5" l="1"/>
  <c r="H31" i="5"/>
  <c r="AC30" i="5"/>
  <c r="AC31" i="5" l="1"/>
  <c r="I31" i="5"/>
</calcChain>
</file>

<file path=xl/sharedStrings.xml><?xml version="1.0" encoding="utf-8"?>
<sst xmlns="http://schemas.openxmlformats.org/spreadsheetml/2006/main" count="53" uniqueCount="28">
  <si>
    <t>Year</t>
  </si>
  <si>
    <t>N of incidents</t>
  </si>
  <si>
    <t>N of offences</t>
  </si>
  <si>
    <t>N of Victims</t>
  </si>
  <si>
    <t>N of Known Offenders</t>
  </si>
  <si>
    <t>Murder</t>
  </si>
  <si>
    <t>Rape</t>
  </si>
  <si>
    <t>Aggravated Assult</t>
  </si>
  <si>
    <t>Simple Assult</t>
  </si>
  <si>
    <t>Intimidation</t>
  </si>
  <si>
    <t>CRIMES AGAINST PEOPLE</t>
  </si>
  <si>
    <t>CRIMES AGAINST PROPERTY</t>
  </si>
  <si>
    <t>Robbery</t>
  </si>
  <si>
    <t>Burglary</t>
  </si>
  <si>
    <t>Larceny-Theft</t>
  </si>
  <si>
    <t>Arson</t>
  </si>
  <si>
    <t>Destruction / Damage / Vandalism</t>
  </si>
  <si>
    <t>US JEWS (est.)</t>
  </si>
  <si>
    <t>Incidents per 100k Jews</t>
  </si>
  <si>
    <t>Destruction / Damage / Vandalism per 100k Jews</t>
  </si>
  <si>
    <t>US GDP Growth %</t>
  </si>
  <si>
    <t>US Unemployed Rate %</t>
  </si>
  <si>
    <t>Google - "Israeli Attack"</t>
  </si>
  <si>
    <t>NA</t>
  </si>
  <si>
    <t>Number of Palestinians Killed</t>
  </si>
  <si>
    <t>UK Google - "Israel"</t>
  </si>
  <si>
    <t>UK Unemployment Rate</t>
  </si>
  <si>
    <t>UK Inflation Adjusted Average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</si>
</sst>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0" fontId="0" fillId="3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/>
    </xf>
    <xf numFmtId="10" fontId="0" fillId="0" borderId="0" xfId="0" applyNumberFormat="1"/>
    <xf numFmtId="3" fontId="0" fillId="3" borderId="1" xfId="0" applyNumberFormat="1" applyFill="1" applyBorder="1" applyAlignment="1">
      <alignment horizontal="center"/>
    </xf>
    <xf numFmtId="3" fontId="0" fillId="0" borderId="0" xfId="0" applyNumberFormat="1"/>
    <xf numFmtId="3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0B27-1B52-473A-A6E0-871CC3C19235}">
  <dimension ref="A1:AC32"/>
  <sheetViews>
    <sheetView workbookViewId="0">
      <selection activeCell="C21" sqref="C21"/>
    </sheetView>
  </sheetViews>
  <sheetFormatPr defaultRowHeight="14.5" x14ac:dyDescent="0.35"/>
  <cols>
    <col min="2" max="2" width="20.54296875" style="4" bestFit="1" customWidth="1"/>
    <col min="3" max="3" width="20.54296875" style="4" customWidth="1"/>
    <col min="4" max="4" width="25.36328125" style="4" bestFit="1" customWidth="1"/>
    <col min="5" max="5" width="20.54296875" style="7" customWidth="1"/>
    <col min="6" max="6" width="15.7265625" bestFit="1" customWidth="1"/>
    <col min="7" max="7" width="20.36328125" bestFit="1" customWidth="1"/>
    <col min="8" max="8" width="12.54296875" bestFit="1" customWidth="1"/>
    <col min="9" max="9" width="20.54296875" bestFit="1" customWidth="1"/>
    <col min="10" max="10" width="14.1796875" customWidth="1"/>
    <col min="11" max="11" width="11.81640625" bestFit="1" customWidth="1"/>
    <col min="12" max="12" width="10.6328125" bestFit="1" customWidth="1"/>
    <col min="13" max="13" width="19.453125" bestFit="1" customWidth="1"/>
    <col min="18" max="18" width="15.7265625" bestFit="1" customWidth="1"/>
    <col min="19" max="19" width="11.81640625" bestFit="1" customWidth="1"/>
    <col min="20" max="20" width="11" bestFit="1" customWidth="1"/>
    <col min="26" max="26" width="15.7265625" bestFit="1" customWidth="1"/>
    <col min="27" max="27" width="11.81640625" bestFit="1" customWidth="1"/>
    <col min="28" max="28" width="29.81640625" bestFit="1" customWidth="1"/>
    <col min="29" max="29" width="42.08984375" style="4" bestFit="1" customWidth="1"/>
  </cols>
  <sheetData>
    <row r="1" spans="1:29" x14ac:dyDescent="0.35">
      <c r="P1" s="19" t="s">
        <v>10</v>
      </c>
      <c r="Q1" s="19"/>
      <c r="R1" s="19"/>
      <c r="S1" s="19"/>
      <c r="T1" s="19"/>
      <c r="X1" s="19" t="s">
        <v>11</v>
      </c>
      <c r="Y1" s="19"/>
      <c r="Z1" s="19"/>
      <c r="AA1" s="19"/>
      <c r="AB1" s="19"/>
    </row>
    <row r="2" spans="1:29" x14ac:dyDescent="0.35">
      <c r="A2" s="1" t="s">
        <v>0</v>
      </c>
      <c r="B2" s="5" t="s">
        <v>18</v>
      </c>
      <c r="C2" s="5" t="s">
        <v>22</v>
      </c>
      <c r="D2" s="5" t="s">
        <v>24</v>
      </c>
      <c r="E2" s="8" t="s">
        <v>21</v>
      </c>
      <c r="F2" s="1" t="s">
        <v>20</v>
      </c>
      <c r="G2" s="1" t="s">
        <v>21</v>
      </c>
      <c r="H2" s="1" t="s">
        <v>17</v>
      </c>
      <c r="I2" s="1" t="s">
        <v>18</v>
      </c>
      <c r="J2" s="1" t="s">
        <v>1</v>
      </c>
      <c r="K2" s="1" t="s">
        <v>2</v>
      </c>
      <c r="L2" s="1" t="s">
        <v>3</v>
      </c>
      <c r="M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X2" s="1" t="s">
        <v>12</v>
      </c>
      <c r="Y2" s="1" t="s">
        <v>13</v>
      </c>
      <c r="Z2" s="1" t="s">
        <v>14</v>
      </c>
      <c r="AA2" s="1" t="s">
        <v>15</v>
      </c>
      <c r="AB2" s="1" t="s">
        <v>16</v>
      </c>
      <c r="AC2" s="5" t="s">
        <v>19</v>
      </c>
    </row>
    <row r="3" spans="1:29" x14ac:dyDescent="0.35">
      <c r="A3" s="1">
        <v>1991</v>
      </c>
      <c r="B3" s="6">
        <f>I3</f>
        <v>13.668843514070007</v>
      </c>
      <c r="C3" s="6" t="s">
        <v>23</v>
      </c>
      <c r="D3" s="6" t="s">
        <v>23</v>
      </c>
      <c r="E3" s="9">
        <v>6.8</v>
      </c>
      <c r="F3" s="1"/>
      <c r="G3" s="8">
        <f>E3</f>
        <v>6.8</v>
      </c>
      <c r="H3" s="2">
        <f>H4/1.0033</f>
        <v>5808830.8581680451</v>
      </c>
      <c r="I3" s="3">
        <f>(J3)/(H3/100000)</f>
        <v>13.668843514070007</v>
      </c>
      <c r="J3" s="1">
        <v>794</v>
      </c>
      <c r="K3" s="1"/>
      <c r="L3" s="1"/>
      <c r="M3" s="1"/>
      <c r="P3" s="1"/>
      <c r="Q3" s="1"/>
      <c r="R3" s="1"/>
      <c r="S3" s="1"/>
      <c r="T3" s="1"/>
      <c r="X3" s="1"/>
      <c r="Y3" s="1"/>
      <c r="Z3" s="1"/>
      <c r="AA3" s="1"/>
      <c r="AB3" s="1"/>
      <c r="AC3" s="5"/>
    </row>
    <row r="4" spans="1:29" x14ac:dyDescent="0.35">
      <c r="A4" s="1">
        <v>1992</v>
      </c>
      <c r="B4" s="6">
        <f>I4</f>
        <v>17.518874399450926</v>
      </c>
      <c r="C4" s="6" t="s">
        <v>23</v>
      </c>
      <c r="D4" s="6" t="s">
        <v>23</v>
      </c>
      <c r="E4" s="9">
        <v>7.6</v>
      </c>
      <c r="F4" s="1"/>
      <c r="G4" s="8">
        <f>E4</f>
        <v>7.6</v>
      </c>
      <c r="H4" s="2">
        <v>5828000</v>
      </c>
      <c r="I4" s="3">
        <f t="shared" ref="I4:I7" si="0">(J4)/(H4/100000)</f>
        <v>17.518874399450926</v>
      </c>
      <c r="J4" s="1">
        <v>1021</v>
      </c>
      <c r="K4" s="1"/>
      <c r="L4" s="1"/>
      <c r="M4" s="1"/>
      <c r="P4" s="1"/>
      <c r="Q4" s="1"/>
      <c r="R4" s="1"/>
      <c r="S4" s="1"/>
      <c r="T4" s="1"/>
      <c r="X4" s="1"/>
      <c r="Y4" s="1"/>
      <c r="Z4" s="1"/>
      <c r="AA4" s="1"/>
      <c r="AB4" s="1"/>
      <c r="AC4" s="5"/>
    </row>
    <row r="5" spans="1:29" x14ac:dyDescent="0.35">
      <c r="A5" s="1">
        <v>1993</v>
      </c>
      <c r="B5" s="6">
        <f t="shared" ref="B5:B7" si="1">I5</f>
        <v>19.51934176879109</v>
      </c>
      <c r="C5" s="6" t="s">
        <v>23</v>
      </c>
      <c r="D5" s="6" t="s">
        <v>23</v>
      </c>
      <c r="E5" s="9">
        <v>6.9</v>
      </c>
      <c r="F5" s="1"/>
      <c r="G5" s="8">
        <f t="shared" ref="G5:G7" si="2">E5</f>
        <v>6.9</v>
      </c>
      <c r="H5" s="2">
        <f>H4*1.003</f>
        <v>5845483.9999999991</v>
      </c>
      <c r="I5" s="3">
        <f t="shared" si="0"/>
        <v>19.51934176879109</v>
      </c>
      <c r="J5" s="1">
        <v>1141</v>
      </c>
      <c r="K5" s="1"/>
      <c r="L5" s="1"/>
      <c r="M5" s="1"/>
      <c r="P5" s="1"/>
      <c r="Q5" s="1"/>
      <c r="R5" s="1"/>
      <c r="S5" s="1"/>
      <c r="T5" s="1"/>
      <c r="X5" s="1"/>
      <c r="Y5" s="1"/>
      <c r="Z5" s="1"/>
      <c r="AA5" s="1"/>
      <c r="AB5" s="1"/>
      <c r="AC5" s="5"/>
    </row>
    <row r="6" spans="1:29" x14ac:dyDescent="0.35">
      <c r="A6" s="1">
        <v>1994</v>
      </c>
      <c r="B6" s="6">
        <f t="shared" si="1"/>
        <v>19.426846781874406</v>
      </c>
      <c r="C6" s="6" t="s">
        <v>23</v>
      </c>
      <c r="D6" s="6" t="s">
        <v>23</v>
      </c>
      <c r="E6" s="9">
        <v>6.12</v>
      </c>
      <c r="F6" s="1"/>
      <c r="G6" s="8">
        <f t="shared" si="2"/>
        <v>6.12</v>
      </c>
      <c r="H6" s="2">
        <f>H5*1.003</f>
        <v>5863020.4519999987</v>
      </c>
      <c r="I6" s="3">
        <f t="shared" si="0"/>
        <v>19.426846781874406</v>
      </c>
      <c r="J6" s="1">
        <v>1139</v>
      </c>
      <c r="K6" s="1"/>
      <c r="L6" s="1"/>
      <c r="M6" s="1"/>
      <c r="P6" s="1"/>
      <c r="Q6" s="1"/>
      <c r="R6" s="1"/>
      <c r="S6" s="1"/>
      <c r="T6" s="1"/>
      <c r="X6" s="1"/>
      <c r="Y6" s="1"/>
      <c r="Z6" s="1"/>
      <c r="AA6" s="1"/>
      <c r="AB6" s="1"/>
      <c r="AC6" s="5"/>
    </row>
    <row r="7" spans="1:29" x14ac:dyDescent="0.35">
      <c r="A7" s="1">
        <v>1995</v>
      </c>
      <c r="B7" s="6">
        <f t="shared" si="1"/>
        <v>18.025342400180381</v>
      </c>
      <c r="C7" s="6" t="s">
        <v>23</v>
      </c>
      <c r="D7" s="6" t="s">
        <v>23</v>
      </c>
      <c r="E7" s="9">
        <v>5.65</v>
      </c>
      <c r="F7" s="1"/>
      <c r="G7" s="8">
        <f t="shared" si="2"/>
        <v>5.65</v>
      </c>
      <c r="H7" s="2">
        <f>H6*1.003</f>
        <v>5880609.5133559983</v>
      </c>
      <c r="I7" s="3">
        <f t="shared" si="0"/>
        <v>18.025342400180381</v>
      </c>
      <c r="J7" s="1">
        <v>1060</v>
      </c>
      <c r="K7" s="1"/>
      <c r="L7" s="1"/>
      <c r="M7" s="1"/>
      <c r="P7" s="1"/>
      <c r="Q7" s="1"/>
      <c r="R7" s="1"/>
      <c r="S7" s="1"/>
      <c r="T7" s="1"/>
      <c r="X7" s="1"/>
      <c r="Y7" s="1"/>
      <c r="Z7" s="1"/>
      <c r="AA7" s="1"/>
      <c r="AB7" s="1"/>
      <c r="AC7" s="5"/>
    </row>
    <row r="8" spans="1:29" x14ac:dyDescent="0.35">
      <c r="A8" s="1">
        <v>1996</v>
      </c>
      <c r="B8" s="6">
        <v>18.796610169491526</v>
      </c>
      <c r="C8" s="6" t="s">
        <v>23</v>
      </c>
      <c r="D8" s="6" t="s">
        <v>23</v>
      </c>
      <c r="E8" s="9">
        <v>5.45</v>
      </c>
      <c r="F8" s="1">
        <v>3.8</v>
      </c>
      <c r="G8" s="1">
        <v>5.45</v>
      </c>
      <c r="H8" s="2">
        <v>5900000</v>
      </c>
      <c r="I8" s="3">
        <f>(J8)/(H8/100000)</f>
        <v>18.796610169491526</v>
      </c>
      <c r="J8" s="1">
        <v>1109</v>
      </c>
      <c r="K8" s="1">
        <v>1182</v>
      </c>
      <c r="L8" s="1">
        <v>1209</v>
      </c>
      <c r="M8" s="1">
        <v>371</v>
      </c>
      <c r="P8" s="1">
        <v>0</v>
      </c>
      <c r="Q8" s="1">
        <v>0</v>
      </c>
      <c r="R8" s="1">
        <v>18</v>
      </c>
      <c r="S8" s="1">
        <v>26</v>
      </c>
      <c r="T8" s="1">
        <v>363</v>
      </c>
      <c r="X8" s="1">
        <v>2</v>
      </c>
      <c r="Y8" s="1">
        <v>19</v>
      </c>
      <c r="Z8" s="1">
        <v>7</v>
      </c>
      <c r="AA8" s="1">
        <v>10</v>
      </c>
      <c r="AB8" s="1">
        <v>737</v>
      </c>
      <c r="AC8" s="5">
        <f>(AB8)/(H8/100000)</f>
        <v>12.491525423728813</v>
      </c>
    </row>
    <row r="9" spans="1:29" x14ac:dyDescent="0.35">
      <c r="A9" s="1">
        <v>1997</v>
      </c>
      <c r="B9" s="6">
        <v>18.261204097095199</v>
      </c>
      <c r="C9" s="6" t="s">
        <v>23</v>
      </c>
      <c r="D9" s="6" t="s">
        <v>23</v>
      </c>
      <c r="E9" s="9">
        <v>5</v>
      </c>
      <c r="F9" s="1">
        <v>4.4000000000000004</v>
      </c>
      <c r="G9" s="1">
        <v>5</v>
      </c>
      <c r="H9" s="2">
        <f>(1.0089)*(H8)</f>
        <v>5952509.9999999991</v>
      </c>
      <c r="I9" s="3">
        <f t="shared" ref="I9:I31" si="3">(J9)/(H9/100000)</f>
        <v>18.261204097095177</v>
      </c>
      <c r="J9" s="1">
        <v>1087</v>
      </c>
      <c r="K9" s="1">
        <v>1159</v>
      </c>
      <c r="L9" s="1">
        <v>1247</v>
      </c>
      <c r="M9" s="1">
        <v>598</v>
      </c>
      <c r="P9" s="1">
        <v>0</v>
      </c>
      <c r="Q9" s="1">
        <v>0</v>
      </c>
      <c r="R9" s="1">
        <v>20</v>
      </c>
      <c r="S9" s="1">
        <v>46</v>
      </c>
      <c r="T9" s="1">
        <v>387</v>
      </c>
      <c r="X9" s="1">
        <v>2</v>
      </c>
      <c r="Y9" s="1">
        <v>15</v>
      </c>
      <c r="Z9" s="1">
        <v>10</v>
      </c>
      <c r="AA9" s="1">
        <v>4</v>
      </c>
      <c r="AB9" s="1">
        <v>674</v>
      </c>
      <c r="AC9" s="5">
        <f t="shared" ref="AC9:AC31" si="4">(AB9)/(H9/100000)</f>
        <v>11.322954518346044</v>
      </c>
    </row>
    <row r="10" spans="1:29" x14ac:dyDescent="0.35">
      <c r="A10" s="1">
        <v>1998</v>
      </c>
      <c r="B10" s="6">
        <v>18.000204462674002</v>
      </c>
      <c r="C10" s="6" t="s">
        <v>23</v>
      </c>
      <c r="D10" s="6" t="s">
        <v>23</v>
      </c>
      <c r="E10" s="9">
        <v>4.51</v>
      </c>
      <c r="F10" s="1">
        <v>4.5</v>
      </c>
      <c r="G10" s="1">
        <v>4.51</v>
      </c>
      <c r="H10" s="2">
        <f t="shared" ref="H10:H31" si="5">(1.0089)*(H9)</f>
        <v>6005487.3389999988</v>
      </c>
      <c r="I10" s="3">
        <f t="shared" si="3"/>
        <v>18.000204462674002</v>
      </c>
      <c r="J10" s="1">
        <v>1081</v>
      </c>
      <c r="K10" s="1">
        <v>1145</v>
      </c>
      <c r="L10" s="1">
        <v>1235</v>
      </c>
      <c r="M10" s="1">
        <v>394</v>
      </c>
      <c r="P10" s="1">
        <v>0</v>
      </c>
      <c r="Q10" s="1">
        <v>0</v>
      </c>
      <c r="R10" s="1">
        <v>12</v>
      </c>
      <c r="S10" s="1">
        <v>57</v>
      </c>
      <c r="T10" s="1">
        <v>380</v>
      </c>
      <c r="X10" s="1">
        <v>6</v>
      </c>
      <c r="Y10" s="1">
        <v>10</v>
      </c>
      <c r="Z10" s="1">
        <v>3</v>
      </c>
      <c r="AA10" s="1">
        <v>3</v>
      </c>
      <c r="AB10" s="1">
        <v>674</v>
      </c>
      <c r="AC10" s="5">
        <f t="shared" si="4"/>
        <v>11.22306920244429</v>
      </c>
    </row>
    <row r="11" spans="1:29" x14ac:dyDescent="0.35">
      <c r="A11" s="1">
        <v>1999</v>
      </c>
      <c r="B11" s="6">
        <v>18.303543191869394</v>
      </c>
      <c r="C11" s="6" t="s">
        <v>23</v>
      </c>
      <c r="D11" s="6" t="s">
        <v>23</v>
      </c>
      <c r="E11" s="9">
        <v>4.22</v>
      </c>
      <c r="F11" s="1">
        <v>4.8</v>
      </c>
      <c r="G11" s="1">
        <v>4.22</v>
      </c>
      <c r="H11" s="2">
        <f t="shared" si="5"/>
        <v>6058936.1763170986</v>
      </c>
      <c r="I11" s="3">
        <f t="shared" si="3"/>
        <v>18.303543191869394</v>
      </c>
      <c r="J11" s="1">
        <v>1109</v>
      </c>
      <c r="K11" s="1">
        <v>1198</v>
      </c>
      <c r="L11" s="1">
        <v>1289</v>
      </c>
      <c r="M11" s="1">
        <v>429</v>
      </c>
      <c r="P11" s="1">
        <v>0</v>
      </c>
      <c r="Q11" s="1">
        <v>0</v>
      </c>
      <c r="R11" s="1">
        <v>14</v>
      </c>
      <c r="S11" s="1">
        <v>42</v>
      </c>
      <c r="T11" s="1">
        <v>420</v>
      </c>
      <c r="X11" s="1">
        <v>0</v>
      </c>
      <c r="Y11" s="1">
        <v>14</v>
      </c>
      <c r="Z11" s="1">
        <v>7</v>
      </c>
      <c r="AA11" s="1">
        <v>13</v>
      </c>
      <c r="AB11" s="1">
        <v>686</v>
      </c>
      <c r="AC11" s="5">
        <f t="shared" si="4"/>
        <v>11.322119593888551</v>
      </c>
    </row>
    <row r="12" spans="1:29" x14ac:dyDescent="0.35">
      <c r="A12" s="1">
        <v>2000</v>
      </c>
      <c r="B12" s="6">
        <v>18.142078691514914</v>
      </c>
      <c r="C12" s="6" t="s">
        <v>23</v>
      </c>
      <c r="D12" s="6">
        <v>279</v>
      </c>
      <c r="E12" s="9">
        <v>3.99</v>
      </c>
      <c r="F12" s="1">
        <v>4.0999999999999996</v>
      </c>
      <c r="G12" s="1">
        <v>3.99</v>
      </c>
      <c r="H12" s="2">
        <f t="shared" si="5"/>
        <v>6112860.7082863199</v>
      </c>
      <c r="I12" s="3">
        <f>(J12)/(H12/100000)</f>
        <v>18.142078691514914</v>
      </c>
      <c r="J12" s="1">
        <v>1109</v>
      </c>
      <c r="K12" s="1">
        <v>1161</v>
      </c>
      <c r="L12" s="1">
        <v>1269</v>
      </c>
      <c r="M12" s="1">
        <v>405</v>
      </c>
      <c r="P12" s="1">
        <v>1</v>
      </c>
      <c r="Q12" s="1">
        <v>0</v>
      </c>
      <c r="R12" s="1">
        <v>12</v>
      </c>
      <c r="S12" s="1">
        <v>23</v>
      </c>
      <c r="T12" s="1">
        <v>376</v>
      </c>
      <c r="X12" s="1">
        <v>5</v>
      </c>
      <c r="Y12" s="1">
        <v>16</v>
      </c>
      <c r="Z12" s="1">
        <v>9</v>
      </c>
      <c r="AA12" s="1">
        <v>5</v>
      </c>
      <c r="AB12" s="1">
        <v>713</v>
      </c>
      <c r="AC12" s="5">
        <f t="shared" si="4"/>
        <v>11.663933369747641</v>
      </c>
    </row>
    <row r="13" spans="1:29" x14ac:dyDescent="0.35">
      <c r="A13" s="1">
        <v>2001</v>
      </c>
      <c r="B13" s="6">
        <v>16.911872142485578</v>
      </c>
      <c r="C13" s="6" t="s">
        <v>23</v>
      </c>
      <c r="D13" s="6">
        <v>466</v>
      </c>
      <c r="E13" s="9">
        <v>4.7300000000000004</v>
      </c>
      <c r="F13" s="1">
        <v>1</v>
      </c>
      <c r="G13" s="1">
        <v>4.7300000000000004</v>
      </c>
      <c r="H13" s="2">
        <f>(1.0089)*(H12)</f>
        <v>6167265.1685900679</v>
      </c>
      <c r="I13" s="3">
        <f t="shared" si="3"/>
        <v>16.911872142485578</v>
      </c>
      <c r="J13" s="1">
        <v>1043</v>
      </c>
      <c r="K13" s="1">
        <v>1117</v>
      </c>
      <c r="L13" s="1">
        <v>1196</v>
      </c>
      <c r="M13" s="1">
        <v>389</v>
      </c>
      <c r="P13" s="1">
        <v>0</v>
      </c>
      <c r="Q13" s="1">
        <v>0</v>
      </c>
      <c r="R13" s="1">
        <v>13</v>
      </c>
      <c r="S13" s="1">
        <v>45</v>
      </c>
      <c r="T13" s="1">
        <v>415</v>
      </c>
      <c r="X13" s="1">
        <v>3</v>
      </c>
      <c r="Y13" s="1">
        <v>12</v>
      </c>
      <c r="Z13" s="1">
        <v>10</v>
      </c>
      <c r="AA13" s="1">
        <v>10</v>
      </c>
      <c r="AB13" s="1">
        <v>608</v>
      </c>
      <c r="AC13" s="5">
        <f t="shared" si="4"/>
        <v>9.8585026487356018</v>
      </c>
    </row>
    <row r="14" spans="1:29" x14ac:dyDescent="0.35">
      <c r="A14" s="1">
        <v>2002</v>
      </c>
      <c r="B14" s="6">
        <v>14.962664467119032</v>
      </c>
      <c r="C14" s="6" t="s">
        <v>23</v>
      </c>
      <c r="D14" s="6">
        <v>1033</v>
      </c>
      <c r="E14" s="9">
        <v>5.78</v>
      </c>
      <c r="F14" s="1">
        <v>1.7</v>
      </c>
      <c r="G14" s="1">
        <v>5.78</v>
      </c>
      <c r="H14" s="2">
        <f t="shared" si="5"/>
        <v>6222153.8285905188</v>
      </c>
      <c r="I14" s="3">
        <f t="shared" si="3"/>
        <v>14.962664467119032</v>
      </c>
      <c r="J14" s="1">
        <v>931</v>
      </c>
      <c r="K14" s="1">
        <v>1039</v>
      </c>
      <c r="L14" s="1">
        <v>1084</v>
      </c>
      <c r="M14" s="1">
        <v>317</v>
      </c>
      <c r="P14" s="1">
        <v>0</v>
      </c>
      <c r="Q14" s="1">
        <v>0</v>
      </c>
      <c r="R14" s="1">
        <v>17</v>
      </c>
      <c r="S14" s="1">
        <v>35</v>
      </c>
      <c r="T14" s="1">
        <v>433</v>
      </c>
      <c r="X14" s="1">
        <v>2</v>
      </c>
      <c r="Y14" s="1">
        <v>11</v>
      </c>
      <c r="Z14" s="1">
        <v>10</v>
      </c>
      <c r="AA14" s="1">
        <v>4</v>
      </c>
      <c r="AB14" s="1">
        <v>524</v>
      </c>
      <c r="AC14" s="5">
        <f t="shared" si="4"/>
        <v>8.4215211393881546</v>
      </c>
    </row>
    <row r="15" spans="1:29" x14ac:dyDescent="0.35">
      <c r="A15" s="1">
        <v>2003</v>
      </c>
      <c r="B15" s="6">
        <v>14.766952171877959</v>
      </c>
      <c r="C15" s="6" t="s">
        <v>23</v>
      </c>
      <c r="D15" s="6">
        <v>588</v>
      </c>
      <c r="E15" s="9">
        <v>5.99</v>
      </c>
      <c r="F15" s="1">
        <v>2.9</v>
      </c>
      <c r="G15" s="1">
        <v>5.99</v>
      </c>
      <c r="H15" s="2">
        <f t="shared" si="5"/>
        <v>6277530.9976649741</v>
      </c>
      <c r="I15" s="3">
        <f t="shared" si="3"/>
        <v>14.766952171877959</v>
      </c>
      <c r="J15" s="1">
        <v>927</v>
      </c>
      <c r="K15" s="1">
        <v>987</v>
      </c>
      <c r="L15" s="1">
        <v>1025</v>
      </c>
      <c r="M15" s="1">
        <v>332</v>
      </c>
      <c r="P15" s="1">
        <v>0</v>
      </c>
      <c r="Q15" s="1">
        <v>0</v>
      </c>
      <c r="R15" s="1">
        <v>13</v>
      </c>
      <c r="S15" s="1">
        <v>34</v>
      </c>
      <c r="T15" s="1">
        <v>274</v>
      </c>
      <c r="X15" s="1">
        <v>1</v>
      </c>
      <c r="Y15" s="1">
        <v>12</v>
      </c>
      <c r="Z15" s="1">
        <v>11</v>
      </c>
      <c r="AA15" s="1">
        <v>1</v>
      </c>
      <c r="AB15" s="1">
        <v>638</v>
      </c>
      <c r="AC15" s="5">
        <f t="shared" si="4"/>
        <v>10.163231376114496</v>
      </c>
    </row>
    <row r="16" spans="1:29" x14ac:dyDescent="0.35">
      <c r="A16" s="1">
        <v>2004</v>
      </c>
      <c r="B16" s="6">
        <v>15.062996902510028</v>
      </c>
      <c r="C16" s="6">
        <v>192</v>
      </c>
      <c r="D16" s="6">
        <v>824</v>
      </c>
      <c r="E16" s="9">
        <v>5.53</v>
      </c>
      <c r="F16" s="1">
        <v>3.8</v>
      </c>
      <c r="G16" s="1">
        <v>5.53</v>
      </c>
      <c r="H16" s="2">
        <f t="shared" si="5"/>
        <v>6333401.0235441914</v>
      </c>
      <c r="I16" s="3">
        <f t="shared" si="3"/>
        <v>15.062996902510028</v>
      </c>
      <c r="J16" s="1">
        <v>954</v>
      </c>
      <c r="K16" s="1">
        <v>1003</v>
      </c>
      <c r="L16" s="1">
        <v>1076</v>
      </c>
      <c r="M16" s="1">
        <v>330</v>
      </c>
      <c r="P16" s="1">
        <v>0</v>
      </c>
      <c r="Q16" s="1">
        <v>0</v>
      </c>
      <c r="R16" s="1">
        <v>10</v>
      </c>
      <c r="S16" s="1">
        <v>32</v>
      </c>
      <c r="T16" s="1">
        <v>255</v>
      </c>
      <c r="X16" s="1">
        <v>3</v>
      </c>
      <c r="Y16" s="1">
        <v>15</v>
      </c>
      <c r="Z16" s="1">
        <v>5</v>
      </c>
      <c r="AA16" s="1">
        <v>3</v>
      </c>
      <c r="AB16" s="1">
        <v>679</v>
      </c>
      <c r="AC16" s="5">
        <f t="shared" si="4"/>
        <v>10.720938046964685</v>
      </c>
    </row>
    <row r="17" spans="1:29" x14ac:dyDescent="0.35">
      <c r="A17" s="1">
        <v>2005</v>
      </c>
      <c r="B17" s="6">
        <v>13.271216750925678</v>
      </c>
      <c r="C17" s="6">
        <v>174</v>
      </c>
      <c r="D17" s="6">
        <v>197</v>
      </c>
      <c r="E17" s="9">
        <v>5.08</v>
      </c>
      <c r="F17" s="1">
        <v>3.5</v>
      </c>
      <c r="G17" s="1">
        <v>5.08</v>
      </c>
      <c r="H17" s="2">
        <f t="shared" si="5"/>
        <v>6389768.2926537339</v>
      </c>
      <c r="I17" s="3">
        <f t="shared" si="3"/>
        <v>13.271216750925678</v>
      </c>
      <c r="J17" s="1">
        <v>848</v>
      </c>
      <c r="K17" s="1">
        <v>900</v>
      </c>
      <c r="L17" s="1">
        <v>977</v>
      </c>
      <c r="M17" s="1">
        <v>364</v>
      </c>
      <c r="P17" s="1">
        <v>0</v>
      </c>
      <c r="Q17" s="1">
        <v>0</v>
      </c>
      <c r="R17" s="1">
        <v>16</v>
      </c>
      <c r="S17" s="1">
        <v>42</v>
      </c>
      <c r="T17" s="1">
        <v>232</v>
      </c>
      <c r="X17" s="1">
        <v>2</v>
      </c>
      <c r="Y17" s="1">
        <v>10</v>
      </c>
      <c r="Z17" s="1">
        <v>11</v>
      </c>
      <c r="AA17" s="1">
        <v>4</v>
      </c>
      <c r="AB17" s="1">
        <v>582</v>
      </c>
      <c r="AC17" s="5">
        <f t="shared" si="4"/>
        <v>9.1083114965079535</v>
      </c>
    </row>
    <row r="18" spans="1:29" x14ac:dyDescent="0.35">
      <c r="A18" s="1">
        <v>2006</v>
      </c>
      <c r="B18" s="6">
        <v>15.000068492007374</v>
      </c>
      <c r="C18" s="6">
        <v>231</v>
      </c>
      <c r="D18" s="6">
        <v>662</v>
      </c>
      <c r="E18" s="9">
        <v>4.62</v>
      </c>
      <c r="F18" s="1">
        <v>2.9</v>
      </c>
      <c r="G18" s="1">
        <v>4.62</v>
      </c>
      <c r="H18" s="2">
        <f t="shared" si="5"/>
        <v>6446637.2304583518</v>
      </c>
      <c r="I18" s="3">
        <f t="shared" si="3"/>
        <v>15.000068492007374</v>
      </c>
      <c r="J18" s="1">
        <v>967</v>
      </c>
      <c r="K18" s="1">
        <v>1027</v>
      </c>
      <c r="L18" s="1">
        <v>1144</v>
      </c>
      <c r="M18" s="1">
        <v>362</v>
      </c>
      <c r="P18" s="1">
        <v>0</v>
      </c>
      <c r="Q18" s="1">
        <v>0</v>
      </c>
      <c r="R18" s="1">
        <v>22</v>
      </c>
      <c r="S18" s="1">
        <v>58</v>
      </c>
      <c r="T18" s="1">
        <v>244</v>
      </c>
      <c r="X18" s="1">
        <v>1</v>
      </c>
      <c r="Y18" s="1">
        <v>7</v>
      </c>
      <c r="Z18" s="1">
        <v>13</v>
      </c>
      <c r="AA18" s="1">
        <v>8</v>
      </c>
      <c r="AB18" s="1">
        <v>672</v>
      </c>
      <c r="AC18" s="5">
        <f t="shared" si="4"/>
        <v>10.424039324331908</v>
      </c>
    </row>
    <row r="19" spans="1:29" x14ac:dyDescent="0.35">
      <c r="A19" s="1">
        <v>2007</v>
      </c>
      <c r="B19" s="6">
        <v>14.898495805895417</v>
      </c>
      <c r="C19" s="6">
        <v>141</v>
      </c>
      <c r="D19" s="6">
        <v>390</v>
      </c>
      <c r="E19" s="9">
        <v>4.62</v>
      </c>
      <c r="F19" s="1">
        <v>1.9</v>
      </c>
      <c r="G19" s="1">
        <v>4.62</v>
      </c>
      <c r="H19" s="2">
        <f t="shared" si="5"/>
        <v>6504012.3018094301</v>
      </c>
      <c r="I19" s="3">
        <f t="shared" si="3"/>
        <v>14.898495805895417</v>
      </c>
      <c r="J19" s="1">
        <v>969</v>
      </c>
      <c r="K19" s="1">
        <v>1010</v>
      </c>
      <c r="L19" s="1">
        <v>1127</v>
      </c>
      <c r="M19" s="1">
        <v>320</v>
      </c>
      <c r="P19" s="1">
        <v>0</v>
      </c>
      <c r="Q19" s="1">
        <v>0</v>
      </c>
      <c r="R19" s="1">
        <v>16</v>
      </c>
      <c r="S19" s="1">
        <v>42</v>
      </c>
      <c r="T19" s="1">
        <v>201</v>
      </c>
      <c r="X19" s="1">
        <v>1</v>
      </c>
      <c r="Y19" s="1">
        <v>17</v>
      </c>
      <c r="Z19" s="1">
        <v>6</v>
      </c>
      <c r="AA19" s="1">
        <v>1</v>
      </c>
      <c r="AB19" s="1">
        <v>718</v>
      </c>
      <c r="AC19" s="5">
        <f t="shared" si="4"/>
        <v>11.039339513553054</v>
      </c>
    </row>
    <row r="20" spans="1:29" x14ac:dyDescent="0.35">
      <c r="A20" s="1">
        <v>2008</v>
      </c>
      <c r="B20" s="6">
        <v>15.437606592730333</v>
      </c>
      <c r="C20" s="6">
        <v>181</v>
      </c>
      <c r="D20" s="6">
        <v>871</v>
      </c>
      <c r="E20" s="9">
        <v>5.78</v>
      </c>
      <c r="F20" s="1">
        <f>(-0.1)*(1)</f>
        <v>-0.1</v>
      </c>
      <c r="G20" s="1">
        <v>5.78</v>
      </c>
      <c r="H20" s="2">
        <f t="shared" si="5"/>
        <v>6561898.0112955337</v>
      </c>
      <c r="I20" s="3">
        <f t="shared" si="3"/>
        <v>15.437606592730333</v>
      </c>
      <c r="J20" s="1">
        <v>1013</v>
      </c>
      <c r="K20" s="1">
        <v>1055</v>
      </c>
      <c r="L20" s="1">
        <v>1145</v>
      </c>
      <c r="M20" s="1">
        <v>353</v>
      </c>
      <c r="P20" s="1">
        <v>0</v>
      </c>
      <c r="Q20" s="1">
        <v>0</v>
      </c>
      <c r="R20" s="1">
        <v>25</v>
      </c>
      <c r="S20" s="1">
        <v>58</v>
      </c>
      <c r="T20" s="1">
        <v>201</v>
      </c>
      <c r="X20" s="1">
        <v>4</v>
      </c>
      <c r="Y20" s="1">
        <v>5</v>
      </c>
      <c r="Z20" s="1">
        <v>14</v>
      </c>
      <c r="AA20" s="1">
        <v>4</v>
      </c>
      <c r="AB20" s="1">
        <v>742</v>
      </c>
      <c r="AC20" s="5">
        <f t="shared" si="4"/>
        <v>11.307703940578389</v>
      </c>
    </row>
    <row r="21" spans="1:29" x14ac:dyDescent="0.35">
      <c r="A21" s="1">
        <v>2009</v>
      </c>
      <c r="B21" s="6">
        <v>14.062809150419064</v>
      </c>
      <c r="C21" s="6">
        <v>210</v>
      </c>
      <c r="D21" s="6">
        <v>1049</v>
      </c>
      <c r="E21" s="9">
        <v>9.25</v>
      </c>
      <c r="F21" s="1">
        <f>(-2.5)*(1)</f>
        <v>-2.5</v>
      </c>
      <c r="G21" s="1">
        <v>9.25</v>
      </c>
      <c r="H21" s="2">
        <f t="shared" si="5"/>
        <v>6620298.9035960631</v>
      </c>
      <c r="I21" s="3">
        <f t="shared" si="3"/>
        <v>14.062809150419064</v>
      </c>
      <c r="J21" s="1">
        <v>931</v>
      </c>
      <c r="K21" s="1">
        <v>964</v>
      </c>
      <c r="L21" s="1">
        <v>1132</v>
      </c>
      <c r="M21" s="1">
        <v>353</v>
      </c>
      <c r="P21" s="1">
        <v>0</v>
      </c>
      <c r="Q21" s="1">
        <v>0</v>
      </c>
      <c r="R21" s="1">
        <v>9</v>
      </c>
      <c r="S21" s="1">
        <v>82</v>
      </c>
      <c r="T21" s="1">
        <v>172</v>
      </c>
      <c r="X21" s="1">
        <v>1</v>
      </c>
      <c r="Y21" s="1">
        <v>13</v>
      </c>
      <c r="Z21" s="1">
        <v>6</v>
      </c>
      <c r="AA21" s="1">
        <v>8</v>
      </c>
      <c r="AB21" s="1">
        <v>671</v>
      </c>
      <c r="AC21" s="5">
        <f t="shared" si="4"/>
        <v>10.135494027853051</v>
      </c>
    </row>
    <row r="22" spans="1:29" x14ac:dyDescent="0.35">
      <c r="A22" s="1">
        <v>2010</v>
      </c>
      <c r="B22" s="6">
        <v>13.279994638929114</v>
      </c>
      <c r="C22" s="6">
        <v>248</v>
      </c>
      <c r="D22" s="6">
        <v>82</v>
      </c>
      <c r="E22" s="9">
        <v>9.6300000000000008</v>
      </c>
      <c r="F22" s="1">
        <v>2.6</v>
      </c>
      <c r="G22" s="1">
        <v>9.6300000000000008</v>
      </c>
      <c r="H22" s="2">
        <f t="shared" si="5"/>
        <v>6679219.5638380675</v>
      </c>
      <c r="I22" s="3">
        <f t="shared" si="3"/>
        <v>13.279994638929114</v>
      </c>
      <c r="J22" s="1">
        <v>887</v>
      </c>
      <c r="K22" s="1">
        <v>922</v>
      </c>
      <c r="L22" s="1">
        <v>1040</v>
      </c>
      <c r="M22" s="1">
        <v>346</v>
      </c>
      <c r="P22" s="1">
        <v>0</v>
      </c>
      <c r="Q22" s="1">
        <v>0</v>
      </c>
      <c r="R22" s="1">
        <v>12</v>
      </c>
      <c r="S22" s="1">
        <v>65</v>
      </c>
      <c r="T22" s="1">
        <v>201</v>
      </c>
      <c r="X22" s="1">
        <v>9</v>
      </c>
      <c r="Y22" s="1">
        <v>6</v>
      </c>
      <c r="Z22" s="1">
        <v>8</v>
      </c>
      <c r="AA22" s="1">
        <v>2</v>
      </c>
      <c r="AB22" s="1">
        <v>619</v>
      </c>
      <c r="AC22" s="5">
        <f t="shared" si="4"/>
        <v>9.2675498100305767</v>
      </c>
    </row>
    <row r="23" spans="1:29" x14ac:dyDescent="0.35">
      <c r="A23" s="1">
        <v>2011</v>
      </c>
      <c r="B23" s="6">
        <v>11.441436007151177</v>
      </c>
      <c r="C23" s="6">
        <v>123</v>
      </c>
      <c r="D23" s="6">
        <v>119</v>
      </c>
      <c r="E23" s="9">
        <v>8.9499999999999993</v>
      </c>
      <c r="F23" s="1">
        <v>1.6</v>
      </c>
      <c r="G23" s="1">
        <v>8.9499999999999993</v>
      </c>
      <c r="H23" s="2">
        <f t="shared" si="5"/>
        <v>6738664.6179562258</v>
      </c>
      <c r="I23" s="3">
        <f t="shared" si="3"/>
        <v>11.441436007151177</v>
      </c>
      <c r="J23" s="1">
        <v>771</v>
      </c>
      <c r="K23" s="1">
        <v>820</v>
      </c>
      <c r="L23" s="1">
        <v>936</v>
      </c>
      <c r="M23" s="1">
        <v>287</v>
      </c>
      <c r="P23" s="1">
        <v>0</v>
      </c>
      <c r="Q23" s="1">
        <v>0</v>
      </c>
      <c r="R23" s="1">
        <v>15</v>
      </c>
      <c r="S23" s="1">
        <v>43</v>
      </c>
      <c r="T23" s="1">
        <v>187</v>
      </c>
      <c r="X23" s="1">
        <v>3</v>
      </c>
      <c r="Y23" s="1">
        <v>7</v>
      </c>
      <c r="Z23" s="1">
        <v>13</v>
      </c>
      <c r="AA23" s="1">
        <v>3</v>
      </c>
      <c r="AB23" s="1">
        <v>549</v>
      </c>
      <c r="AC23" s="5">
        <f t="shared" si="4"/>
        <v>8.1470147443916936</v>
      </c>
    </row>
    <row r="24" spans="1:29" x14ac:dyDescent="0.35">
      <c r="A24" s="1">
        <v>2012</v>
      </c>
      <c r="B24" s="6">
        <v>9.9137493028259822</v>
      </c>
      <c r="C24" s="6">
        <v>257</v>
      </c>
      <c r="D24" s="6">
        <v>257</v>
      </c>
      <c r="E24" s="9">
        <v>8.07</v>
      </c>
      <c r="F24" s="1">
        <v>2.2000000000000002</v>
      </c>
      <c r="G24" s="1">
        <v>8.07</v>
      </c>
      <c r="H24" s="2">
        <f t="shared" si="5"/>
        <v>6798638.7330560358</v>
      </c>
      <c r="I24" s="3">
        <f t="shared" si="3"/>
        <v>9.9137493028259822</v>
      </c>
      <c r="J24" s="1">
        <v>674</v>
      </c>
      <c r="K24" s="1">
        <v>696</v>
      </c>
      <c r="L24" s="1">
        <v>836</v>
      </c>
      <c r="M24" s="1">
        <v>232</v>
      </c>
      <c r="P24" s="1">
        <v>0</v>
      </c>
      <c r="Q24" s="1">
        <v>0</v>
      </c>
      <c r="R24" s="1">
        <v>11</v>
      </c>
      <c r="S24" s="1">
        <v>72</v>
      </c>
      <c r="T24" s="1">
        <v>87</v>
      </c>
      <c r="X24" s="1">
        <v>2</v>
      </c>
      <c r="Y24" s="1">
        <v>10</v>
      </c>
      <c r="Z24" s="1">
        <v>17</v>
      </c>
      <c r="AA24" s="1">
        <v>2</v>
      </c>
      <c r="AB24" s="1">
        <v>486</v>
      </c>
      <c r="AC24" s="5">
        <f t="shared" si="4"/>
        <v>7.1484898533730377</v>
      </c>
    </row>
    <row r="25" spans="1:29" x14ac:dyDescent="0.35">
      <c r="A25" s="1">
        <v>2013</v>
      </c>
      <c r="B25" s="6">
        <v>9.111920692581192</v>
      </c>
      <c r="C25" s="6">
        <v>132</v>
      </c>
      <c r="D25" s="6">
        <v>39</v>
      </c>
      <c r="E25" s="9">
        <v>7.38</v>
      </c>
      <c r="F25" s="1">
        <v>1.8</v>
      </c>
      <c r="G25" s="1">
        <v>7.38</v>
      </c>
      <c r="H25" s="2">
        <f t="shared" si="5"/>
        <v>6859146.6177802337</v>
      </c>
      <c r="I25" s="3">
        <f t="shared" si="3"/>
        <v>9.111920692581192</v>
      </c>
      <c r="J25" s="1">
        <v>625</v>
      </c>
      <c r="K25" s="1">
        <v>689</v>
      </c>
      <c r="L25" s="1">
        <v>737</v>
      </c>
      <c r="M25" s="1">
        <v>393</v>
      </c>
      <c r="P25" s="1">
        <v>0</v>
      </c>
      <c r="Q25" s="1">
        <v>0</v>
      </c>
      <c r="R25" s="1">
        <v>5</v>
      </c>
      <c r="S25" s="1">
        <v>72</v>
      </c>
      <c r="T25" s="1">
        <v>152</v>
      </c>
      <c r="X25" s="1">
        <v>1</v>
      </c>
      <c r="Y25" s="1">
        <v>6</v>
      </c>
      <c r="Z25" s="1">
        <v>11</v>
      </c>
      <c r="AA25" s="1">
        <v>4</v>
      </c>
      <c r="AB25" s="1">
        <v>437</v>
      </c>
      <c r="AC25" s="5">
        <f t="shared" si="4"/>
        <v>6.3710549482527687</v>
      </c>
    </row>
    <row r="26" spans="1:29" x14ac:dyDescent="0.35">
      <c r="A26" s="1">
        <v>2014</v>
      </c>
      <c r="B26" s="6">
        <v>8.8003325630400564</v>
      </c>
      <c r="C26" s="6">
        <v>166</v>
      </c>
      <c r="D26" s="6">
        <v>2285</v>
      </c>
      <c r="E26" s="9">
        <v>6.17</v>
      </c>
      <c r="F26" s="1">
        <v>2.5</v>
      </c>
      <c r="G26" s="1">
        <v>6.17</v>
      </c>
      <c r="H26" s="2">
        <f t="shared" si="5"/>
        <v>6920193.0226784768</v>
      </c>
      <c r="I26" s="3">
        <f t="shared" si="3"/>
        <v>8.8003325630400564</v>
      </c>
      <c r="J26" s="1">
        <v>609</v>
      </c>
      <c r="K26" s="1">
        <v>635</v>
      </c>
      <c r="L26" s="1">
        <v>648</v>
      </c>
      <c r="M26" s="1">
        <v>380</v>
      </c>
      <c r="P26" s="1">
        <v>0</v>
      </c>
      <c r="Q26" s="1">
        <v>0</v>
      </c>
      <c r="R26" s="1">
        <v>4</v>
      </c>
      <c r="S26" s="1">
        <v>65</v>
      </c>
      <c r="T26" s="1">
        <v>93</v>
      </c>
      <c r="X26" s="1">
        <v>1</v>
      </c>
      <c r="Y26" s="1">
        <v>8</v>
      </c>
      <c r="Z26" s="1">
        <v>5</v>
      </c>
      <c r="AA26" s="1">
        <v>2</v>
      </c>
      <c r="AB26" s="1">
        <v>451</v>
      </c>
      <c r="AC26" s="5">
        <f t="shared" si="4"/>
        <v>6.5171592544024071</v>
      </c>
    </row>
    <row r="27" spans="1:29" x14ac:dyDescent="0.35">
      <c r="A27" s="1">
        <v>2015</v>
      </c>
      <c r="B27" s="6">
        <v>9.5104649438691844</v>
      </c>
      <c r="C27" s="6">
        <v>127</v>
      </c>
      <c r="D27" s="6">
        <v>192</v>
      </c>
      <c r="E27" s="9">
        <v>5.28</v>
      </c>
      <c r="F27" s="1">
        <v>3.1</v>
      </c>
      <c r="G27" s="1">
        <v>5.28</v>
      </c>
      <c r="H27" s="2">
        <f t="shared" si="5"/>
        <v>6981782.7405803148</v>
      </c>
      <c r="I27" s="3">
        <f t="shared" si="3"/>
        <v>9.5104649438691844</v>
      </c>
      <c r="J27" s="1">
        <v>664</v>
      </c>
      <c r="K27" s="1">
        <v>695</v>
      </c>
      <c r="L27" s="1">
        <v>731</v>
      </c>
      <c r="M27" s="1">
        <v>387</v>
      </c>
      <c r="P27" s="1">
        <v>0</v>
      </c>
      <c r="Q27" s="1">
        <v>0</v>
      </c>
      <c r="R27" s="1">
        <v>22</v>
      </c>
      <c r="S27" s="1">
        <v>78</v>
      </c>
      <c r="T27" s="1">
        <v>114</v>
      </c>
      <c r="X27" s="1">
        <v>1</v>
      </c>
      <c r="Y27" s="1">
        <v>12</v>
      </c>
      <c r="Z27" s="1">
        <v>14</v>
      </c>
      <c r="AA27" s="1">
        <v>4</v>
      </c>
      <c r="AB27" s="1">
        <v>447</v>
      </c>
      <c r="AC27" s="5">
        <f t="shared" si="4"/>
        <v>6.4023762498637433</v>
      </c>
    </row>
    <row r="28" spans="1:29" x14ac:dyDescent="0.35">
      <c r="A28" s="1">
        <v>2016</v>
      </c>
      <c r="B28" s="6">
        <v>9.7105012700318412</v>
      </c>
      <c r="C28" s="6">
        <v>106</v>
      </c>
      <c r="D28" s="6">
        <v>115</v>
      </c>
      <c r="E28" s="9">
        <v>4.87</v>
      </c>
      <c r="F28" s="1">
        <v>1.7</v>
      </c>
      <c r="G28" s="1">
        <v>4.87</v>
      </c>
      <c r="H28" s="2">
        <f t="shared" si="5"/>
        <v>7043920.606971479</v>
      </c>
      <c r="I28" s="3">
        <f t="shared" si="3"/>
        <v>9.7105012700318412</v>
      </c>
      <c r="J28" s="1">
        <v>684</v>
      </c>
      <c r="K28" s="1">
        <v>834</v>
      </c>
      <c r="L28" s="1">
        <v>862</v>
      </c>
      <c r="M28" s="1">
        <v>421</v>
      </c>
      <c r="P28" s="1">
        <v>0</v>
      </c>
      <c r="Q28" s="1">
        <v>0</v>
      </c>
      <c r="R28" s="1">
        <v>12</v>
      </c>
      <c r="S28" s="1">
        <v>61</v>
      </c>
      <c r="T28" s="1">
        <v>238</v>
      </c>
      <c r="X28" s="1">
        <v>3</v>
      </c>
      <c r="Y28" s="1">
        <v>9</v>
      </c>
      <c r="Z28" s="1">
        <v>15</v>
      </c>
      <c r="AA28" s="1">
        <v>4</v>
      </c>
      <c r="AB28" s="1">
        <v>489</v>
      </c>
      <c r="AC28" s="5">
        <f t="shared" si="4"/>
        <v>6.9421566097157461</v>
      </c>
    </row>
    <row r="29" spans="1:29" x14ac:dyDescent="0.35">
      <c r="A29" s="1">
        <v>2017</v>
      </c>
      <c r="B29" s="6">
        <v>13.198976754965409</v>
      </c>
      <c r="C29" s="6">
        <v>76</v>
      </c>
      <c r="D29" s="6">
        <v>97</v>
      </c>
      <c r="E29" s="9">
        <v>4.3600000000000003</v>
      </c>
      <c r="F29" s="1">
        <v>2.2999999999999998</v>
      </c>
      <c r="G29" s="1">
        <v>4.3600000000000003</v>
      </c>
      <c r="H29" s="2">
        <f t="shared" si="5"/>
        <v>7106611.5003735246</v>
      </c>
      <c r="I29" s="3">
        <f t="shared" si="3"/>
        <v>13.198976754965409</v>
      </c>
      <c r="J29" s="1">
        <v>938</v>
      </c>
      <c r="K29" s="1">
        <v>976</v>
      </c>
      <c r="L29" s="1">
        <v>1017</v>
      </c>
      <c r="M29" s="1">
        <v>523</v>
      </c>
      <c r="P29" s="1">
        <v>0</v>
      </c>
      <c r="Q29" s="1">
        <v>0</v>
      </c>
      <c r="R29" s="1">
        <v>8</v>
      </c>
      <c r="S29" s="1">
        <v>61</v>
      </c>
      <c r="T29" s="1">
        <v>179</v>
      </c>
      <c r="X29" s="1">
        <v>4</v>
      </c>
      <c r="Y29" s="1">
        <v>11</v>
      </c>
      <c r="Z29" s="1">
        <v>11</v>
      </c>
      <c r="AA29" s="1">
        <v>2</v>
      </c>
      <c r="AB29" s="1">
        <v>696</v>
      </c>
      <c r="AC29" s="5">
        <f t="shared" si="4"/>
        <v>9.7936970377994932</v>
      </c>
    </row>
    <row r="30" spans="1:29" x14ac:dyDescent="0.35">
      <c r="A30" s="1">
        <v>2018</v>
      </c>
      <c r="B30" s="6">
        <v>11.645973004858167</v>
      </c>
      <c r="C30" s="6">
        <v>80</v>
      </c>
      <c r="D30" s="6">
        <v>290</v>
      </c>
      <c r="E30" s="9">
        <v>3.9</v>
      </c>
      <c r="F30" s="1">
        <v>3</v>
      </c>
      <c r="G30" s="1">
        <v>3.9</v>
      </c>
      <c r="H30" s="2">
        <f t="shared" si="5"/>
        <v>7169860.3427268481</v>
      </c>
      <c r="I30" s="3">
        <f t="shared" si="3"/>
        <v>11.645973004858167</v>
      </c>
      <c r="J30" s="1">
        <v>835</v>
      </c>
      <c r="K30" s="1">
        <v>896</v>
      </c>
      <c r="L30" s="1">
        <v>920</v>
      </c>
      <c r="M30" s="1">
        <v>484</v>
      </c>
      <c r="P30" s="1">
        <v>11</v>
      </c>
      <c r="Q30" s="1">
        <v>0</v>
      </c>
      <c r="R30" s="1">
        <v>24</v>
      </c>
      <c r="S30" s="1">
        <v>65</v>
      </c>
      <c r="T30" s="1">
        <v>243</v>
      </c>
      <c r="X30" s="1">
        <v>5</v>
      </c>
      <c r="Y30" s="1">
        <v>2</v>
      </c>
      <c r="Z30" s="1">
        <v>3</v>
      </c>
      <c r="AA30" s="1">
        <v>10</v>
      </c>
      <c r="AB30" s="1">
        <v>522</v>
      </c>
      <c r="AC30" s="5">
        <f t="shared" si="4"/>
        <v>7.280476537168818</v>
      </c>
    </row>
    <row r="31" spans="1:29" x14ac:dyDescent="0.35">
      <c r="A31" s="1">
        <v>2019</v>
      </c>
      <c r="B31" s="6">
        <v>13.174498191995236</v>
      </c>
      <c r="C31" s="6">
        <v>70</v>
      </c>
      <c r="D31" s="6">
        <v>149</v>
      </c>
      <c r="E31" s="9">
        <v>3.67</v>
      </c>
      <c r="F31" s="1">
        <v>2.2000000000000002</v>
      </c>
      <c r="G31" s="1">
        <v>3.67</v>
      </c>
      <c r="H31" s="2">
        <f t="shared" si="5"/>
        <v>7233672.0997771164</v>
      </c>
      <c r="I31" s="3">
        <f t="shared" si="3"/>
        <v>13.174498191995236</v>
      </c>
      <c r="J31" s="1">
        <v>953</v>
      </c>
      <c r="K31" s="1">
        <v>995</v>
      </c>
      <c r="L31" s="1">
        <v>1032</v>
      </c>
      <c r="M31" s="1">
        <v>602</v>
      </c>
      <c r="P31" s="1">
        <v>6</v>
      </c>
      <c r="Q31" s="1">
        <v>1</v>
      </c>
      <c r="R31" s="1">
        <v>23</v>
      </c>
      <c r="S31" s="1">
        <v>82</v>
      </c>
      <c r="T31" s="1">
        <v>164</v>
      </c>
      <c r="X31" s="1">
        <v>2</v>
      </c>
      <c r="Y31" s="1">
        <v>9</v>
      </c>
      <c r="Z31" s="1">
        <v>12</v>
      </c>
      <c r="AA31" s="1">
        <v>10</v>
      </c>
      <c r="AB31" s="1">
        <v>684</v>
      </c>
      <c r="AC31" s="5">
        <f t="shared" si="4"/>
        <v>9.45577834556636</v>
      </c>
    </row>
    <row r="32" spans="1:29" x14ac:dyDescent="0.35">
      <c r="A32" s="1"/>
      <c r="B32" s="6"/>
      <c r="C32" s="6"/>
      <c r="D32" s="6"/>
      <c r="E32" s="9"/>
      <c r="F32" s="1"/>
      <c r="G32" s="1"/>
      <c r="H32" s="2"/>
      <c r="I32" s="3"/>
      <c r="J32" s="1"/>
      <c r="K32" s="1"/>
      <c r="L32" s="1"/>
      <c r="M32" s="1"/>
      <c r="P32" s="1"/>
      <c r="Q32" s="1"/>
      <c r="R32" s="1"/>
      <c r="S32" s="1"/>
      <c r="T32" s="1"/>
      <c r="X32" s="1"/>
      <c r="Y32" s="1"/>
      <c r="Z32" s="1"/>
      <c r="AA32" s="1"/>
      <c r="AB32" s="1"/>
      <c r="AC32" s="5"/>
    </row>
  </sheetData>
  <mergeCells count="2">
    <mergeCell ref="P1:T1"/>
    <mergeCell ref="X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2762-E3C1-4E36-A78D-0CDB59BE3331}">
  <dimension ref="A1:E194"/>
  <sheetViews>
    <sheetView tabSelected="1" workbookViewId="0">
      <selection activeCell="G13" sqref="G13"/>
    </sheetView>
  </sheetViews>
  <sheetFormatPr defaultRowHeight="14.5" x14ac:dyDescent="0.35"/>
  <cols>
    <col min="2" max="2" width="20.54296875" bestFit="1" customWidth="1"/>
    <col min="3" max="3" width="20.6328125" style="7" bestFit="1" customWidth="1"/>
    <col min="4" max="4" width="20.6328125" style="15" bestFit="1" customWidth="1"/>
    <col min="5" max="5" width="31.453125" style="17" bestFit="1" customWidth="1"/>
  </cols>
  <sheetData>
    <row r="1" spans="1:5" x14ac:dyDescent="0.35">
      <c r="A1" s="1" t="s">
        <v>0</v>
      </c>
      <c r="B1" s="5" t="s">
        <v>18</v>
      </c>
      <c r="C1" s="8" t="s">
        <v>25</v>
      </c>
      <c r="D1" s="13" t="s">
        <v>26</v>
      </c>
      <c r="E1" s="18" t="s">
        <v>27</v>
      </c>
    </row>
    <row r="2" spans="1:5" x14ac:dyDescent="0.35">
      <c r="A2" s="10">
        <v>39083</v>
      </c>
      <c r="B2" s="6">
        <f>(33)/(292000/100000)</f>
        <v>11.301369863013699</v>
      </c>
      <c r="C2" s="12">
        <v>15</v>
      </c>
      <c r="D2" s="14">
        <v>5.5E-2</v>
      </c>
      <c r="E2" s="16">
        <v>421</v>
      </c>
    </row>
    <row r="3" spans="1:5" x14ac:dyDescent="0.35">
      <c r="A3" s="10">
        <v>39114</v>
      </c>
      <c r="B3" s="6">
        <f>(40)/(292000/100000)</f>
        <v>13.698630136986301</v>
      </c>
      <c r="C3" s="12">
        <v>15</v>
      </c>
      <c r="D3" s="14">
        <v>5.5E-2</v>
      </c>
      <c r="E3" s="16">
        <v>422.85376661742981</v>
      </c>
    </row>
    <row r="4" spans="1:5" x14ac:dyDescent="0.35">
      <c r="A4" s="10">
        <v>39142</v>
      </c>
      <c r="B4" s="6">
        <f>(36)/(292000/100000)</f>
        <v>12.328767123287671</v>
      </c>
      <c r="C4" s="12">
        <v>23</v>
      </c>
      <c r="D4" s="14">
        <v>5.5E-2</v>
      </c>
      <c r="E4" s="16">
        <v>411.28767123287673</v>
      </c>
    </row>
    <row r="5" spans="1:5" x14ac:dyDescent="0.35">
      <c r="A5" s="10">
        <v>39173</v>
      </c>
      <c r="B5" s="6">
        <f>(59)/(292000/100000)</f>
        <v>20.205479452054796</v>
      </c>
      <c r="C5" s="12">
        <v>14</v>
      </c>
      <c r="D5" s="14">
        <v>5.5E-2</v>
      </c>
      <c r="E5" s="16">
        <v>405.35929892891915</v>
      </c>
    </row>
    <row r="6" spans="1:5" x14ac:dyDescent="0.35">
      <c r="A6" s="10">
        <v>39203</v>
      </c>
      <c r="B6" s="6">
        <f>(36)/(292000/100000)</f>
        <v>12.328767123287671</v>
      </c>
      <c r="C6" s="12">
        <v>14</v>
      </c>
      <c r="D6" s="14">
        <v>5.4000000000000006E-2</v>
      </c>
      <c r="E6" s="16">
        <v>406.7196896217265</v>
      </c>
    </row>
    <row r="7" spans="1:5" x14ac:dyDescent="0.35">
      <c r="A7" s="10">
        <v>39234</v>
      </c>
      <c r="B7" s="6">
        <f>(42)/(292000/100000)</f>
        <v>14.383561643835616</v>
      </c>
      <c r="C7" s="12">
        <v>15</v>
      </c>
      <c r="D7" s="14">
        <v>5.4000000000000006E-2</v>
      </c>
      <c r="E7" s="16">
        <v>407.47901591895805</v>
      </c>
    </row>
    <row r="8" spans="1:5" x14ac:dyDescent="0.35">
      <c r="A8" s="10">
        <v>39264</v>
      </c>
      <c r="B8" s="6">
        <f>(60)/(292000/100000)</f>
        <v>20.547945205479454</v>
      </c>
      <c r="C8" s="12">
        <v>14</v>
      </c>
      <c r="D8" s="14">
        <v>5.2999999999999999E-2</v>
      </c>
      <c r="E8" s="16">
        <v>410.82969432314411</v>
      </c>
    </row>
    <row r="9" spans="1:5" x14ac:dyDescent="0.35">
      <c r="A9" s="10">
        <v>39295</v>
      </c>
      <c r="B9" s="6">
        <f>(49)/(292000/100000)</f>
        <v>16.780821917808218</v>
      </c>
      <c r="C9" s="12">
        <v>14</v>
      </c>
      <c r="D9" s="14">
        <v>5.2999999999999999E-2</v>
      </c>
      <c r="E9" s="16">
        <v>409.42402315484804</v>
      </c>
    </row>
    <row r="10" spans="1:5" x14ac:dyDescent="0.35">
      <c r="A10" s="10">
        <v>39326</v>
      </c>
      <c r="B10" s="6">
        <f>(81)/(292000/100000)</f>
        <v>27.739726027397261</v>
      </c>
      <c r="C10" s="12">
        <v>21</v>
      </c>
      <c r="D10" s="14">
        <v>5.2999999999999999E-2</v>
      </c>
      <c r="E10" s="16">
        <v>409.98461538461532</v>
      </c>
    </row>
    <row r="11" spans="1:5" x14ac:dyDescent="0.35">
      <c r="A11" s="10">
        <v>39356</v>
      </c>
      <c r="B11" s="6">
        <v>55</v>
      </c>
      <c r="C11" s="12">
        <v>15</v>
      </c>
      <c r="D11" s="14">
        <v>5.2000000000000005E-2</v>
      </c>
      <c r="E11" s="16">
        <v>406.28817616084251</v>
      </c>
    </row>
    <row r="12" spans="1:5" x14ac:dyDescent="0.35">
      <c r="A12" s="10">
        <v>39387</v>
      </c>
      <c r="B12" s="6">
        <v>37</v>
      </c>
      <c r="C12" s="12">
        <v>19</v>
      </c>
      <c r="D12" s="14">
        <v>5.2000000000000005E-2</v>
      </c>
      <c r="E12" s="16">
        <v>408.5836909871245</v>
      </c>
    </row>
    <row r="13" spans="1:5" x14ac:dyDescent="0.35">
      <c r="A13" s="10">
        <v>39417</v>
      </c>
      <c r="B13" s="6">
        <v>33</v>
      </c>
      <c r="C13" s="12">
        <v>14</v>
      </c>
      <c r="D13" s="14">
        <v>5.2000000000000005E-2</v>
      </c>
      <c r="E13" s="16">
        <v>406.25889046941683</v>
      </c>
    </row>
    <row r="14" spans="1:5" x14ac:dyDescent="0.35">
      <c r="A14" s="10">
        <v>39448</v>
      </c>
      <c r="B14" s="6">
        <f>(44)/(292000/100000)</f>
        <v>15.068493150684931</v>
      </c>
      <c r="C14" s="12">
        <v>15</v>
      </c>
      <c r="D14" s="14">
        <v>5.2000000000000005E-2</v>
      </c>
      <c r="E14" s="16">
        <v>421.84175405147755</v>
      </c>
    </row>
    <row r="15" spans="1:5" x14ac:dyDescent="0.35">
      <c r="A15" s="10">
        <v>39479</v>
      </c>
      <c r="B15" s="6">
        <f>(52)/(292000/100000)</f>
        <v>17.808219178082194</v>
      </c>
      <c r="C15" s="12">
        <v>13</v>
      </c>
      <c r="D15" s="14">
        <v>5.2000000000000005E-2</v>
      </c>
      <c r="E15" s="16">
        <v>424.37086092715231</v>
      </c>
    </row>
    <row r="16" spans="1:5" x14ac:dyDescent="0.35">
      <c r="A16" s="10">
        <v>39508</v>
      </c>
      <c r="B16" s="6">
        <f>(40)/(292000/100000)</f>
        <v>13.698630136986301</v>
      </c>
      <c r="C16" s="12">
        <v>15</v>
      </c>
      <c r="D16" s="14">
        <v>5.2000000000000005E-2</v>
      </c>
      <c r="E16" s="16">
        <v>418.21782178217825</v>
      </c>
    </row>
    <row r="17" spans="1:5" x14ac:dyDescent="0.35">
      <c r="A17" s="10">
        <v>39539</v>
      </c>
      <c r="B17" s="6">
        <f>(39)/(292000/100000)</f>
        <v>13.356164383561644</v>
      </c>
      <c r="C17" s="12">
        <v>14</v>
      </c>
      <c r="D17" s="14">
        <v>5.2999999999999999E-2</v>
      </c>
      <c r="E17" s="16">
        <v>405.0841121495327</v>
      </c>
    </row>
    <row r="18" spans="1:5" x14ac:dyDescent="0.35">
      <c r="A18" s="10">
        <v>39569</v>
      </c>
      <c r="B18" s="6">
        <f>(62)/(292000/100000)</f>
        <v>21.232876712328768</v>
      </c>
      <c r="C18" s="12">
        <v>17</v>
      </c>
      <c r="D18" s="14">
        <v>5.2000000000000005E-2</v>
      </c>
      <c r="E18" s="16">
        <v>405.82426778242672</v>
      </c>
    </row>
    <row r="19" spans="1:5" x14ac:dyDescent="0.35">
      <c r="A19" s="10">
        <v>39600</v>
      </c>
      <c r="B19" s="6">
        <f>(40)/(292000/100000)</f>
        <v>13.698630136986301</v>
      </c>
      <c r="C19" s="12">
        <v>15</v>
      </c>
      <c r="D19" s="14">
        <v>5.4000000000000006E-2</v>
      </c>
      <c r="E19" s="16">
        <v>401.71217712177116</v>
      </c>
    </row>
    <row r="20" spans="1:5" x14ac:dyDescent="0.35">
      <c r="A20" s="10">
        <v>39630</v>
      </c>
      <c r="B20" s="6">
        <f>(52)/(292000/100000)</f>
        <v>17.808219178082194</v>
      </c>
      <c r="C20" s="12">
        <v>16</v>
      </c>
      <c r="D20" s="14">
        <v>5.5E-2</v>
      </c>
      <c r="E20" s="16">
        <v>404.13117782909927</v>
      </c>
    </row>
    <row r="21" spans="1:5" x14ac:dyDescent="0.35">
      <c r="A21" s="10">
        <v>39661</v>
      </c>
      <c r="B21" s="6">
        <f>(20)/(292000/100000)</f>
        <v>6.8493150684931505</v>
      </c>
      <c r="C21" s="12">
        <v>13</v>
      </c>
      <c r="D21" s="14">
        <v>5.7000000000000002E-2</v>
      </c>
      <c r="E21" s="16">
        <v>402.82872928176795</v>
      </c>
    </row>
    <row r="22" spans="1:5" x14ac:dyDescent="0.35">
      <c r="A22" s="10">
        <v>39692</v>
      </c>
      <c r="B22" s="6">
        <f>(47)/(292000/100000)</f>
        <v>16.095890410958905</v>
      </c>
      <c r="C22" s="12">
        <v>14</v>
      </c>
      <c r="D22" s="14">
        <v>5.9000000000000004E-2</v>
      </c>
      <c r="E22" s="16">
        <v>400.61538461538458</v>
      </c>
    </row>
    <row r="23" spans="1:5" x14ac:dyDescent="0.35">
      <c r="A23" s="10">
        <v>39722</v>
      </c>
      <c r="B23" s="6">
        <f>(45)/(292000/100000)</f>
        <v>15.41095890410959</v>
      </c>
      <c r="C23" s="12">
        <v>13</v>
      </c>
      <c r="D23" s="14">
        <v>0.06</v>
      </c>
      <c r="E23" s="16">
        <v>402.82958199356909</v>
      </c>
    </row>
    <row r="24" spans="1:5" x14ac:dyDescent="0.35">
      <c r="A24" s="10">
        <v>39753</v>
      </c>
      <c r="B24" s="6">
        <f>(54)/(292000/100000)</f>
        <v>18.493150684931507</v>
      </c>
      <c r="C24" s="12">
        <v>13</v>
      </c>
      <c r="D24" s="14">
        <v>6.2E-2</v>
      </c>
      <c r="E24" s="16">
        <v>405.06666666666666</v>
      </c>
    </row>
    <row r="25" spans="1:5" x14ac:dyDescent="0.35">
      <c r="A25" s="10">
        <v>39783</v>
      </c>
      <c r="B25" s="6">
        <f>(30)/(292000/100000)</f>
        <v>10.273972602739727</v>
      </c>
      <c r="C25" s="12">
        <v>17</v>
      </c>
      <c r="D25" s="14">
        <v>6.4000000000000001E-2</v>
      </c>
      <c r="E25" s="16">
        <v>412.85861906998588</v>
      </c>
    </row>
    <row r="26" spans="1:5" x14ac:dyDescent="0.35">
      <c r="A26" s="10">
        <v>39814</v>
      </c>
      <c r="B26" s="6">
        <f>(289)/(292000/100000)</f>
        <v>98.972602739726028</v>
      </c>
      <c r="C26" s="12">
        <v>39</v>
      </c>
      <c r="D26" s="14">
        <v>6.5000000000000002E-2</v>
      </c>
      <c r="E26" s="16">
        <v>416.44169443122325</v>
      </c>
    </row>
    <row r="27" spans="1:5" x14ac:dyDescent="0.35">
      <c r="A27" s="10">
        <v>39845</v>
      </c>
      <c r="B27" s="6">
        <f>(114)/(292000/100000)</f>
        <v>39.041095890410958</v>
      </c>
      <c r="C27" s="12">
        <v>17</v>
      </c>
      <c r="D27" s="14">
        <v>6.7000000000000004E-2</v>
      </c>
      <c r="E27" s="16">
        <v>399.57615894039731</v>
      </c>
    </row>
    <row r="28" spans="1:5" x14ac:dyDescent="0.35">
      <c r="A28" s="10">
        <v>39873</v>
      </c>
      <c r="B28" s="6">
        <f>(73)/(292000/100000)</f>
        <v>25</v>
      </c>
      <c r="C28" s="12">
        <v>14</v>
      </c>
      <c r="D28" s="14">
        <v>7.0999999999999994E-2</v>
      </c>
      <c r="E28" s="16">
        <v>415.0307619498343</v>
      </c>
    </row>
    <row r="29" spans="1:5" x14ac:dyDescent="0.35">
      <c r="A29" s="10">
        <v>39904</v>
      </c>
      <c r="B29" s="6">
        <f>(52)/(292000/100000)</f>
        <v>17.808219178082194</v>
      </c>
      <c r="C29" s="12">
        <v>14</v>
      </c>
      <c r="D29" s="14">
        <v>7.2999999999999995E-2</v>
      </c>
      <c r="E29" s="16">
        <v>416.54468085106384</v>
      </c>
    </row>
    <row r="30" spans="1:5" x14ac:dyDescent="0.35">
      <c r="A30" s="10">
        <v>39934</v>
      </c>
      <c r="B30" s="6">
        <f>(52)/(292000/100000)</f>
        <v>17.808219178082194</v>
      </c>
      <c r="C30" s="12">
        <v>15</v>
      </c>
      <c r="D30" s="14">
        <v>7.5999999999999998E-2</v>
      </c>
      <c r="E30" s="16">
        <v>413.05263157894734</v>
      </c>
    </row>
    <row r="31" spans="1:5" x14ac:dyDescent="0.35">
      <c r="A31" s="10">
        <v>39965</v>
      </c>
      <c r="B31" s="6">
        <f>(49)/(292000/100000)</f>
        <v>16.780821917808218</v>
      </c>
      <c r="C31" s="12">
        <v>14</v>
      </c>
      <c r="D31" s="14">
        <v>7.8E-2</v>
      </c>
      <c r="E31" s="16">
        <v>411.89128397375822</v>
      </c>
    </row>
    <row r="32" spans="1:5" x14ac:dyDescent="0.35">
      <c r="A32" s="10">
        <v>39995</v>
      </c>
      <c r="B32" s="6">
        <f>(46)/(292000/100000)</f>
        <v>15.753424657534246</v>
      </c>
      <c r="C32" s="12">
        <v>13</v>
      </c>
      <c r="D32" s="14">
        <v>7.9000000000000001E-2</v>
      </c>
      <c r="E32" s="16">
        <v>410.94657919400186</v>
      </c>
    </row>
    <row r="33" spans="1:5" x14ac:dyDescent="0.35">
      <c r="A33" s="10">
        <v>40026</v>
      </c>
      <c r="B33" s="6">
        <f>(40)/(292000/100000)</f>
        <v>13.698630136986301</v>
      </c>
      <c r="C33" s="12">
        <v>13</v>
      </c>
      <c r="D33" s="14">
        <v>7.9000000000000001E-2</v>
      </c>
      <c r="E33" s="16">
        <v>409.97014925373134</v>
      </c>
    </row>
    <row r="34" spans="1:5" x14ac:dyDescent="0.35">
      <c r="A34" s="10">
        <v>40057</v>
      </c>
      <c r="B34" s="6">
        <f>(87)/(292000/100000)</f>
        <v>29.794520547945208</v>
      </c>
      <c r="C34" s="12">
        <v>15</v>
      </c>
      <c r="D34" s="14">
        <v>7.8E-2</v>
      </c>
      <c r="E34" s="16">
        <v>409.19275429633069</v>
      </c>
    </row>
    <row r="35" spans="1:5" x14ac:dyDescent="0.35">
      <c r="A35" s="10">
        <v>40087</v>
      </c>
      <c r="B35" s="6">
        <f>(45)/(292000/100000)</f>
        <v>15.41095890410959</v>
      </c>
      <c r="C35" s="12">
        <v>15</v>
      </c>
      <c r="D35" s="14">
        <v>7.9000000000000001E-2</v>
      </c>
      <c r="E35" s="16">
        <v>407.86666666666667</v>
      </c>
    </row>
    <row r="36" spans="1:5" x14ac:dyDescent="0.35">
      <c r="A36" s="10">
        <v>40118</v>
      </c>
      <c r="B36" s="6">
        <f>(54)/(292000/100000)</f>
        <v>18.493150684931507</v>
      </c>
      <c r="C36" s="12">
        <v>15</v>
      </c>
      <c r="D36" s="14">
        <v>7.8E-2</v>
      </c>
      <c r="E36" s="16">
        <v>408.5983379501385</v>
      </c>
    </row>
    <row r="37" spans="1:5" x14ac:dyDescent="0.35">
      <c r="A37" s="10">
        <v>40148</v>
      </c>
      <c r="B37" s="6">
        <f>(30)/(292000/100000)</f>
        <v>10.273972602739727</v>
      </c>
      <c r="C37" s="12">
        <v>13</v>
      </c>
      <c r="D37" s="14">
        <v>7.8E-2</v>
      </c>
      <c r="E37" s="16">
        <v>405.97431192660554</v>
      </c>
    </row>
    <row r="38" spans="1:5" x14ac:dyDescent="0.35">
      <c r="A38" s="10">
        <v>40179</v>
      </c>
      <c r="B38" s="6">
        <f>(30)/(292000/100000)</f>
        <v>10.273972602739727</v>
      </c>
      <c r="C38" s="12">
        <v>14</v>
      </c>
      <c r="D38" s="14">
        <v>7.6999999999999999E-2</v>
      </c>
      <c r="E38" s="16">
        <v>407.08581918311148</v>
      </c>
    </row>
    <row r="39" spans="1:5" x14ac:dyDescent="0.35">
      <c r="A39" s="10">
        <v>40210</v>
      </c>
      <c r="B39" s="6">
        <f>(48)/(292000/100000)</f>
        <v>16.438356164383563</v>
      </c>
      <c r="C39" s="12">
        <v>15</v>
      </c>
      <c r="D39" s="14">
        <v>7.9000000000000001E-2</v>
      </c>
      <c r="E39" s="16">
        <v>406.5109489051095</v>
      </c>
    </row>
    <row r="40" spans="1:5" x14ac:dyDescent="0.35">
      <c r="A40" s="10">
        <v>40238</v>
      </c>
      <c r="B40" s="6">
        <f>(54)/(292000/100000)</f>
        <v>18.493150684931507</v>
      </c>
      <c r="C40" s="12">
        <v>17</v>
      </c>
      <c r="D40" s="14">
        <v>0.08</v>
      </c>
      <c r="E40" s="16">
        <v>403.74807430901677</v>
      </c>
    </row>
    <row r="41" spans="1:5" x14ac:dyDescent="0.35">
      <c r="A41" s="10">
        <v>40269</v>
      </c>
      <c r="B41" s="6">
        <f>(61)/(292000/100000)</f>
        <v>20.890410958904109</v>
      </c>
      <c r="C41" s="12">
        <v>15</v>
      </c>
      <c r="D41" s="14">
        <v>0.08</v>
      </c>
      <c r="E41" s="16">
        <v>399.94254937163373</v>
      </c>
    </row>
    <row r="42" spans="1:5" x14ac:dyDescent="0.35">
      <c r="A42" s="10">
        <v>40299</v>
      </c>
      <c r="B42" s="6">
        <f>(50)/(292000/100000)</f>
        <v>17.123287671232877</v>
      </c>
      <c r="C42" s="12">
        <v>17</v>
      </c>
      <c r="D42" s="14">
        <v>7.9000000000000001E-2</v>
      </c>
      <c r="E42" s="16">
        <v>400.31484794275491</v>
      </c>
    </row>
    <row r="43" spans="1:5" x14ac:dyDescent="0.35">
      <c r="A43" s="10">
        <v>40330</v>
      </c>
      <c r="B43" s="6">
        <f>(82)/(292000/100000)</f>
        <v>28.082191780821919</v>
      </c>
      <c r="C43" s="12">
        <v>22</v>
      </c>
      <c r="D43" s="14">
        <v>7.9000000000000001E-2</v>
      </c>
      <c r="E43" s="16">
        <v>399.42168674698797</v>
      </c>
    </row>
    <row r="44" spans="1:5" x14ac:dyDescent="0.35">
      <c r="A44" s="10">
        <v>40360</v>
      </c>
      <c r="B44" s="6">
        <f>(63)/(292000/100000)</f>
        <v>21.575342465753426</v>
      </c>
      <c r="C44" s="12">
        <v>14</v>
      </c>
      <c r="D44" s="14">
        <v>7.8E-2</v>
      </c>
      <c r="E44" s="16">
        <v>399.41323792486583</v>
      </c>
    </row>
    <row r="45" spans="1:5" x14ac:dyDescent="0.35">
      <c r="A45" s="10">
        <v>40391</v>
      </c>
      <c r="B45" s="6">
        <f>(47)/(292000/100000)</f>
        <v>16.095890410958905</v>
      </c>
      <c r="C45" s="12">
        <v>15</v>
      </c>
      <c r="D45" s="14">
        <v>7.8E-2</v>
      </c>
      <c r="E45" s="16">
        <v>399.60801781737194</v>
      </c>
    </row>
    <row r="46" spans="1:5" x14ac:dyDescent="0.35">
      <c r="A46" s="10">
        <v>40422</v>
      </c>
      <c r="B46" s="6">
        <f>(83)/(292000/100000)</f>
        <v>28.424657534246577</v>
      </c>
      <c r="C46" s="12">
        <v>14</v>
      </c>
      <c r="D46" s="14">
        <v>7.8E-2</v>
      </c>
      <c r="E46" s="16">
        <v>399.97869507323566</v>
      </c>
    </row>
    <row r="47" spans="1:5" x14ac:dyDescent="0.35">
      <c r="A47" s="10">
        <v>40452</v>
      </c>
      <c r="B47" s="6">
        <f>(52)/(292000/100000)</f>
        <v>17.808219178082194</v>
      </c>
      <c r="C47" s="12">
        <v>14</v>
      </c>
      <c r="D47" s="14">
        <v>7.9000000000000001E-2</v>
      </c>
      <c r="E47" s="16">
        <v>399.09300265721879</v>
      </c>
    </row>
    <row r="48" spans="1:5" x14ac:dyDescent="0.35">
      <c r="A48" s="10">
        <v>40483</v>
      </c>
      <c r="B48" s="6">
        <f>(48)/(292000/100000)</f>
        <v>16.438356164383563</v>
      </c>
      <c r="C48" s="12">
        <v>13</v>
      </c>
      <c r="D48" s="14">
        <v>7.9000000000000001E-2</v>
      </c>
      <c r="E48" s="16">
        <v>398.22222222222223</v>
      </c>
    </row>
    <row r="49" spans="1:5" x14ac:dyDescent="0.35">
      <c r="A49" s="10">
        <v>40513</v>
      </c>
      <c r="B49" s="6">
        <f>(28)/(292000/100000)</f>
        <v>9.589041095890412</v>
      </c>
      <c r="C49" s="12">
        <v>15</v>
      </c>
      <c r="D49" s="14">
        <v>7.9000000000000001E-2</v>
      </c>
      <c r="E49" s="16">
        <v>396.31523642732049</v>
      </c>
    </row>
    <row r="50" spans="1:5" x14ac:dyDescent="0.35">
      <c r="A50" s="10">
        <v>40544</v>
      </c>
      <c r="B50" s="6">
        <f>(45)/(292000/100000)</f>
        <v>15.41095890410959</v>
      </c>
      <c r="C50" s="12">
        <v>15</v>
      </c>
      <c r="D50" s="14">
        <v>7.9000000000000001E-2</v>
      </c>
      <c r="E50" s="16">
        <v>398.79825327510918</v>
      </c>
    </row>
    <row r="51" spans="1:5" x14ac:dyDescent="0.35">
      <c r="A51" s="10">
        <v>40575</v>
      </c>
      <c r="B51" s="6">
        <f>(54)/(292000/100000)</f>
        <v>18.493150684931507</v>
      </c>
      <c r="C51" s="12">
        <v>17</v>
      </c>
      <c r="D51" s="14">
        <v>7.8E-2</v>
      </c>
      <c r="E51" s="16">
        <v>394.83268482490269</v>
      </c>
    </row>
    <row r="52" spans="1:5" x14ac:dyDescent="0.35">
      <c r="A52" s="10">
        <v>40603</v>
      </c>
      <c r="B52" s="6">
        <f>(49)/(292000/100000)</f>
        <v>16.780821917808218</v>
      </c>
      <c r="C52" s="12">
        <v>15</v>
      </c>
      <c r="D52" s="14">
        <v>7.8E-2</v>
      </c>
      <c r="E52" s="16">
        <v>392.79483870967744</v>
      </c>
    </row>
    <row r="53" spans="1:5" x14ac:dyDescent="0.35">
      <c r="A53" s="10">
        <v>40634</v>
      </c>
      <c r="B53" s="6">
        <f>(45)/(292000/100000)</f>
        <v>15.41095890410959</v>
      </c>
      <c r="C53" s="12">
        <v>13</v>
      </c>
      <c r="D53" s="14">
        <v>7.6999999999999999E-2</v>
      </c>
      <c r="E53" s="16">
        <v>388.75085324232077</v>
      </c>
    </row>
    <row r="54" spans="1:5" x14ac:dyDescent="0.35">
      <c r="A54" s="10">
        <v>40664</v>
      </c>
      <c r="B54" s="6">
        <f>(58)/(292000/100000)</f>
        <v>19.863013698630137</v>
      </c>
      <c r="C54" s="12">
        <v>16</v>
      </c>
      <c r="D54" s="14">
        <v>7.8E-2</v>
      </c>
      <c r="E54" s="16">
        <v>388.28571428571428</v>
      </c>
    </row>
    <row r="55" spans="1:5" x14ac:dyDescent="0.35">
      <c r="A55" s="10">
        <v>40695</v>
      </c>
      <c r="B55" s="6">
        <f>(43)/(292000/100000)</f>
        <v>14.726027397260275</v>
      </c>
      <c r="C55" s="12">
        <v>13</v>
      </c>
      <c r="D55" s="14">
        <v>7.9000000000000001E-2</v>
      </c>
      <c r="E55" s="16">
        <v>391.71428571428567</v>
      </c>
    </row>
    <row r="56" spans="1:5" x14ac:dyDescent="0.35">
      <c r="A56" s="10">
        <v>40725</v>
      </c>
      <c r="B56" s="6">
        <f>(43)/(292000/100000)</f>
        <v>14.726027397260275</v>
      </c>
      <c r="C56" s="12">
        <v>12</v>
      </c>
      <c r="D56" s="14">
        <v>0.08</v>
      </c>
      <c r="E56" s="16">
        <v>391.68981678738817</v>
      </c>
    </row>
    <row r="57" spans="1:5" x14ac:dyDescent="0.35">
      <c r="A57" s="10">
        <v>40756</v>
      </c>
      <c r="B57" s="6">
        <f>(37)/(292000/100000)</f>
        <v>12.671232876712329</v>
      </c>
      <c r="C57" s="12">
        <v>14</v>
      </c>
      <c r="D57" s="14">
        <v>8.199999999999999E-2</v>
      </c>
      <c r="E57" s="16">
        <v>387.6594663278272</v>
      </c>
    </row>
    <row r="58" spans="1:5" x14ac:dyDescent="0.35">
      <c r="A58" s="10">
        <v>40787</v>
      </c>
      <c r="B58" s="6">
        <f>(73)/(292000/100000)</f>
        <v>25</v>
      </c>
      <c r="C58" s="12">
        <v>17</v>
      </c>
      <c r="D58" s="14">
        <v>8.3000000000000004E-2</v>
      </c>
      <c r="E58" s="16">
        <v>384.72635561160149</v>
      </c>
    </row>
    <row r="59" spans="1:5" x14ac:dyDescent="0.35">
      <c r="A59" s="10">
        <v>40817</v>
      </c>
      <c r="B59" s="6">
        <f>(52)/(292000/100000)</f>
        <v>17.808219178082194</v>
      </c>
      <c r="C59" s="12">
        <v>14</v>
      </c>
      <c r="D59" s="14">
        <v>8.4000000000000005E-2</v>
      </c>
      <c r="E59" s="16">
        <v>386.25882352941176</v>
      </c>
    </row>
    <row r="60" spans="1:5" x14ac:dyDescent="0.35">
      <c r="A60" s="10">
        <v>40848</v>
      </c>
      <c r="B60" s="6">
        <f>(53)/(292000/100000)</f>
        <v>18.150684931506849</v>
      </c>
      <c r="C60" s="12">
        <v>14</v>
      </c>
      <c r="D60" s="14">
        <v>8.5000000000000006E-2</v>
      </c>
      <c r="E60" s="16">
        <v>386.29433962264147</v>
      </c>
    </row>
    <row r="61" spans="1:5" x14ac:dyDescent="0.35">
      <c r="A61" s="10">
        <v>40878</v>
      </c>
      <c r="B61" s="6">
        <f>(57)/(292000/100000)</f>
        <v>19.520547945205479</v>
      </c>
      <c r="C61" s="12">
        <v>12</v>
      </c>
      <c r="D61" s="14">
        <v>8.4000000000000005E-2</v>
      </c>
      <c r="E61" s="16">
        <v>384.84210526315792</v>
      </c>
    </row>
    <row r="62" spans="1:5" x14ac:dyDescent="0.35">
      <c r="A62" s="10">
        <v>40909</v>
      </c>
      <c r="B62" s="6">
        <f>(39)/(292000/100000)</f>
        <v>13.356164383561644</v>
      </c>
      <c r="C62" s="12">
        <v>14</v>
      </c>
      <c r="D62" s="14">
        <v>8.4000000000000005E-2</v>
      </c>
      <c r="E62" s="16">
        <v>385.41176470588232</v>
      </c>
    </row>
    <row r="63" spans="1:5" x14ac:dyDescent="0.35">
      <c r="A63" s="10">
        <v>40940</v>
      </c>
      <c r="B63" s="6">
        <f>(52)/(292000/100000)</f>
        <v>17.808219178082194</v>
      </c>
      <c r="C63" s="12">
        <v>15</v>
      </c>
      <c r="D63" s="14">
        <v>8.3000000000000004E-2</v>
      </c>
      <c r="E63" s="16">
        <v>384.04001667361399</v>
      </c>
    </row>
    <row r="64" spans="1:5" x14ac:dyDescent="0.35">
      <c r="A64" s="10">
        <v>40969</v>
      </c>
      <c r="B64" s="6">
        <f>(75)/(292000/100000)</f>
        <v>25.684931506849317</v>
      </c>
      <c r="C64" s="12">
        <v>15</v>
      </c>
      <c r="D64" s="14">
        <v>8.199999999999999E-2</v>
      </c>
      <c r="E64" s="16">
        <v>382.60465116279062</v>
      </c>
    </row>
    <row r="65" spans="1:5" x14ac:dyDescent="0.35">
      <c r="A65" s="10">
        <v>41000</v>
      </c>
      <c r="B65" s="6">
        <f>(48)/(292000/100000)</f>
        <v>16.438356164383563</v>
      </c>
      <c r="C65" s="12">
        <v>12</v>
      </c>
      <c r="D65" s="14">
        <v>8.199999999999999E-2</v>
      </c>
      <c r="E65" s="16">
        <v>382.41649484536083</v>
      </c>
    </row>
    <row r="66" spans="1:5" x14ac:dyDescent="0.35">
      <c r="A66" s="10">
        <v>41030</v>
      </c>
      <c r="B66" s="6">
        <f>(44)/(292000/100000)</f>
        <v>15.068493150684931</v>
      </c>
      <c r="C66" s="12">
        <v>14</v>
      </c>
      <c r="D66" s="14">
        <v>8.1000000000000003E-2</v>
      </c>
      <c r="E66" s="16">
        <v>382.57425742574253</v>
      </c>
    </row>
    <row r="67" spans="1:5" x14ac:dyDescent="0.35">
      <c r="A67" s="10">
        <v>41061</v>
      </c>
      <c r="B67" s="6">
        <f>(54)/(292000/100000)</f>
        <v>18.493150684931507</v>
      </c>
      <c r="C67" s="12">
        <v>12</v>
      </c>
      <c r="D67" s="14">
        <v>0.08</v>
      </c>
      <c r="E67" s="16">
        <v>385.19106699751853</v>
      </c>
    </row>
    <row r="68" spans="1:5" x14ac:dyDescent="0.35">
      <c r="A68" s="10">
        <v>41091</v>
      </c>
      <c r="B68" s="6">
        <f>(59)/(292000/100000)</f>
        <v>20.205479452054796</v>
      </c>
      <c r="C68" s="12">
        <v>13</v>
      </c>
      <c r="D68" s="14">
        <v>0.08</v>
      </c>
      <c r="E68" s="16">
        <v>385.54646840148695</v>
      </c>
    </row>
    <row r="69" spans="1:5" x14ac:dyDescent="0.35">
      <c r="A69" s="10">
        <v>41122</v>
      </c>
      <c r="B69" s="6">
        <f>(42)/(292000/100000)</f>
        <v>14.383561643835616</v>
      </c>
      <c r="C69" s="12">
        <v>14</v>
      </c>
      <c r="D69" s="14">
        <v>7.9000000000000001E-2</v>
      </c>
      <c r="E69" s="16">
        <v>384.94814814814816</v>
      </c>
    </row>
    <row r="70" spans="1:5" x14ac:dyDescent="0.35">
      <c r="A70" s="10">
        <v>41153</v>
      </c>
      <c r="B70" s="6">
        <f>(60)/(292000/100000)</f>
        <v>20.547945205479454</v>
      </c>
      <c r="C70" s="12">
        <v>14</v>
      </c>
      <c r="D70" s="14">
        <v>7.9000000000000001E-2</v>
      </c>
      <c r="E70" s="16">
        <v>381.40540540540542</v>
      </c>
    </row>
    <row r="71" spans="1:5" x14ac:dyDescent="0.35">
      <c r="A71" s="10">
        <v>41183</v>
      </c>
      <c r="B71" s="6">
        <f>(60)/(292000/100000)</f>
        <v>20.547945205479454</v>
      </c>
      <c r="C71" s="12">
        <v>13</v>
      </c>
      <c r="D71" s="14">
        <v>7.9000000000000001E-2</v>
      </c>
      <c r="E71" s="16">
        <v>379.23127035830618</v>
      </c>
    </row>
    <row r="72" spans="1:5" x14ac:dyDescent="0.35">
      <c r="A72" s="10">
        <v>41214</v>
      </c>
      <c r="B72" s="6">
        <f>(83)/(292000/100000)</f>
        <v>28.424657534246577</v>
      </c>
      <c r="C72" s="12">
        <v>35</v>
      </c>
      <c r="D72" s="14">
        <v>7.8E-2</v>
      </c>
      <c r="E72" s="16">
        <v>380.05211726384363</v>
      </c>
    </row>
    <row r="73" spans="1:5" x14ac:dyDescent="0.35">
      <c r="A73" s="10">
        <v>41244</v>
      </c>
      <c r="B73" s="6">
        <f>(34)/(292000/100000)</f>
        <v>11.643835616438356</v>
      </c>
      <c r="C73" s="12">
        <v>14</v>
      </c>
      <c r="D73" s="14">
        <v>7.8E-2</v>
      </c>
      <c r="E73" s="16">
        <v>376.57050243111831</v>
      </c>
    </row>
    <row r="74" spans="1:5" x14ac:dyDescent="0.35">
      <c r="A74" s="10">
        <v>41275</v>
      </c>
      <c r="B74" s="6">
        <f>(33)/(292000/100000)</f>
        <v>11.301369863013699</v>
      </c>
      <c r="C74" s="12">
        <v>13</v>
      </c>
      <c r="D74" s="14">
        <v>7.8E-2</v>
      </c>
      <c r="E74" s="16">
        <v>378.10252237591533</v>
      </c>
    </row>
    <row r="75" spans="1:5" x14ac:dyDescent="0.35">
      <c r="A75" s="10">
        <v>41306</v>
      </c>
      <c r="B75" s="6">
        <f>(38)/(292000/100000)</f>
        <v>13.013698630136986</v>
      </c>
      <c r="C75" s="12">
        <v>14</v>
      </c>
      <c r="D75" s="14">
        <v>0.08</v>
      </c>
      <c r="E75" s="16">
        <v>376.16801292407104</v>
      </c>
    </row>
    <row r="76" spans="1:5" x14ac:dyDescent="0.35">
      <c r="A76" s="10">
        <v>41334</v>
      </c>
      <c r="B76" s="6">
        <f>(23)/(292000/100000)</f>
        <v>7.8767123287671232</v>
      </c>
      <c r="C76" s="12">
        <v>14</v>
      </c>
      <c r="D76" s="14">
        <v>7.8E-2</v>
      </c>
      <c r="E76" s="16">
        <v>369.64053075995179</v>
      </c>
    </row>
    <row r="77" spans="1:5" x14ac:dyDescent="0.35">
      <c r="A77" s="10">
        <v>41365</v>
      </c>
      <c r="B77" s="6">
        <f>(44)/(292000/100000)</f>
        <v>15.068493150684931</v>
      </c>
      <c r="C77" s="12">
        <v>13</v>
      </c>
      <c r="D77" s="14">
        <v>7.8E-2</v>
      </c>
      <c r="E77" s="16">
        <v>383.80761523046095</v>
      </c>
    </row>
    <row r="78" spans="1:5" x14ac:dyDescent="0.35">
      <c r="A78" s="10">
        <v>41395</v>
      </c>
      <c r="B78" s="6">
        <f>(48)/(292000/100000)</f>
        <v>16.438356164383563</v>
      </c>
      <c r="C78" s="12">
        <v>14</v>
      </c>
      <c r="D78" s="14">
        <v>7.8E-2</v>
      </c>
      <c r="E78" s="16">
        <v>377.39519999999999</v>
      </c>
    </row>
    <row r="79" spans="1:5" x14ac:dyDescent="0.35">
      <c r="A79" s="10">
        <v>41426</v>
      </c>
      <c r="B79" s="6">
        <f>(37)/(292000/100000)</f>
        <v>12.671232876712329</v>
      </c>
      <c r="C79" s="12">
        <v>15</v>
      </c>
      <c r="D79" s="14">
        <v>7.6999999999999999E-2</v>
      </c>
      <c r="E79" s="16">
        <v>377.04124949939933</v>
      </c>
    </row>
    <row r="80" spans="1:5" x14ac:dyDescent="0.35">
      <c r="A80" s="10">
        <v>41456</v>
      </c>
      <c r="B80" s="6">
        <f>(59)/(292000/100000)</f>
        <v>20.205479452054796</v>
      </c>
      <c r="C80" s="12">
        <v>12</v>
      </c>
      <c r="D80" s="14">
        <v>7.6999999999999999E-2</v>
      </c>
      <c r="E80" s="16">
        <v>376.23388065678819</v>
      </c>
    </row>
    <row r="81" spans="1:5" x14ac:dyDescent="0.35">
      <c r="A81" s="10">
        <v>41487</v>
      </c>
      <c r="B81" s="6">
        <f>(48)/(292000/100000)</f>
        <v>16.438356164383563</v>
      </c>
      <c r="C81" s="12">
        <v>13</v>
      </c>
      <c r="D81" s="14">
        <v>7.6999999999999999E-2</v>
      </c>
      <c r="E81" s="16">
        <v>374.2852589641434</v>
      </c>
    </row>
    <row r="82" spans="1:5" x14ac:dyDescent="0.35">
      <c r="A82" s="10">
        <v>41518</v>
      </c>
      <c r="B82" s="6">
        <f>(54)/(292000/100000)</f>
        <v>18.493150684931507</v>
      </c>
      <c r="C82" s="12">
        <v>12</v>
      </c>
      <c r="D82" s="14">
        <v>7.5999999999999998E-2</v>
      </c>
      <c r="E82" s="16">
        <v>372.9479952362048</v>
      </c>
    </row>
    <row r="83" spans="1:5" x14ac:dyDescent="0.35">
      <c r="A83" s="10">
        <v>41548</v>
      </c>
      <c r="B83" s="6">
        <f>(67)/(292000/100000)</f>
        <v>22.945205479452056</v>
      </c>
      <c r="C83" s="12">
        <v>13</v>
      </c>
      <c r="D83" s="14">
        <v>7.400000000000001E-2</v>
      </c>
      <c r="E83" s="16">
        <v>372.9479952362048</v>
      </c>
    </row>
    <row r="84" spans="1:5" x14ac:dyDescent="0.35">
      <c r="A84" s="10">
        <v>41579</v>
      </c>
      <c r="B84" s="6">
        <f>(40)/(292000/100000)</f>
        <v>13.698630136986301</v>
      </c>
      <c r="C84" s="12">
        <v>12</v>
      </c>
      <c r="D84" s="14">
        <v>7.2000000000000008E-2</v>
      </c>
      <c r="E84" s="16">
        <v>372.65212217374057</v>
      </c>
    </row>
    <row r="85" spans="1:5" x14ac:dyDescent="0.35">
      <c r="A85" s="10">
        <v>41609</v>
      </c>
      <c r="B85" s="6">
        <f>(44)/(292000/100000)</f>
        <v>15.068493150684931</v>
      </c>
      <c r="C85" s="12">
        <v>12</v>
      </c>
      <c r="D85" s="14">
        <v>7.2000000000000008E-2</v>
      </c>
      <c r="E85" s="16">
        <v>372.33149171270719</v>
      </c>
    </row>
    <row r="86" spans="1:5" x14ac:dyDescent="0.35">
      <c r="A86" s="10">
        <v>41640</v>
      </c>
      <c r="B86" s="6">
        <f>(53)/(292000/100000)</f>
        <v>18.150684931506849</v>
      </c>
      <c r="C86" s="12">
        <v>13</v>
      </c>
      <c r="D86" s="14">
        <v>7.2000000000000008E-2</v>
      </c>
      <c r="E86" s="16">
        <v>374.30878859857484</v>
      </c>
    </row>
    <row r="87" spans="1:5" x14ac:dyDescent="0.35">
      <c r="A87" s="10">
        <v>41671</v>
      </c>
      <c r="B87" s="6">
        <f>(43)/(292000/100000)</f>
        <v>14.726027397260275</v>
      </c>
      <c r="C87" s="12">
        <v>13</v>
      </c>
      <c r="D87" s="14">
        <v>6.9000000000000006E-2</v>
      </c>
      <c r="E87" s="16">
        <v>374.33202202989776</v>
      </c>
    </row>
    <row r="88" spans="1:5" x14ac:dyDescent="0.35">
      <c r="A88" s="10">
        <v>41699</v>
      </c>
      <c r="B88" s="6">
        <f>(39)/(292000/100000)</f>
        <v>13.356164383561644</v>
      </c>
      <c r="C88" s="12">
        <v>12</v>
      </c>
      <c r="D88" s="14">
        <v>6.8000000000000005E-2</v>
      </c>
      <c r="E88" s="16">
        <v>364.74725274725267</v>
      </c>
    </row>
    <row r="89" spans="1:5" x14ac:dyDescent="0.35">
      <c r="A89" s="10">
        <v>41730</v>
      </c>
      <c r="B89" s="6">
        <f>(58)/(292000/100000)</f>
        <v>19.863013698630137</v>
      </c>
      <c r="C89" s="12">
        <v>12</v>
      </c>
      <c r="D89" s="14">
        <v>6.6000000000000003E-2</v>
      </c>
      <c r="E89" s="16">
        <v>369.77082518576458</v>
      </c>
    </row>
    <row r="90" spans="1:5" x14ac:dyDescent="0.35">
      <c r="A90" s="10">
        <v>41760</v>
      </c>
      <c r="B90" s="6">
        <f>(51)/(292000/100000)</f>
        <v>17.465753424657535</v>
      </c>
      <c r="C90" s="12">
        <v>14</v>
      </c>
      <c r="D90" s="14">
        <v>6.4000000000000001E-2</v>
      </c>
      <c r="E90" s="16">
        <v>369.4818288393904</v>
      </c>
    </row>
    <row r="91" spans="1:5" x14ac:dyDescent="0.35">
      <c r="A91" s="10">
        <v>41791</v>
      </c>
      <c r="B91" s="6">
        <f>(66)/(292000/100000)</f>
        <v>22.602739726027398</v>
      </c>
      <c r="C91" s="12">
        <v>13</v>
      </c>
      <c r="D91" s="14">
        <v>6.3E-2</v>
      </c>
      <c r="E91" s="16">
        <v>369.69176746000778</v>
      </c>
    </row>
    <row r="92" spans="1:5" x14ac:dyDescent="0.35">
      <c r="A92" s="10">
        <v>41821</v>
      </c>
      <c r="B92" s="6">
        <f>(317)/(292000/100000)</f>
        <v>108.56164383561644</v>
      </c>
      <c r="C92" s="12">
        <v>83</v>
      </c>
      <c r="D92" s="14">
        <v>6.0999999999999999E-2</v>
      </c>
      <c r="E92" s="16">
        <v>368.55</v>
      </c>
    </row>
    <row r="93" spans="1:5" x14ac:dyDescent="0.35">
      <c r="A93" s="10">
        <v>41852</v>
      </c>
      <c r="B93" s="6">
        <f>(229)/(292000/100000)</f>
        <v>78.424657534246577</v>
      </c>
      <c r="C93" s="12">
        <v>47</v>
      </c>
      <c r="D93" s="14">
        <v>0.06</v>
      </c>
      <c r="E93" s="16">
        <v>368.68482490272368</v>
      </c>
    </row>
    <row r="94" spans="1:5" x14ac:dyDescent="0.35">
      <c r="A94" s="10">
        <v>41883</v>
      </c>
      <c r="B94" s="6">
        <f>(105)/(292000/100000)</f>
        <v>35.958904109589042</v>
      </c>
      <c r="C94" s="12">
        <v>14</v>
      </c>
      <c r="D94" s="14">
        <v>0.06</v>
      </c>
      <c r="E94" s="16">
        <v>370.17391304347825</v>
      </c>
    </row>
    <row r="95" spans="1:5" x14ac:dyDescent="0.35">
      <c r="A95" s="10">
        <v>41913</v>
      </c>
      <c r="B95" s="6">
        <f>(87)/(292000/100000)</f>
        <v>29.794520547945208</v>
      </c>
      <c r="C95" s="12">
        <v>13</v>
      </c>
      <c r="D95" s="14">
        <v>0.06</v>
      </c>
      <c r="E95" s="16">
        <v>371.59487776484286</v>
      </c>
    </row>
    <row r="96" spans="1:5" x14ac:dyDescent="0.35">
      <c r="A96" s="10">
        <v>41944</v>
      </c>
      <c r="B96" s="6">
        <f>(78)/(292000/100000)</f>
        <v>26.712328767123289</v>
      </c>
      <c r="C96" s="12">
        <v>14</v>
      </c>
      <c r="D96" s="14">
        <v>5.9000000000000004E-2</v>
      </c>
      <c r="E96" s="16">
        <v>372.46207701283538</v>
      </c>
    </row>
    <row r="97" spans="1:5" x14ac:dyDescent="0.35">
      <c r="A97" s="10">
        <v>41974</v>
      </c>
      <c r="B97" s="6">
        <f>(56)/(292000/100000)</f>
        <v>19.178082191780824</v>
      </c>
      <c r="C97" s="12">
        <v>13</v>
      </c>
      <c r="D97" s="14">
        <v>5.7000000000000002E-2</v>
      </c>
      <c r="E97" s="16">
        <v>374.23223300970875</v>
      </c>
    </row>
    <row r="98" spans="1:5" x14ac:dyDescent="0.35">
      <c r="A98" s="10">
        <v>42005</v>
      </c>
      <c r="B98" s="6">
        <f>(109)/(292000/100000)</f>
        <v>37.328767123287669</v>
      </c>
      <c r="C98" s="12">
        <v>14</v>
      </c>
      <c r="D98" s="14">
        <v>5.7000000000000002E-2</v>
      </c>
      <c r="E98" s="16">
        <v>375.73061863743141</v>
      </c>
    </row>
    <row r="99" spans="1:5" x14ac:dyDescent="0.35">
      <c r="A99" s="10">
        <v>42036</v>
      </c>
      <c r="B99" s="6">
        <f>(88)/(292000/100000)</f>
        <v>30.136986301369863</v>
      </c>
      <c r="C99" s="12">
        <v>14</v>
      </c>
      <c r="D99" s="14">
        <v>5.5999999999999994E-2</v>
      </c>
      <c r="E99" s="16">
        <v>376.18387222438645</v>
      </c>
    </row>
    <row r="100" spans="1:5" x14ac:dyDescent="0.35">
      <c r="A100" s="10">
        <v>42064</v>
      </c>
      <c r="B100" s="6">
        <f>(83)/(292000/100000)</f>
        <v>28.424657534246577</v>
      </c>
      <c r="C100" s="12">
        <v>18</v>
      </c>
      <c r="D100" s="14">
        <v>5.5E-2</v>
      </c>
      <c r="E100" s="16">
        <v>376.38273045507577</v>
      </c>
    </row>
    <row r="101" spans="1:5" x14ac:dyDescent="0.35">
      <c r="A101" s="10">
        <v>42095</v>
      </c>
      <c r="B101" s="6">
        <f>(75)/(292000/100000)</f>
        <v>25.684931506849317</v>
      </c>
      <c r="C101" s="12">
        <v>14</v>
      </c>
      <c r="D101" s="14">
        <v>5.5E-2</v>
      </c>
      <c r="E101" s="16">
        <v>375.85116279069763</v>
      </c>
    </row>
    <row r="102" spans="1:5" x14ac:dyDescent="0.35">
      <c r="A102" s="10">
        <v>42125</v>
      </c>
      <c r="B102" s="6">
        <f>(60)/(292000/100000)</f>
        <v>20.547945205479454</v>
      </c>
      <c r="C102" s="12">
        <v>14</v>
      </c>
      <c r="D102" s="14">
        <v>5.5999999999999994E-2</v>
      </c>
      <c r="E102" s="16">
        <v>375.90406189555125</v>
      </c>
    </row>
    <row r="103" spans="1:5" x14ac:dyDescent="0.35">
      <c r="A103" s="10">
        <v>42156</v>
      </c>
      <c r="B103" s="6">
        <f>(86)/(292000/100000)</f>
        <v>29.452054794520549</v>
      </c>
      <c r="C103" s="12">
        <v>13</v>
      </c>
      <c r="D103" s="14">
        <v>5.5999999999999994E-2</v>
      </c>
      <c r="E103" s="16">
        <v>374.54461181923523</v>
      </c>
    </row>
    <row r="104" spans="1:5" x14ac:dyDescent="0.35">
      <c r="A104" s="10">
        <v>42186</v>
      </c>
      <c r="B104" s="6">
        <f>(87)/(292000/100000)</f>
        <v>29.794520547945208</v>
      </c>
      <c r="C104" s="12">
        <v>14</v>
      </c>
      <c r="D104" s="14">
        <v>5.5E-2</v>
      </c>
      <c r="E104" s="16">
        <v>377.3178654292343</v>
      </c>
    </row>
    <row r="105" spans="1:5" x14ac:dyDescent="0.35">
      <c r="A105" s="10">
        <v>42217</v>
      </c>
      <c r="B105" s="6">
        <f>(72)/(292000/100000)</f>
        <v>24.657534246575342</v>
      </c>
      <c r="C105" s="12">
        <v>13</v>
      </c>
      <c r="D105" s="14">
        <v>5.4000000000000006E-2</v>
      </c>
      <c r="E105" s="16">
        <v>375.57505773672051</v>
      </c>
    </row>
    <row r="106" spans="1:5" x14ac:dyDescent="0.35">
      <c r="A106" s="10">
        <v>42248</v>
      </c>
      <c r="B106" s="6">
        <f>(76)/(292000/100000)</f>
        <v>26.027397260273972</v>
      </c>
      <c r="C106" s="12">
        <v>16</v>
      </c>
      <c r="D106" s="14">
        <v>5.2999999999999999E-2</v>
      </c>
      <c r="E106" s="16">
        <v>375.08782742681046</v>
      </c>
    </row>
    <row r="107" spans="1:5" x14ac:dyDescent="0.35">
      <c r="A107" s="10">
        <v>42278</v>
      </c>
      <c r="B107" s="6">
        <f>(61)/(292000/100000)</f>
        <v>20.890410958904109</v>
      </c>
      <c r="C107" s="12">
        <v>17</v>
      </c>
      <c r="D107" s="14">
        <v>5.2000000000000005E-2</v>
      </c>
      <c r="E107" s="16">
        <v>376.00924855491331</v>
      </c>
    </row>
    <row r="108" spans="1:5" x14ac:dyDescent="0.35">
      <c r="A108" s="10">
        <v>42309</v>
      </c>
      <c r="B108" s="6">
        <f>(79)/(292000/100000)</f>
        <v>27.054794520547947</v>
      </c>
      <c r="C108" s="12">
        <v>14</v>
      </c>
      <c r="D108" s="14">
        <v>5.0999999999999997E-2</v>
      </c>
      <c r="E108" s="16">
        <v>375.57505773672051</v>
      </c>
    </row>
    <row r="109" spans="1:5" x14ac:dyDescent="0.35">
      <c r="A109" s="10">
        <v>42339</v>
      </c>
      <c r="B109" s="6">
        <f>(84)/(292000/100000)</f>
        <v>28.767123287671232</v>
      </c>
      <c r="C109" s="12">
        <v>13</v>
      </c>
      <c r="D109" s="14">
        <v>5.0999999999999997E-2</v>
      </c>
      <c r="E109" s="16">
        <v>376.74290099769757</v>
      </c>
    </row>
    <row r="110" spans="1:5" x14ac:dyDescent="0.35">
      <c r="A110" s="10">
        <v>42370</v>
      </c>
      <c r="B110" s="6">
        <f>(81)/(292000/100000)</f>
        <v>27.739726027397261</v>
      </c>
      <c r="C110" s="12">
        <v>13</v>
      </c>
      <c r="D110" s="14">
        <v>5.0999999999999997E-2</v>
      </c>
      <c r="E110" s="16">
        <v>380.92117465224106</v>
      </c>
    </row>
    <row r="111" spans="1:5" x14ac:dyDescent="0.35">
      <c r="A111" s="10">
        <v>42401</v>
      </c>
      <c r="B111" s="6">
        <f>(69)/(292000/100000)</f>
        <v>23.63013698630137</v>
      </c>
      <c r="C111" s="12">
        <v>14</v>
      </c>
      <c r="D111" s="14">
        <v>5.0999999999999997E-2</v>
      </c>
      <c r="E111" s="16">
        <v>376.83692307692303</v>
      </c>
    </row>
    <row r="112" spans="1:5" x14ac:dyDescent="0.35">
      <c r="A112" s="10">
        <v>42430</v>
      </c>
      <c r="B112" s="6">
        <f>(82)/(292000/100000)</f>
        <v>28.082191780821919</v>
      </c>
      <c r="C112" s="12">
        <v>14</v>
      </c>
      <c r="D112" s="14">
        <v>5.0999999999999997E-2</v>
      </c>
      <c r="E112" s="16">
        <v>379.882037533512</v>
      </c>
    </row>
    <row r="113" spans="1:5" x14ac:dyDescent="0.35">
      <c r="A113" s="10">
        <v>42461</v>
      </c>
      <c r="B113" s="6">
        <f>(105)/(292000/100000)</f>
        <v>35.958904109589042</v>
      </c>
      <c r="C113" s="12">
        <v>14</v>
      </c>
      <c r="D113" s="14">
        <v>0.05</v>
      </c>
      <c r="E113" s="16">
        <v>380.21729150726861</v>
      </c>
    </row>
    <row r="114" spans="1:5" x14ac:dyDescent="0.35">
      <c r="A114" s="10">
        <v>42491</v>
      </c>
      <c r="B114" s="6">
        <f>(140)/(292000/100000)</f>
        <v>47.945205479452056</v>
      </c>
      <c r="C114" s="12">
        <v>15</v>
      </c>
      <c r="D114" s="14">
        <v>4.9000000000000002E-2</v>
      </c>
      <c r="E114" s="16">
        <v>379.2018313620755</v>
      </c>
    </row>
    <row r="115" spans="1:5" x14ac:dyDescent="0.35">
      <c r="A115" s="10">
        <v>42522</v>
      </c>
      <c r="B115" s="6">
        <f>(131)/(292000/100000)</f>
        <v>44.863013698630141</v>
      </c>
      <c r="C115" s="12">
        <v>14</v>
      </c>
      <c r="D115" s="14">
        <v>4.9000000000000002E-2</v>
      </c>
      <c r="E115" s="16">
        <v>377.76054732041047</v>
      </c>
    </row>
    <row r="116" spans="1:5" x14ac:dyDescent="0.35">
      <c r="A116" s="10">
        <v>42552</v>
      </c>
      <c r="B116" s="6">
        <f>(131)/(292000/100000)</f>
        <v>44.863013698630141</v>
      </c>
      <c r="C116" s="12">
        <v>12</v>
      </c>
      <c r="D116" s="14">
        <v>4.9000000000000002E-2</v>
      </c>
      <c r="E116" s="16">
        <v>379.626423690205</v>
      </c>
    </row>
    <row r="117" spans="1:5" x14ac:dyDescent="0.35">
      <c r="A117" s="10">
        <v>42583</v>
      </c>
      <c r="B117" s="6">
        <f>(123)/(292000/100000)</f>
        <v>42.12328767123288</v>
      </c>
      <c r="C117" s="12">
        <v>13</v>
      </c>
      <c r="D117" s="14">
        <v>0.05</v>
      </c>
      <c r="E117" s="16">
        <v>377.42813918305598</v>
      </c>
    </row>
    <row r="118" spans="1:5" x14ac:dyDescent="0.35">
      <c r="A118" s="10">
        <v>42614</v>
      </c>
      <c r="B118" s="6">
        <f>(118)/(292000/100000)</f>
        <v>40.410958904109592</v>
      </c>
      <c r="C118" s="12">
        <v>14</v>
      </c>
      <c r="D118" s="14">
        <v>4.8000000000000001E-2</v>
      </c>
      <c r="E118" s="16">
        <v>376.71574178935452</v>
      </c>
    </row>
    <row r="119" spans="1:5" x14ac:dyDescent="0.35">
      <c r="A119" s="10">
        <v>42644</v>
      </c>
      <c r="B119" s="6">
        <f>(112)/(292000/100000)</f>
        <v>38.356164383561648</v>
      </c>
      <c r="C119" s="12">
        <v>12</v>
      </c>
      <c r="D119" s="14">
        <v>4.8000000000000001E-2</v>
      </c>
      <c r="E119" s="16">
        <v>378.38066465256799</v>
      </c>
    </row>
    <row r="120" spans="1:5" x14ac:dyDescent="0.35">
      <c r="A120" s="10">
        <v>42675</v>
      </c>
      <c r="B120" s="6">
        <f>(135)/(292000/100000)</f>
        <v>46.232876712328768</v>
      </c>
      <c r="C120" s="12">
        <v>15</v>
      </c>
      <c r="D120" s="14">
        <v>4.8000000000000001E-2</v>
      </c>
      <c r="E120" s="16">
        <v>378.14237288135593</v>
      </c>
    </row>
    <row r="121" spans="1:5" x14ac:dyDescent="0.35">
      <c r="A121" s="10">
        <v>42705</v>
      </c>
      <c r="B121" s="6">
        <f>(148)/(292000/100000)</f>
        <v>50.684931506849317</v>
      </c>
      <c r="C121" s="12">
        <v>15</v>
      </c>
      <c r="D121" s="14">
        <v>4.7E-2</v>
      </c>
      <c r="E121" s="16">
        <v>374.36765256458256</v>
      </c>
    </row>
    <row r="122" spans="1:5" x14ac:dyDescent="0.35">
      <c r="A122" s="10">
        <v>42736</v>
      </c>
      <c r="B122" s="6">
        <f>(155)/(292000/100000)</f>
        <v>53.082191780821923</v>
      </c>
      <c r="C122" s="12">
        <v>15</v>
      </c>
      <c r="D122" s="14">
        <v>4.7E-2</v>
      </c>
      <c r="E122" s="16">
        <v>377.38305084745758</v>
      </c>
    </row>
    <row r="123" spans="1:5" x14ac:dyDescent="0.35">
      <c r="A123" s="10">
        <v>42767</v>
      </c>
      <c r="B123" s="6">
        <f>(135)/(292000/100000)</f>
        <v>46.232876712328768</v>
      </c>
      <c r="C123" s="12">
        <v>14</v>
      </c>
      <c r="D123" s="14">
        <v>4.5999999999999999E-2</v>
      </c>
      <c r="E123" s="16">
        <v>374.8077496274218</v>
      </c>
    </row>
    <row r="124" spans="1:5" x14ac:dyDescent="0.35">
      <c r="A124" s="10">
        <v>42795</v>
      </c>
      <c r="B124" s="6">
        <f>(111)/(292000/100000)</f>
        <v>38.013698630136986</v>
      </c>
      <c r="C124" s="12">
        <v>13</v>
      </c>
      <c r="D124" s="14">
        <v>4.5999999999999999E-2</v>
      </c>
      <c r="E124" s="16">
        <v>375.800965466023</v>
      </c>
    </row>
    <row r="125" spans="1:5" x14ac:dyDescent="0.35">
      <c r="A125" s="10">
        <v>42826</v>
      </c>
      <c r="B125" s="6">
        <f>(143)/(292000/100000)</f>
        <v>48.972602739726028</v>
      </c>
      <c r="C125" s="12">
        <v>13</v>
      </c>
      <c r="D125" s="14">
        <v>4.4999999999999998E-2</v>
      </c>
      <c r="E125" s="16">
        <v>373.9955654101995</v>
      </c>
    </row>
    <row r="126" spans="1:5" x14ac:dyDescent="0.35">
      <c r="A126" s="10">
        <v>42856</v>
      </c>
      <c r="B126" s="6">
        <f>(121)/(292000/100000)</f>
        <v>41.438356164383563</v>
      </c>
      <c r="C126" s="12">
        <v>16</v>
      </c>
      <c r="D126" s="14">
        <v>4.4000000000000004E-2</v>
      </c>
      <c r="E126" s="16">
        <v>373.22340817077662</v>
      </c>
    </row>
    <row r="127" spans="1:5" x14ac:dyDescent="0.35">
      <c r="A127" s="10">
        <v>42887</v>
      </c>
      <c r="B127" s="6">
        <f>(125)/(292000/100000)</f>
        <v>42.80821917808219</v>
      </c>
      <c r="C127" s="12">
        <v>14</v>
      </c>
      <c r="D127" s="14">
        <v>4.4000000000000004E-2</v>
      </c>
      <c r="E127" s="16">
        <v>375.36246786632387</v>
      </c>
    </row>
    <row r="128" spans="1:5" x14ac:dyDescent="0.35">
      <c r="A128" s="10">
        <v>42917</v>
      </c>
      <c r="B128" s="6">
        <f>(113)/(292000/100000)</f>
        <v>38.698630136986303</v>
      </c>
      <c r="C128" s="12">
        <v>13</v>
      </c>
      <c r="D128" s="14">
        <v>4.2999999999999997E-2</v>
      </c>
      <c r="E128" s="16">
        <v>372.32099670208868</v>
      </c>
    </row>
    <row r="129" spans="1:5" x14ac:dyDescent="0.35">
      <c r="A129" s="10">
        <v>42948</v>
      </c>
      <c r="B129" s="6">
        <f>(114)/(292000/100000)</f>
        <v>39.041095890410958</v>
      </c>
      <c r="C129" s="12">
        <v>12</v>
      </c>
      <c r="D129" s="14">
        <v>4.2999999999999997E-2</v>
      </c>
      <c r="E129" s="16">
        <v>372.08299963596653</v>
      </c>
    </row>
    <row r="130" spans="1:5" x14ac:dyDescent="0.35">
      <c r="A130" s="10">
        <v>42979</v>
      </c>
      <c r="B130" s="6">
        <f>(113)/(292000/100000)</f>
        <v>38.698630136986303</v>
      </c>
      <c r="C130" s="12">
        <v>13</v>
      </c>
      <c r="D130" s="14">
        <v>4.2999999999999997E-2</v>
      </c>
      <c r="E130" s="16">
        <v>373.00763358778624</v>
      </c>
    </row>
    <row r="131" spans="1:5" x14ac:dyDescent="0.35">
      <c r="A131" s="10">
        <v>43009</v>
      </c>
      <c r="B131" s="6">
        <f>(110)/(292000/100000)</f>
        <v>37.671232876712331</v>
      </c>
      <c r="C131" s="12">
        <v>13</v>
      </c>
      <c r="D131" s="14">
        <v>4.2000000000000003E-2</v>
      </c>
      <c r="E131" s="16">
        <v>372.00435888122047</v>
      </c>
    </row>
    <row r="132" spans="1:5" x14ac:dyDescent="0.35">
      <c r="A132" s="10">
        <v>43040</v>
      </c>
      <c r="B132" s="6">
        <f>(94)/(292000/100000)</f>
        <v>32.19178082191781</v>
      </c>
      <c r="C132" s="12">
        <v>14</v>
      </c>
      <c r="D132" s="14">
        <v>4.2999999999999997E-2</v>
      </c>
      <c r="E132" s="16">
        <v>372.06091370558374</v>
      </c>
    </row>
    <row r="133" spans="1:5" x14ac:dyDescent="0.35">
      <c r="A133" s="10">
        <v>43070</v>
      </c>
      <c r="B133" s="6">
        <f>(86)/(292000/100000)</f>
        <v>29.452054794520549</v>
      </c>
      <c r="C133" s="12">
        <v>27</v>
      </c>
      <c r="D133" s="14">
        <v>4.4000000000000004E-2</v>
      </c>
      <c r="E133" s="16">
        <v>370.4336569579288</v>
      </c>
    </row>
    <row r="134" spans="1:5" x14ac:dyDescent="0.35">
      <c r="A134" s="10">
        <v>43101</v>
      </c>
      <c r="B134" s="6">
        <f>(110)/(292000/100000)</f>
        <v>37.671232876712331</v>
      </c>
      <c r="C134" s="12">
        <v>14</v>
      </c>
      <c r="D134" s="14">
        <v>4.2999999999999997E-2</v>
      </c>
      <c r="E134" s="16">
        <v>372.52173913043475</v>
      </c>
    </row>
    <row r="135" spans="1:5" x14ac:dyDescent="0.35">
      <c r="A135" s="10">
        <v>43132</v>
      </c>
      <c r="B135" s="6">
        <f>(120)/(292000/100000)</f>
        <v>41.095890410958908</v>
      </c>
      <c r="C135" s="12">
        <v>16</v>
      </c>
      <c r="D135" s="14">
        <v>4.2000000000000003E-2</v>
      </c>
      <c r="E135" s="16">
        <v>371.88349514563106</v>
      </c>
    </row>
    <row r="136" spans="1:5" x14ac:dyDescent="0.35">
      <c r="A136" s="10">
        <v>43160</v>
      </c>
      <c r="B136" s="6">
        <f>(120)/(292000/100000)</f>
        <v>41.095890410958908</v>
      </c>
      <c r="C136" s="12">
        <v>15</v>
      </c>
      <c r="D136" s="14">
        <v>4.2000000000000003E-2</v>
      </c>
      <c r="E136" s="16">
        <v>375.96263025512036</v>
      </c>
    </row>
    <row r="137" spans="1:5" x14ac:dyDescent="0.35">
      <c r="A137" s="10">
        <v>43191</v>
      </c>
      <c r="B137" s="6">
        <f>(153)/(292000/100000)</f>
        <v>52.397260273972606</v>
      </c>
      <c r="C137" s="12">
        <v>18</v>
      </c>
      <c r="D137" s="14">
        <v>4.2000000000000003E-2</v>
      </c>
      <c r="E137" s="16">
        <v>369.75616732213086</v>
      </c>
    </row>
    <row r="138" spans="1:5" x14ac:dyDescent="0.35">
      <c r="A138" s="10">
        <v>43221</v>
      </c>
      <c r="B138" s="6">
        <f>(182)/(292000/100000)</f>
        <v>62.328767123287676</v>
      </c>
      <c r="C138" s="12">
        <v>39</v>
      </c>
      <c r="D138" s="14">
        <v>4.2000000000000003E-2</v>
      </c>
      <c r="E138" s="16">
        <v>369.87531172069822</v>
      </c>
    </row>
    <row r="139" spans="1:5" x14ac:dyDescent="0.35">
      <c r="A139" s="10">
        <v>43252</v>
      </c>
      <c r="B139" s="6">
        <f>(134)/(292000/100000)</f>
        <v>45.890410958904113</v>
      </c>
      <c r="C139" s="12">
        <v>15</v>
      </c>
      <c r="D139" s="14">
        <v>0.04</v>
      </c>
      <c r="E139" s="16">
        <v>370.97264653641207</v>
      </c>
    </row>
    <row r="140" spans="1:5" x14ac:dyDescent="0.35">
      <c r="A140" s="10">
        <v>43282</v>
      </c>
      <c r="B140" s="6">
        <f>(133)/(292000/100000)</f>
        <v>45.547945205479451</v>
      </c>
      <c r="C140" s="12">
        <v>15</v>
      </c>
      <c r="D140" s="14">
        <v>0.04</v>
      </c>
      <c r="E140" s="16">
        <v>372.14057507987218</v>
      </c>
    </row>
    <row r="141" spans="1:5" x14ac:dyDescent="0.35">
      <c r="A141" s="10">
        <v>43313</v>
      </c>
      <c r="B141" s="6">
        <f>(158)/(292000/100000)</f>
        <v>54.109589041095894</v>
      </c>
      <c r="C141" s="12">
        <v>15</v>
      </c>
      <c r="D141" s="14">
        <v>0.04</v>
      </c>
      <c r="E141" s="16">
        <v>370.99507389162562</v>
      </c>
    </row>
    <row r="142" spans="1:5" x14ac:dyDescent="0.35">
      <c r="A142" s="10">
        <v>43344</v>
      </c>
      <c r="B142" s="6">
        <f>(156)/(292000/100000)</f>
        <v>53.424657534246577</v>
      </c>
      <c r="C142" s="12">
        <v>15</v>
      </c>
      <c r="D142" s="14">
        <v>4.0999999999999995E-2</v>
      </c>
      <c r="E142" s="16">
        <v>371.83526927138325</v>
      </c>
    </row>
    <row r="143" spans="1:5" x14ac:dyDescent="0.35">
      <c r="A143" s="10">
        <v>43374</v>
      </c>
      <c r="B143" s="6">
        <f>(146)/(292000/100000)</f>
        <v>50</v>
      </c>
      <c r="C143" s="12">
        <v>16</v>
      </c>
      <c r="D143" s="14">
        <v>4.0999999999999995E-2</v>
      </c>
      <c r="E143" s="16">
        <v>375.5641476274165</v>
      </c>
    </row>
    <row r="144" spans="1:5" x14ac:dyDescent="0.35">
      <c r="A144" s="10">
        <v>43405</v>
      </c>
      <c r="B144" s="6">
        <f>(146)/(292000/100000)</f>
        <v>50</v>
      </c>
      <c r="C144" s="12">
        <v>16</v>
      </c>
      <c r="D144" s="14">
        <v>0.04</v>
      </c>
      <c r="E144" s="16">
        <v>371.89037245256497</v>
      </c>
    </row>
    <row r="145" spans="1:5" x14ac:dyDescent="0.35">
      <c r="A145" s="10">
        <v>43435</v>
      </c>
      <c r="B145" s="6">
        <f>(132)/(292000/100000)</f>
        <v>45.205479452054796</v>
      </c>
      <c r="C145" s="12">
        <v>13</v>
      </c>
      <c r="D145" s="14">
        <v>0.04</v>
      </c>
      <c r="E145" s="16">
        <v>372</v>
      </c>
    </row>
    <row r="146" spans="1:5" x14ac:dyDescent="0.35">
      <c r="A146" s="10">
        <v>43466</v>
      </c>
      <c r="B146" s="6">
        <f>(119)/(292000/100000)</f>
        <v>40.753424657534246</v>
      </c>
      <c r="C146" s="12">
        <v>14</v>
      </c>
      <c r="D146" s="14">
        <v>3.9E-2</v>
      </c>
      <c r="E146" s="16">
        <v>376.84240282685511</v>
      </c>
    </row>
    <row r="147" spans="1:5" x14ac:dyDescent="0.35">
      <c r="A147" s="10">
        <v>43497</v>
      </c>
      <c r="B147" s="6">
        <f>(182)/(292000/100000)</f>
        <v>62.328767123287676</v>
      </c>
      <c r="C147" s="12">
        <v>18</v>
      </c>
      <c r="D147" s="14">
        <v>3.9E-2</v>
      </c>
      <c r="E147" s="16">
        <v>375.61263157894734</v>
      </c>
    </row>
    <row r="148" spans="1:5" x14ac:dyDescent="0.35">
      <c r="A148" s="10">
        <v>43525</v>
      </c>
      <c r="B148" s="6">
        <f>(171)/(292000/100000)</f>
        <v>58.561643835616437</v>
      </c>
      <c r="C148" s="12">
        <v>16</v>
      </c>
      <c r="D148" s="14">
        <v>3.7999999999999999E-2</v>
      </c>
      <c r="E148" s="16">
        <v>376.89512451771304</v>
      </c>
    </row>
    <row r="149" spans="1:5" x14ac:dyDescent="0.35">
      <c r="A149" s="10">
        <v>43556</v>
      </c>
      <c r="B149" s="6">
        <f>(147)/(292000/100000)</f>
        <v>50.342465753424662</v>
      </c>
      <c r="C149" s="12">
        <v>21</v>
      </c>
      <c r="D149" s="14">
        <v>3.7999999999999999E-2</v>
      </c>
      <c r="E149" s="16">
        <v>372.8410825815406</v>
      </c>
    </row>
    <row r="150" spans="1:5" x14ac:dyDescent="0.35">
      <c r="A150" s="10">
        <v>43586</v>
      </c>
      <c r="B150" s="6">
        <f>(150)/(292000/100000)</f>
        <v>51.369863013698634</v>
      </c>
      <c r="C150" s="12">
        <v>24</v>
      </c>
      <c r="D150" s="14">
        <v>3.7999999999999999E-2</v>
      </c>
      <c r="E150" s="16">
        <v>372.94605809128632</v>
      </c>
    </row>
    <row r="151" spans="1:5" x14ac:dyDescent="0.35">
      <c r="A151" s="10">
        <v>43617</v>
      </c>
      <c r="B151" s="6">
        <f>(142)/(292000/100000)</f>
        <v>48.630136986301373</v>
      </c>
      <c r="C151" s="12">
        <v>15</v>
      </c>
      <c r="D151" s="14">
        <v>3.9E-2</v>
      </c>
      <c r="E151" s="16">
        <v>374.51933701657453</v>
      </c>
    </row>
    <row r="152" spans="1:5" x14ac:dyDescent="0.35">
      <c r="A152" s="10">
        <v>43647</v>
      </c>
      <c r="B152" s="6">
        <f>(167)/(292000/100000)</f>
        <v>57.19178082191781</v>
      </c>
      <c r="C152" s="12">
        <v>14</v>
      </c>
      <c r="D152" s="14">
        <v>3.7999999999999999E-2</v>
      </c>
      <c r="E152" s="16">
        <v>376.73782383419689</v>
      </c>
    </row>
    <row r="153" spans="1:5" x14ac:dyDescent="0.35">
      <c r="A153" s="10">
        <v>43678</v>
      </c>
      <c r="B153" s="6">
        <f>(144)/(292000/100000)</f>
        <v>49.315068493150683</v>
      </c>
      <c r="C153" s="12">
        <v>14</v>
      </c>
      <c r="D153" s="14">
        <v>3.9E-2</v>
      </c>
      <c r="E153" s="16">
        <v>373.2053479602331</v>
      </c>
    </row>
    <row r="154" spans="1:5" x14ac:dyDescent="0.35">
      <c r="A154" s="10">
        <v>43709</v>
      </c>
      <c r="B154" s="6">
        <f>(119)/(292000/100000)</f>
        <v>40.753424657534246</v>
      </c>
      <c r="C154" s="12">
        <v>17</v>
      </c>
      <c r="D154" s="14">
        <v>3.7999999999999999E-2</v>
      </c>
      <c r="E154" s="16">
        <v>378.25979381443301</v>
      </c>
    </row>
    <row r="155" spans="1:5" x14ac:dyDescent="0.35">
      <c r="A155" s="10">
        <v>43739</v>
      </c>
      <c r="B155" s="6">
        <f>(131)/(292000/100000)</f>
        <v>44.863013698630141</v>
      </c>
      <c r="C155" s="12">
        <v>16</v>
      </c>
      <c r="D155" s="14">
        <v>3.7999999999999999E-2</v>
      </c>
      <c r="E155" s="16">
        <v>376.26446280991735</v>
      </c>
    </row>
    <row r="156" spans="1:5" x14ac:dyDescent="0.35">
      <c r="A156" s="10">
        <v>43770</v>
      </c>
      <c r="B156" s="6">
        <f>(152)/(292000/100000)</f>
        <v>52.054794520547944</v>
      </c>
      <c r="C156" s="12">
        <v>17</v>
      </c>
      <c r="D156" s="14">
        <v>3.7999999999999999E-2</v>
      </c>
      <c r="E156" s="16">
        <v>375.48865979381446</v>
      </c>
    </row>
    <row r="157" spans="1:5" x14ac:dyDescent="0.35">
      <c r="A157" s="10">
        <v>43800</v>
      </c>
      <c r="B157" s="6">
        <f>(189)/(292000/100000)</f>
        <v>64.726027397260282</v>
      </c>
      <c r="C157" s="12">
        <v>16</v>
      </c>
      <c r="D157" s="14">
        <v>3.7999999999999999E-2</v>
      </c>
      <c r="E157" s="16">
        <v>372.9496402877698</v>
      </c>
    </row>
    <row r="158" spans="1:5" x14ac:dyDescent="0.35">
      <c r="A158" s="10">
        <v>43831</v>
      </c>
      <c r="B158" s="6">
        <f>(188)/(292000/100000)</f>
        <v>64.38356164383562</v>
      </c>
      <c r="C158" s="12">
        <v>23</v>
      </c>
      <c r="D158" s="14">
        <v>3.9E-2</v>
      </c>
      <c r="E158" s="16">
        <v>378.08671713695799</v>
      </c>
    </row>
    <row r="159" spans="1:5" x14ac:dyDescent="0.35">
      <c r="A159" s="10">
        <v>43862</v>
      </c>
      <c r="B159" s="6">
        <f>(142)/(292000/100000)</f>
        <v>48.630136986301373</v>
      </c>
      <c r="C159" s="12">
        <v>17</v>
      </c>
      <c r="D159" s="14">
        <v>0.04</v>
      </c>
      <c r="E159" s="16">
        <v>376.96438356164384</v>
      </c>
    </row>
    <row r="160" spans="1:5" x14ac:dyDescent="0.35">
      <c r="A160" s="10">
        <v>43891</v>
      </c>
      <c r="B160" s="6">
        <f>(119)/(292000/100000)</f>
        <v>40.753424657534246</v>
      </c>
      <c r="C160" s="12">
        <v>25</v>
      </c>
      <c r="D160" s="14">
        <v>0.04</v>
      </c>
      <c r="E160" s="16">
        <v>373.43540669856458</v>
      </c>
    </row>
    <row r="161" spans="1:5" x14ac:dyDescent="0.35">
      <c r="A161" s="10">
        <v>43922</v>
      </c>
      <c r="B161" s="6">
        <f>(109)/(292000/100000)</f>
        <v>37.328767123287669</v>
      </c>
      <c r="C161" s="12">
        <v>16</v>
      </c>
      <c r="D161" s="14">
        <v>0.04</v>
      </c>
      <c r="E161" s="16">
        <v>363.1004784688995</v>
      </c>
    </row>
    <row r="162" spans="1:5" x14ac:dyDescent="0.35">
      <c r="A162" s="10">
        <v>43952</v>
      </c>
      <c r="B162" s="6">
        <f>(138)/(292000/100000)</f>
        <v>47.260273972602739</v>
      </c>
      <c r="C162" s="12">
        <v>22</v>
      </c>
      <c r="D162" s="14">
        <v>4.0999999999999995E-2</v>
      </c>
      <c r="E162" s="16">
        <v>364.28747433264886</v>
      </c>
    </row>
    <row r="163" spans="1:5" x14ac:dyDescent="0.35">
      <c r="A163" s="10">
        <v>43983</v>
      </c>
      <c r="B163" s="6">
        <f>(179)/(292000/100000)</f>
        <v>61.301369863013697</v>
      </c>
      <c r="C163" s="12">
        <v>16</v>
      </c>
      <c r="D163" s="14">
        <v>4.0999999999999995E-2</v>
      </c>
      <c r="E163" s="16">
        <v>365.04270584215919</v>
      </c>
    </row>
    <row r="164" spans="1:5" x14ac:dyDescent="0.35">
      <c r="A164" s="10">
        <v>44013</v>
      </c>
      <c r="B164" s="6">
        <f>(181)/(292000/100000)</f>
        <v>61.986301369863014</v>
      </c>
      <c r="C164" s="12">
        <v>14</v>
      </c>
      <c r="D164" s="14">
        <v>4.2999999999999997E-2</v>
      </c>
      <c r="E164" s="16">
        <v>370.03399048266488</v>
      </c>
    </row>
    <row r="165" spans="1:5" x14ac:dyDescent="0.35">
      <c r="A165" s="10">
        <v>44044</v>
      </c>
      <c r="B165" s="6">
        <f>(134)/(292000/100000)</f>
        <v>45.890410958904113</v>
      </c>
      <c r="C165" s="12">
        <v>20</v>
      </c>
      <c r="D165" s="14">
        <v>4.4999999999999998E-2</v>
      </c>
      <c r="E165" s="16">
        <v>378.04295942720762</v>
      </c>
    </row>
    <row r="166" spans="1:5" x14ac:dyDescent="0.35">
      <c r="A166" s="10">
        <v>44075</v>
      </c>
      <c r="B166" s="6">
        <f>(128)/(292000/100000)</f>
        <v>43.835616438356162</v>
      </c>
      <c r="C166" s="12">
        <v>20</v>
      </c>
      <c r="D166" s="14">
        <v>4.8000000000000001E-2</v>
      </c>
      <c r="E166" s="16">
        <v>381.55351681957188</v>
      </c>
    </row>
    <row r="167" spans="1:5" x14ac:dyDescent="0.35">
      <c r="A167" s="10">
        <v>44105</v>
      </c>
      <c r="B167" s="6">
        <f>(140)/(292000/100000)</f>
        <v>47.945205479452056</v>
      </c>
      <c r="C167" s="12">
        <v>14</v>
      </c>
      <c r="D167" s="14">
        <v>0.05</v>
      </c>
      <c r="E167" s="16">
        <v>384.97859327217122</v>
      </c>
    </row>
    <row r="168" spans="1:5" x14ac:dyDescent="0.35">
      <c r="A168" s="10">
        <v>44136</v>
      </c>
      <c r="B168" s="6">
        <f>(136)/(292000/100000)</f>
        <v>46.575342465753423</v>
      </c>
      <c r="C168" s="12">
        <v>13</v>
      </c>
      <c r="D168" s="14">
        <v>5.0999999999999997E-2</v>
      </c>
      <c r="E168" s="16">
        <v>390.14923339011926</v>
      </c>
    </row>
    <row r="169" spans="1:5" x14ac:dyDescent="0.35">
      <c r="A169" s="10">
        <v>44166</v>
      </c>
      <c r="B169" s="6">
        <f>(90)/(292000/100000)</f>
        <v>30.82191780821918</v>
      </c>
      <c r="C169" s="12">
        <v>12</v>
      </c>
      <c r="D169" s="14">
        <v>5.2000000000000005E-2</v>
      </c>
      <c r="E169" s="16">
        <v>388.32227488151659</v>
      </c>
    </row>
    <row r="170" spans="1:5" x14ac:dyDescent="0.35">
      <c r="A170" s="10">
        <v>44197</v>
      </c>
      <c r="B170" s="6">
        <f>(95)/(292000/100000)</f>
        <v>32.534246575342465</v>
      </c>
      <c r="C170" s="12">
        <v>22</v>
      </c>
      <c r="D170" s="14">
        <v>5.0999999999999997E-2</v>
      </c>
      <c r="E170" s="16">
        <v>388.69246435845213</v>
      </c>
    </row>
    <row r="171" spans="1:5" x14ac:dyDescent="0.35">
      <c r="A171" s="10">
        <v>44228</v>
      </c>
      <c r="B171" s="6">
        <f>(119)/(292000/100000)</f>
        <v>40.753424657534246</v>
      </c>
      <c r="C171" s="12">
        <v>21</v>
      </c>
      <c r="D171" s="14">
        <v>0.05</v>
      </c>
      <c r="E171" s="16">
        <v>386.17297297297296</v>
      </c>
    </row>
    <row r="172" spans="1:5" x14ac:dyDescent="0.35">
      <c r="A172" s="10">
        <v>44256</v>
      </c>
      <c r="B172" s="6">
        <f>(132)/(292000/100000)</f>
        <v>45.205479452054796</v>
      </c>
      <c r="C172" s="12">
        <v>25</v>
      </c>
      <c r="D172" s="14">
        <v>4.9000000000000002E-2</v>
      </c>
      <c r="E172" s="16">
        <v>385.68137420006735</v>
      </c>
    </row>
    <row r="173" spans="1:5" x14ac:dyDescent="0.35">
      <c r="A173" s="10">
        <v>44287</v>
      </c>
      <c r="B173" s="6">
        <f>(154)/(292000/100000)</f>
        <v>52.739726027397261</v>
      </c>
      <c r="C173" s="12">
        <v>20</v>
      </c>
      <c r="D173" s="14">
        <v>4.8000000000000001E-2</v>
      </c>
      <c r="E173" s="16">
        <v>382.97974094985051</v>
      </c>
    </row>
    <row r="174" spans="1:5" x14ac:dyDescent="0.35">
      <c r="A174" s="10">
        <v>44317</v>
      </c>
      <c r="B174" s="6">
        <f>(661)/(292000/100000)</f>
        <v>226.36986301369865</v>
      </c>
      <c r="C174" s="12">
        <v>100</v>
      </c>
      <c r="D174" s="14">
        <v>4.8000000000000001E-2</v>
      </c>
      <c r="E174" s="16">
        <v>383.96820139118915</v>
      </c>
    </row>
    <row r="175" spans="1:5" x14ac:dyDescent="0.35">
      <c r="A175" s="10">
        <v>44348</v>
      </c>
      <c r="B175" s="6">
        <f>(210)/(292000/100000)</f>
        <v>71.917808219178085</v>
      </c>
      <c r="C175" s="12">
        <v>28</v>
      </c>
      <c r="D175" s="14">
        <v>4.7E-2</v>
      </c>
      <c r="E175" s="16">
        <v>382.64210526315793</v>
      </c>
    </row>
    <row r="176" spans="1:5" x14ac:dyDescent="0.35">
      <c r="A176" s="10">
        <v>44378</v>
      </c>
      <c r="B176" s="6">
        <f>(177)/(292000/100000)</f>
        <v>60.616438356164387</v>
      </c>
      <c r="C176" s="12">
        <v>16</v>
      </c>
      <c r="D176" s="14">
        <v>4.5999999999999999E-2</v>
      </c>
      <c r="E176" s="16">
        <v>382.08314238952534</v>
      </c>
    </row>
    <row r="177" spans="1:5" x14ac:dyDescent="0.35">
      <c r="A177" s="10">
        <v>44409</v>
      </c>
      <c r="B177" s="6">
        <f>(139)/(292000/100000)</f>
        <v>47.602739726027401</v>
      </c>
      <c r="C177" s="12">
        <v>16</v>
      </c>
      <c r="D177" s="14">
        <v>4.4999999999999998E-2</v>
      </c>
      <c r="E177" s="16">
        <v>381.68900455432663</v>
      </c>
    </row>
    <row r="178" spans="1:5" x14ac:dyDescent="0.35">
      <c r="A178" s="10">
        <v>44440</v>
      </c>
      <c r="B178" s="6">
        <f>(150)/(292000/100000)</f>
        <v>51.369863013698634</v>
      </c>
      <c r="C178" s="12">
        <v>14</v>
      </c>
      <c r="D178" s="14">
        <v>4.2999999999999997E-2</v>
      </c>
      <c r="E178" s="16">
        <v>381.51134154244977</v>
      </c>
    </row>
    <row r="179" spans="1:5" x14ac:dyDescent="0.35">
      <c r="A179" s="10">
        <v>44470</v>
      </c>
      <c r="B179" s="6">
        <f>(164)/(292000/100000)</f>
        <v>56.164383561643838</v>
      </c>
      <c r="C179" s="12">
        <v>15</v>
      </c>
      <c r="D179" s="14">
        <v>4.2000000000000003E-2</v>
      </c>
      <c r="E179" s="16">
        <v>380.58461538461535</v>
      </c>
    </row>
    <row r="180" spans="1:5" x14ac:dyDescent="0.35">
      <c r="A180" s="10">
        <v>44501</v>
      </c>
      <c r="B180" s="6">
        <f>(134)/(292000/100000)</f>
        <v>45.890410958904113</v>
      </c>
      <c r="C180" s="12">
        <v>13</v>
      </c>
      <c r="D180" s="14">
        <v>4.0999999999999995E-2</v>
      </c>
      <c r="E180" s="16">
        <v>378.44097995545656</v>
      </c>
    </row>
    <row r="181" spans="1:5" x14ac:dyDescent="0.35">
      <c r="A181" s="10">
        <v>44531</v>
      </c>
      <c r="B181" s="6">
        <f>(120)/(292000/100000)</f>
        <v>41.095890410958908</v>
      </c>
      <c r="C181" s="12">
        <v>13</v>
      </c>
      <c r="D181" s="14">
        <v>4.0999999999999995E-2</v>
      </c>
      <c r="E181" s="16">
        <v>380.73654390934843</v>
      </c>
    </row>
    <row r="183" spans="1:5" x14ac:dyDescent="0.35">
      <c r="C183" s="11"/>
    </row>
    <row r="184" spans="1:5" x14ac:dyDescent="0.35">
      <c r="C184" s="11"/>
    </row>
    <row r="185" spans="1:5" x14ac:dyDescent="0.35">
      <c r="C185" s="11"/>
    </row>
    <row r="186" spans="1:5" x14ac:dyDescent="0.35">
      <c r="C186" s="11"/>
    </row>
    <row r="187" spans="1:5" x14ac:dyDescent="0.35">
      <c r="C187" s="11"/>
    </row>
    <row r="188" spans="1:5" x14ac:dyDescent="0.35">
      <c r="C188" s="11"/>
    </row>
    <row r="189" spans="1:5" x14ac:dyDescent="0.35">
      <c r="C189" s="11"/>
    </row>
    <row r="190" spans="1:5" x14ac:dyDescent="0.35">
      <c r="C190" s="11"/>
    </row>
    <row r="191" spans="1:5" x14ac:dyDescent="0.35">
      <c r="C191" s="11"/>
    </row>
    <row r="192" spans="1:5" x14ac:dyDescent="0.35">
      <c r="C192" s="11"/>
    </row>
    <row r="193" spans="3:3" x14ac:dyDescent="0.35">
      <c r="C193" s="11"/>
    </row>
    <row r="194" spans="3:3" x14ac:dyDescent="0.35">
      <c r="C194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America_by_year_1991-2019</vt:lpstr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Shaul</dc:creator>
  <cp:lastModifiedBy>Shaul</cp:lastModifiedBy>
  <dcterms:created xsi:type="dcterms:W3CDTF">2022-05-01T07:48:54Z</dcterms:created>
  <dcterms:modified xsi:type="dcterms:W3CDTF">2022-10-13T11:45:01Z</dcterms:modified>
</cp:coreProperties>
</file>