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ocuments\School\Semester 7 (Fall 2018)\DataComm\Project2\"/>
    </mc:Choice>
  </mc:AlternateContent>
  <xr:revisionPtr revIDLastSave="0" documentId="13_ncr:1_{2AE6346E-F550-4493-9B4F-9C47AF76C932}" xr6:coauthVersionLast="40" xr6:coauthVersionMax="40" xr10:uidLastSave="{00000000-0000-0000-0000-000000000000}"/>
  <bookViews>
    <workbookView xWindow="0" yWindow="0" windowWidth="19200" windowHeight="7670" firstSheet="3" activeTab="7" xr2:uid="{331F44D9-B3AB-4DF3-967E-4AD3092582AD}"/>
  </bookViews>
  <sheets>
    <sheet name="TotalEmployeeGrowth" sheetId="1" r:id="rId1"/>
    <sheet name="DeptGrowth" sheetId="2" r:id="rId2"/>
    <sheet name="HostGrowth" sheetId="3" r:id="rId3"/>
    <sheet name="Throughput" sheetId="4" r:id="rId4"/>
    <sheet name="InterdepartmentalThroughput" sheetId="5" r:id="rId5"/>
    <sheet name="DepartmentSpace" sheetId="6" r:id="rId6"/>
    <sheet name="UsableSpace" sheetId="7" r:id="rId7"/>
    <sheet name="HardwareCos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7" i="8" l="1"/>
  <c r="W17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2" i="8"/>
  <c r="Z17" i="8" s="1"/>
  <c r="U9" i="8"/>
  <c r="Y9" i="8" s="1"/>
  <c r="L7" i="8"/>
  <c r="M7" i="8"/>
  <c r="N7" i="8"/>
  <c r="P3" i="8"/>
  <c r="P4" i="8"/>
  <c r="P5" i="8"/>
  <c r="P6" i="8"/>
  <c r="P2" i="8"/>
  <c r="O3" i="8"/>
  <c r="Q3" i="8" s="1"/>
  <c r="O4" i="8"/>
  <c r="O5" i="8"/>
  <c r="O6" i="8"/>
  <c r="O2" i="8"/>
  <c r="Q2" i="8" s="1"/>
  <c r="C3" i="8"/>
  <c r="E3" i="8" s="1"/>
  <c r="U3" i="8" s="1"/>
  <c r="Y3" i="8" s="1"/>
  <c r="C4" i="8"/>
  <c r="D4" i="8" s="1"/>
  <c r="T4" i="8" s="1"/>
  <c r="X4" i="8" s="1"/>
  <c r="C5" i="8"/>
  <c r="E5" i="8" s="1"/>
  <c r="U5" i="8" s="1"/>
  <c r="Y5" i="8" s="1"/>
  <c r="C6" i="8"/>
  <c r="E6" i="8" s="1"/>
  <c r="U6" i="8" s="1"/>
  <c r="Y6" i="8" s="1"/>
  <c r="C7" i="8"/>
  <c r="E7" i="8" s="1"/>
  <c r="U7" i="8" s="1"/>
  <c r="Y7" i="8" s="1"/>
  <c r="C8" i="8"/>
  <c r="D8" i="8" s="1"/>
  <c r="T8" i="8" s="1"/>
  <c r="X8" i="8" s="1"/>
  <c r="C9" i="8"/>
  <c r="E9" i="8" s="1"/>
  <c r="C10" i="8"/>
  <c r="E10" i="8" s="1"/>
  <c r="U10" i="8" s="1"/>
  <c r="Y10" i="8" s="1"/>
  <c r="C11" i="8"/>
  <c r="E11" i="8" s="1"/>
  <c r="U11" i="8" s="1"/>
  <c r="Y11" i="8" s="1"/>
  <c r="C12" i="8"/>
  <c r="D12" i="8" s="1"/>
  <c r="T12" i="8" s="1"/>
  <c r="X12" i="8" s="1"/>
  <c r="C13" i="8"/>
  <c r="E13" i="8" s="1"/>
  <c r="U13" i="8" s="1"/>
  <c r="Y13" i="8" s="1"/>
  <c r="C14" i="8"/>
  <c r="E14" i="8" s="1"/>
  <c r="U14" i="8" s="1"/>
  <c r="Y14" i="8" s="1"/>
  <c r="C15" i="8"/>
  <c r="E15" i="8" s="1"/>
  <c r="U15" i="8" s="1"/>
  <c r="Y15" i="8" s="1"/>
  <c r="C16" i="8"/>
  <c r="D16" i="8" s="1"/>
  <c r="T16" i="8" s="1"/>
  <c r="X16" i="8" s="1"/>
  <c r="C2" i="8"/>
  <c r="E2" i="8" s="1"/>
  <c r="U2" i="8" s="1"/>
  <c r="B15" i="7"/>
  <c r="B18" i="7" s="1"/>
  <c r="B19" i="7"/>
  <c r="B13" i="7"/>
  <c r="B12" i="7"/>
  <c r="B14" i="7" s="1"/>
  <c r="C77" i="6"/>
  <c r="C78" i="6"/>
  <c r="C79" i="6"/>
  <c r="C80" i="6"/>
  <c r="C81" i="6"/>
  <c r="F81" i="6" s="1"/>
  <c r="C82" i="6"/>
  <c r="C83" i="6"/>
  <c r="C84" i="6"/>
  <c r="C85" i="6"/>
  <c r="F84" i="6"/>
  <c r="D84" i="6" s="1"/>
  <c r="E84" i="6" s="1"/>
  <c r="F83" i="6"/>
  <c r="G83" i="6" s="1"/>
  <c r="F82" i="6"/>
  <c r="F80" i="6"/>
  <c r="D80" i="6" s="1"/>
  <c r="E80" i="6" s="1"/>
  <c r="F79" i="6"/>
  <c r="G79" i="6" s="1"/>
  <c r="F78" i="6"/>
  <c r="F77" i="6"/>
  <c r="C63" i="6"/>
  <c r="C64" i="6"/>
  <c r="C65" i="6"/>
  <c r="C66" i="6"/>
  <c r="C67" i="6"/>
  <c r="C68" i="6"/>
  <c r="C69" i="6"/>
  <c r="C70" i="6"/>
  <c r="C62" i="6"/>
  <c r="F69" i="6"/>
  <c r="F68" i="6"/>
  <c r="F67" i="6"/>
  <c r="G67" i="6" s="1"/>
  <c r="F65" i="6"/>
  <c r="F64" i="6"/>
  <c r="F63" i="6"/>
  <c r="G63" i="6" s="1"/>
  <c r="D63" i="6"/>
  <c r="E63" i="6" s="1"/>
  <c r="C48" i="6"/>
  <c r="C49" i="6"/>
  <c r="C50" i="6"/>
  <c r="C51" i="6"/>
  <c r="C52" i="6"/>
  <c r="C53" i="6"/>
  <c r="C54" i="6"/>
  <c r="C55" i="6"/>
  <c r="C47" i="6"/>
  <c r="F54" i="6"/>
  <c r="D54" i="6" s="1"/>
  <c r="E54" i="6" s="1"/>
  <c r="F53" i="6"/>
  <c r="G53" i="6" s="1"/>
  <c r="F52" i="6"/>
  <c r="G52" i="6" s="1"/>
  <c r="F50" i="6"/>
  <c r="D50" i="6" s="1"/>
  <c r="E50" i="6" s="1"/>
  <c r="F49" i="6"/>
  <c r="G49" i="6" s="1"/>
  <c r="F48" i="6"/>
  <c r="G48" i="6" s="1"/>
  <c r="C33" i="6"/>
  <c r="C34" i="6"/>
  <c r="C35" i="6"/>
  <c r="F35" i="6" s="1"/>
  <c r="C36" i="6"/>
  <c r="C37" i="6"/>
  <c r="C38" i="6"/>
  <c r="C39" i="6"/>
  <c r="F39" i="6" s="1"/>
  <c r="C40" i="6"/>
  <c r="C32" i="6"/>
  <c r="F38" i="6"/>
  <c r="F37" i="6"/>
  <c r="G37" i="6" s="1"/>
  <c r="F34" i="6"/>
  <c r="F33" i="6"/>
  <c r="G33" i="6" s="1"/>
  <c r="C18" i="6"/>
  <c r="C19" i="6"/>
  <c r="C20" i="6"/>
  <c r="C21" i="6"/>
  <c r="F21" i="6" s="1"/>
  <c r="G21" i="6" s="1"/>
  <c r="C22" i="6"/>
  <c r="C23" i="6"/>
  <c r="C24" i="6"/>
  <c r="C25" i="6"/>
  <c r="F25" i="6" s="1"/>
  <c r="G25" i="6" s="1"/>
  <c r="C17" i="6"/>
  <c r="F24" i="6"/>
  <c r="G24" i="6" s="1"/>
  <c r="F23" i="6"/>
  <c r="G23" i="6" s="1"/>
  <c r="F22" i="6"/>
  <c r="G22" i="6" s="1"/>
  <c r="D22" i="6"/>
  <c r="E22" i="6" s="1"/>
  <c r="F20" i="6"/>
  <c r="G20" i="6" s="1"/>
  <c r="D20" i="6"/>
  <c r="E20" i="6" s="1"/>
  <c r="F19" i="6"/>
  <c r="G19" i="6" s="1"/>
  <c r="F18" i="6"/>
  <c r="G18" i="6" s="1"/>
  <c r="F17" i="6"/>
  <c r="F14" i="6"/>
  <c r="F13" i="6"/>
  <c r="C2" i="6"/>
  <c r="C11" i="6" s="1"/>
  <c r="C3" i="6"/>
  <c r="F3" i="6" s="1"/>
  <c r="C4" i="6"/>
  <c r="F4" i="6" s="1"/>
  <c r="D4" i="6" s="1"/>
  <c r="E4" i="6" s="1"/>
  <c r="C5" i="6"/>
  <c r="F5" i="6" s="1"/>
  <c r="D5" i="6" s="1"/>
  <c r="E5" i="6" s="1"/>
  <c r="C6" i="6"/>
  <c r="C7" i="6"/>
  <c r="F7" i="6" s="1"/>
  <c r="D7" i="6" s="1"/>
  <c r="E7" i="6" s="1"/>
  <c r="C8" i="6"/>
  <c r="F8" i="6" s="1"/>
  <c r="D8" i="6" s="1"/>
  <c r="E8" i="6" s="1"/>
  <c r="C9" i="6"/>
  <c r="F9" i="6" s="1"/>
  <c r="D9" i="6" s="1"/>
  <c r="E9" i="6" s="1"/>
  <c r="C10" i="6"/>
  <c r="B57" i="5"/>
  <c r="B46" i="5"/>
  <c r="B35" i="5"/>
  <c r="B24" i="5"/>
  <c r="B13" i="5"/>
  <c r="J65" i="5"/>
  <c r="J64" i="5"/>
  <c r="I64" i="5"/>
  <c r="I63" i="5"/>
  <c r="H63" i="5"/>
  <c r="G62" i="5"/>
  <c r="J61" i="5"/>
  <c r="H61" i="5"/>
  <c r="G61" i="5"/>
  <c r="F61" i="5"/>
  <c r="J60" i="5"/>
  <c r="I60" i="5"/>
  <c r="H60" i="5"/>
  <c r="G60" i="5"/>
  <c r="F60" i="5"/>
  <c r="E60" i="5"/>
  <c r="J59" i="5"/>
  <c r="F59" i="5"/>
  <c r="E59" i="5"/>
  <c r="D59" i="5"/>
  <c r="J58" i="5"/>
  <c r="H58" i="5"/>
  <c r="E58" i="5"/>
  <c r="D58" i="5"/>
  <c r="C58" i="5"/>
  <c r="G57" i="5"/>
  <c r="F57" i="5"/>
  <c r="D57" i="5"/>
  <c r="C57" i="5"/>
  <c r="J54" i="5"/>
  <c r="J53" i="5"/>
  <c r="I53" i="5"/>
  <c r="I52" i="5"/>
  <c r="H52" i="5"/>
  <c r="G51" i="5"/>
  <c r="J50" i="5"/>
  <c r="H50" i="5"/>
  <c r="G50" i="5"/>
  <c r="F50" i="5"/>
  <c r="J49" i="5"/>
  <c r="I49" i="5"/>
  <c r="H49" i="5"/>
  <c r="G49" i="5"/>
  <c r="F49" i="5"/>
  <c r="E49" i="5"/>
  <c r="J48" i="5"/>
  <c r="F48" i="5"/>
  <c r="E48" i="5"/>
  <c r="D48" i="5"/>
  <c r="J47" i="5"/>
  <c r="H47" i="5"/>
  <c r="E47" i="5"/>
  <c r="D47" i="5"/>
  <c r="C47" i="5"/>
  <c r="G46" i="5"/>
  <c r="F46" i="5"/>
  <c r="D46" i="5"/>
  <c r="C46" i="5"/>
  <c r="J43" i="5"/>
  <c r="J42" i="5"/>
  <c r="I42" i="5"/>
  <c r="I41" i="5"/>
  <c r="H41" i="5"/>
  <c r="G40" i="5"/>
  <c r="J39" i="5"/>
  <c r="H39" i="5"/>
  <c r="G39" i="5"/>
  <c r="F39" i="5"/>
  <c r="J38" i="5"/>
  <c r="I38" i="5"/>
  <c r="H38" i="5"/>
  <c r="G38" i="5"/>
  <c r="F38" i="5"/>
  <c r="E38" i="5"/>
  <c r="J37" i="5"/>
  <c r="F37" i="5"/>
  <c r="E37" i="5"/>
  <c r="D37" i="5"/>
  <c r="J36" i="5"/>
  <c r="H36" i="5"/>
  <c r="E36" i="5"/>
  <c r="D36" i="5"/>
  <c r="C36" i="5"/>
  <c r="G35" i="5"/>
  <c r="F35" i="5"/>
  <c r="D35" i="5"/>
  <c r="C35" i="5"/>
  <c r="J32" i="5"/>
  <c r="J31" i="5"/>
  <c r="I31" i="5"/>
  <c r="I30" i="5"/>
  <c r="H30" i="5"/>
  <c r="G29" i="5"/>
  <c r="J28" i="5"/>
  <c r="H28" i="5"/>
  <c r="G28" i="5"/>
  <c r="F28" i="5"/>
  <c r="J27" i="5"/>
  <c r="I27" i="5"/>
  <c r="H27" i="5"/>
  <c r="G27" i="5"/>
  <c r="F27" i="5"/>
  <c r="E27" i="5"/>
  <c r="J26" i="5"/>
  <c r="F26" i="5"/>
  <c r="E26" i="5"/>
  <c r="D26" i="5"/>
  <c r="J25" i="5"/>
  <c r="H25" i="5"/>
  <c r="E25" i="5"/>
  <c r="D25" i="5"/>
  <c r="C25" i="5"/>
  <c r="G24" i="5"/>
  <c r="F24" i="5"/>
  <c r="D24" i="5"/>
  <c r="C24" i="5"/>
  <c r="J14" i="5"/>
  <c r="J15" i="5"/>
  <c r="J16" i="5"/>
  <c r="J17" i="5"/>
  <c r="J21" i="5"/>
  <c r="I16" i="5"/>
  <c r="I19" i="5"/>
  <c r="J20" i="5"/>
  <c r="I20" i="5"/>
  <c r="H14" i="5"/>
  <c r="H16" i="5"/>
  <c r="H17" i="5"/>
  <c r="H19" i="5"/>
  <c r="G18" i="5"/>
  <c r="G17" i="5"/>
  <c r="F17" i="5"/>
  <c r="G16" i="5"/>
  <c r="F16" i="5"/>
  <c r="E15" i="5"/>
  <c r="G13" i="5"/>
  <c r="F13" i="5"/>
  <c r="E16" i="5"/>
  <c r="E14" i="5"/>
  <c r="F15" i="5"/>
  <c r="D15" i="5"/>
  <c r="D14" i="5"/>
  <c r="D13" i="5"/>
  <c r="C13" i="5"/>
  <c r="C14" i="5"/>
  <c r="H10" i="4"/>
  <c r="I10" i="4" s="1"/>
  <c r="J10" i="4" s="1"/>
  <c r="H2" i="4"/>
  <c r="I2" i="4"/>
  <c r="J2" i="4" s="1"/>
  <c r="H3" i="4"/>
  <c r="H4" i="4"/>
  <c r="H5" i="4"/>
  <c r="I5" i="4" s="1"/>
  <c r="J5" i="4" s="1"/>
  <c r="H6" i="4"/>
  <c r="H7" i="4"/>
  <c r="I7" i="4" s="1"/>
  <c r="J7" i="4" s="1"/>
  <c r="H8" i="4"/>
  <c r="H9" i="4"/>
  <c r="I9" i="4" s="1"/>
  <c r="J9" i="4" s="1"/>
  <c r="I3" i="4"/>
  <c r="I4" i="4"/>
  <c r="J4" i="4" s="1"/>
  <c r="I6" i="4"/>
  <c r="J6" i="4" s="1"/>
  <c r="I8" i="4"/>
  <c r="J8" i="4" s="1"/>
  <c r="J3" i="4"/>
  <c r="G2" i="4"/>
  <c r="G3" i="4"/>
  <c r="G4" i="4"/>
  <c r="G5" i="4"/>
  <c r="G6" i="4"/>
  <c r="G7" i="4"/>
  <c r="G8" i="4"/>
  <c r="G9" i="4"/>
  <c r="G10" i="4"/>
  <c r="F2" i="4"/>
  <c r="F3" i="4"/>
  <c r="F4" i="4"/>
  <c r="F5" i="4"/>
  <c r="F6" i="4"/>
  <c r="F7" i="4"/>
  <c r="F8" i="4"/>
  <c r="F9" i="4"/>
  <c r="F10" i="4"/>
  <c r="B10" i="4"/>
  <c r="B9" i="4"/>
  <c r="B8" i="4"/>
  <c r="B7" i="4"/>
  <c r="B6" i="4"/>
  <c r="B5" i="4"/>
  <c r="B4" i="4"/>
  <c r="B3" i="4"/>
  <c r="B2" i="4"/>
  <c r="G11" i="3"/>
  <c r="H11" i="3"/>
  <c r="I11" i="3"/>
  <c r="J11" i="3"/>
  <c r="F11" i="3"/>
  <c r="D11" i="2"/>
  <c r="E11" i="2"/>
  <c r="F11" i="2"/>
  <c r="G11" i="2"/>
  <c r="H11" i="2"/>
  <c r="I11" i="2"/>
  <c r="B2" i="3"/>
  <c r="F2" i="3" s="1"/>
  <c r="G2" i="3" s="1"/>
  <c r="H2" i="3" s="1"/>
  <c r="I2" i="3" s="1"/>
  <c r="J2" i="3" s="1"/>
  <c r="B3" i="3"/>
  <c r="F3" i="3" s="1"/>
  <c r="G3" i="3" s="1"/>
  <c r="H3" i="3" s="1"/>
  <c r="I3" i="3" s="1"/>
  <c r="J3" i="3" s="1"/>
  <c r="B4" i="3"/>
  <c r="F4" i="3" s="1"/>
  <c r="G4" i="3" s="1"/>
  <c r="H4" i="3" s="1"/>
  <c r="I4" i="3" s="1"/>
  <c r="J4" i="3" s="1"/>
  <c r="B5" i="3"/>
  <c r="F5" i="3" s="1"/>
  <c r="G5" i="3" s="1"/>
  <c r="H5" i="3" s="1"/>
  <c r="I5" i="3" s="1"/>
  <c r="J5" i="3" s="1"/>
  <c r="B6" i="3"/>
  <c r="F6" i="3" s="1"/>
  <c r="G6" i="3" s="1"/>
  <c r="H6" i="3" s="1"/>
  <c r="I6" i="3" s="1"/>
  <c r="J6" i="3" s="1"/>
  <c r="B7" i="3"/>
  <c r="F7" i="3" s="1"/>
  <c r="G7" i="3" s="1"/>
  <c r="H7" i="3" s="1"/>
  <c r="I7" i="3" s="1"/>
  <c r="J7" i="3" s="1"/>
  <c r="B8" i="3"/>
  <c r="F8" i="3" s="1"/>
  <c r="G8" i="3" s="1"/>
  <c r="H8" i="3" s="1"/>
  <c r="I8" i="3" s="1"/>
  <c r="J8" i="3" s="1"/>
  <c r="B9" i="3"/>
  <c r="F9" i="3" s="1"/>
  <c r="G9" i="3" s="1"/>
  <c r="H9" i="3" s="1"/>
  <c r="I9" i="3" s="1"/>
  <c r="J9" i="3" s="1"/>
  <c r="B10" i="3"/>
  <c r="F10" i="3" s="1"/>
  <c r="G10" i="3" s="1"/>
  <c r="H10" i="3" s="1"/>
  <c r="I10" i="3" s="1"/>
  <c r="J10" i="3" s="1"/>
  <c r="F9" i="2"/>
  <c r="G9" i="2" s="1"/>
  <c r="H9" i="2" s="1"/>
  <c r="I9" i="2" s="1"/>
  <c r="F7" i="2"/>
  <c r="G7" i="2" s="1"/>
  <c r="H7" i="2" s="1"/>
  <c r="I7" i="2" s="1"/>
  <c r="F5" i="2"/>
  <c r="G5" i="2" s="1"/>
  <c r="H5" i="2" s="1"/>
  <c r="I5" i="2" s="1"/>
  <c r="F3" i="2"/>
  <c r="G3" i="2" s="1"/>
  <c r="H3" i="2" s="1"/>
  <c r="I3" i="2" s="1"/>
  <c r="E4" i="2"/>
  <c r="F4" i="2" s="1"/>
  <c r="G4" i="2" s="1"/>
  <c r="H4" i="2" s="1"/>
  <c r="I4" i="2" s="1"/>
  <c r="E5" i="2"/>
  <c r="E6" i="2"/>
  <c r="F6" i="2" s="1"/>
  <c r="G6" i="2" s="1"/>
  <c r="H6" i="2" s="1"/>
  <c r="I6" i="2" s="1"/>
  <c r="E7" i="2"/>
  <c r="E8" i="2"/>
  <c r="F8" i="2" s="1"/>
  <c r="G8" i="2" s="1"/>
  <c r="H8" i="2" s="1"/>
  <c r="I8" i="2" s="1"/>
  <c r="E9" i="2"/>
  <c r="E10" i="2"/>
  <c r="F10" i="2" s="1"/>
  <c r="G10" i="2" s="1"/>
  <c r="H10" i="2" s="1"/>
  <c r="I10" i="2" s="1"/>
  <c r="E3" i="2"/>
  <c r="F2" i="2"/>
  <c r="G2" i="2" s="1"/>
  <c r="H2" i="2" s="1"/>
  <c r="I2" i="2" s="1"/>
  <c r="E2" i="2"/>
  <c r="B3" i="1"/>
  <c r="B4" i="1" s="1"/>
  <c r="B5" i="1" s="1"/>
  <c r="B6" i="1" s="1"/>
  <c r="B7" i="1" s="1"/>
  <c r="Y2" i="8" l="1"/>
  <c r="Q4" i="8"/>
  <c r="Q7" i="8" s="1"/>
  <c r="AD3" i="8" s="1"/>
  <c r="Q6" i="8"/>
  <c r="Q5" i="8"/>
  <c r="P7" i="8"/>
  <c r="O7" i="8"/>
  <c r="D15" i="8"/>
  <c r="T15" i="8" s="1"/>
  <c r="X15" i="8" s="1"/>
  <c r="AA15" i="8" s="1"/>
  <c r="E16" i="8"/>
  <c r="U16" i="8" s="1"/>
  <c r="Y16" i="8" s="1"/>
  <c r="AA16" i="8" s="1"/>
  <c r="D11" i="8"/>
  <c r="T11" i="8" s="1"/>
  <c r="X11" i="8" s="1"/>
  <c r="AA11" i="8" s="1"/>
  <c r="E12" i="8"/>
  <c r="U12" i="8" s="1"/>
  <c r="Y12" i="8" s="1"/>
  <c r="AA12" i="8" s="1"/>
  <c r="D7" i="8"/>
  <c r="T7" i="8" s="1"/>
  <c r="X7" i="8" s="1"/>
  <c r="AA7" i="8" s="1"/>
  <c r="E8" i="8"/>
  <c r="U8" i="8" s="1"/>
  <c r="Y8" i="8" s="1"/>
  <c r="AA8" i="8" s="1"/>
  <c r="D3" i="8"/>
  <c r="T3" i="8" s="1"/>
  <c r="X3" i="8" s="1"/>
  <c r="AA3" i="8" s="1"/>
  <c r="D14" i="8"/>
  <c r="T14" i="8" s="1"/>
  <c r="X14" i="8" s="1"/>
  <c r="AA14" i="8" s="1"/>
  <c r="D10" i="8"/>
  <c r="T10" i="8" s="1"/>
  <c r="X10" i="8" s="1"/>
  <c r="AA10" i="8" s="1"/>
  <c r="D6" i="8"/>
  <c r="T6" i="8" s="1"/>
  <c r="X6" i="8" s="1"/>
  <c r="AA6" i="8" s="1"/>
  <c r="D2" i="8"/>
  <c r="T2" i="8" s="1"/>
  <c r="D13" i="8"/>
  <c r="T13" i="8" s="1"/>
  <c r="X13" i="8" s="1"/>
  <c r="AA13" i="8" s="1"/>
  <c r="D9" i="8"/>
  <c r="T9" i="8" s="1"/>
  <c r="X9" i="8" s="1"/>
  <c r="AA9" i="8" s="1"/>
  <c r="D5" i="8"/>
  <c r="T5" i="8" s="1"/>
  <c r="X5" i="8" s="1"/>
  <c r="AA5" i="8" s="1"/>
  <c r="E4" i="8"/>
  <c r="U4" i="8" s="1"/>
  <c r="Y4" i="8" s="1"/>
  <c r="AA4" i="8" s="1"/>
  <c r="B20" i="7"/>
  <c r="B21" i="7" s="1"/>
  <c r="D77" i="6"/>
  <c r="G77" i="6"/>
  <c r="G78" i="6"/>
  <c r="D78" i="6"/>
  <c r="E78" i="6" s="1"/>
  <c r="D81" i="6"/>
  <c r="E81" i="6" s="1"/>
  <c r="G81" i="6"/>
  <c r="G82" i="6"/>
  <c r="D82" i="6"/>
  <c r="E82" i="6" s="1"/>
  <c r="D79" i="6"/>
  <c r="E79" i="6" s="1"/>
  <c r="G80" i="6"/>
  <c r="D83" i="6"/>
  <c r="E83" i="6" s="1"/>
  <c r="G84" i="6"/>
  <c r="F85" i="6"/>
  <c r="G85" i="6" s="1"/>
  <c r="C86" i="6"/>
  <c r="F88" i="6" s="1"/>
  <c r="D64" i="6"/>
  <c r="E64" i="6" s="1"/>
  <c r="G64" i="6"/>
  <c r="G65" i="6"/>
  <c r="D65" i="6"/>
  <c r="E65" i="6" s="1"/>
  <c r="D68" i="6"/>
  <c r="E68" i="6" s="1"/>
  <c r="G68" i="6"/>
  <c r="D66" i="6"/>
  <c r="E66" i="6" s="1"/>
  <c r="G69" i="6"/>
  <c r="D69" i="6"/>
  <c r="E69" i="6" s="1"/>
  <c r="D67" i="6"/>
  <c r="E67" i="6" s="1"/>
  <c r="C71" i="6"/>
  <c r="F73" i="6" s="1"/>
  <c r="F62" i="6"/>
  <c r="D62" i="6" s="1"/>
  <c r="F66" i="6"/>
  <c r="G66" i="6" s="1"/>
  <c r="F70" i="6"/>
  <c r="G70" i="6" s="1"/>
  <c r="D48" i="6"/>
  <c r="E48" i="6" s="1"/>
  <c r="D52" i="6"/>
  <c r="E52" i="6" s="1"/>
  <c r="F47" i="6"/>
  <c r="D49" i="6"/>
  <c r="E49" i="6" s="1"/>
  <c r="G50" i="6"/>
  <c r="F51" i="6"/>
  <c r="G51" i="6" s="1"/>
  <c r="D53" i="6"/>
  <c r="E53" i="6" s="1"/>
  <c r="G54" i="6"/>
  <c r="F55" i="6"/>
  <c r="G55" i="6" s="1"/>
  <c r="C56" i="6"/>
  <c r="F58" i="6" s="1"/>
  <c r="D35" i="6"/>
  <c r="E35" i="6" s="1"/>
  <c r="G35" i="6"/>
  <c r="D38" i="6"/>
  <c r="E38" i="6" s="1"/>
  <c r="G38" i="6"/>
  <c r="D39" i="6"/>
  <c r="E39" i="6" s="1"/>
  <c r="G39" i="6"/>
  <c r="D34" i="6"/>
  <c r="E34" i="6" s="1"/>
  <c r="G34" i="6"/>
  <c r="D33" i="6"/>
  <c r="E33" i="6" s="1"/>
  <c r="D37" i="6"/>
  <c r="E37" i="6" s="1"/>
  <c r="C41" i="6"/>
  <c r="F43" i="6" s="1"/>
  <c r="F32" i="6"/>
  <c r="F36" i="6"/>
  <c r="G36" i="6" s="1"/>
  <c r="F40" i="6"/>
  <c r="G40" i="6" s="1"/>
  <c r="F26" i="6"/>
  <c r="D18" i="6"/>
  <c r="E18" i="6" s="1"/>
  <c r="D25" i="6"/>
  <c r="D21" i="6"/>
  <c r="E21" i="6" s="1"/>
  <c r="D24" i="6"/>
  <c r="E24" i="6" s="1"/>
  <c r="C26" i="6"/>
  <c r="F28" i="6" s="1"/>
  <c r="D17" i="6"/>
  <c r="E17" i="6"/>
  <c r="H25" i="6"/>
  <c r="H26" i="6" s="1"/>
  <c r="E25" i="6"/>
  <c r="D19" i="6"/>
  <c r="E19" i="6" s="1"/>
  <c r="D23" i="6"/>
  <c r="E23" i="6" s="1"/>
  <c r="G17" i="6"/>
  <c r="G26" i="6" s="1"/>
  <c r="G8" i="6"/>
  <c r="G4" i="6"/>
  <c r="D3" i="6"/>
  <c r="E3" i="6" s="1"/>
  <c r="G3" i="6"/>
  <c r="G7" i="6"/>
  <c r="G9" i="6"/>
  <c r="G5" i="6"/>
  <c r="F10" i="6"/>
  <c r="F6" i="6"/>
  <c r="F2" i="6"/>
  <c r="F11" i="6" s="1"/>
  <c r="F11" i="4"/>
  <c r="U17" i="8" l="1"/>
  <c r="X2" i="8"/>
  <c r="T17" i="8"/>
  <c r="Y17" i="8"/>
  <c r="G86" i="6"/>
  <c r="D85" i="6"/>
  <c r="D86" i="6"/>
  <c r="E77" i="6"/>
  <c r="F86" i="6"/>
  <c r="D70" i="6"/>
  <c r="D71" i="6" s="1"/>
  <c r="E62" i="6"/>
  <c r="F71" i="6"/>
  <c r="G62" i="6"/>
  <c r="G71" i="6" s="1"/>
  <c r="F56" i="6"/>
  <c r="G47" i="6"/>
  <c r="G56" i="6" s="1"/>
  <c r="D55" i="6"/>
  <c r="D47" i="6"/>
  <c r="D51" i="6"/>
  <c r="E51" i="6" s="1"/>
  <c r="D40" i="6"/>
  <c r="H40" i="6" s="1"/>
  <c r="H41" i="6" s="1"/>
  <c r="F41" i="6"/>
  <c r="G32" i="6"/>
  <c r="G41" i="6" s="1"/>
  <c r="E40" i="6"/>
  <c r="D36" i="6"/>
  <c r="E36" i="6" s="1"/>
  <c r="D32" i="6"/>
  <c r="D26" i="6"/>
  <c r="E26" i="6"/>
  <c r="F29" i="6"/>
  <c r="D6" i="6"/>
  <c r="E6" i="6" s="1"/>
  <c r="G6" i="6"/>
  <c r="D2" i="6"/>
  <c r="D11" i="6" s="1"/>
  <c r="G2" i="6"/>
  <c r="G11" i="6" s="1"/>
  <c r="D10" i="6"/>
  <c r="G10" i="6"/>
  <c r="G11" i="4"/>
  <c r="AA2" i="8" l="1"/>
  <c r="AA17" i="8" s="1"/>
  <c r="AD2" i="8" s="1"/>
  <c r="AD4" i="8" s="1"/>
  <c r="X17" i="8"/>
  <c r="H85" i="6"/>
  <c r="H86" i="6" s="1"/>
  <c r="E85" i="6"/>
  <c r="E86" i="6" s="1"/>
  <c r="F89" i="6" s="1"/>
  <c r="H70" i="6"/>
  <c r="H71" i="6" s="1"/>
  <c r="E70" i="6"/>
  <c r="E71" i="6" s="1"/>
  <c r="F74" i="6" s="1"/>
  <c r="D56" i="6"/>
  <c r="E47" i="6"/>
  <c r="H55" i="6"/>
  <c r="H56" i="6" s="1"/>
  <c r="E55" i="6"/>
  <c r="D41" i="6"/>
  <c r="E32" i="6"/>
  <c r="E41" i="6" s="1"/>
  <c r="F44" i="6" s="1"/>
  <c r="E2" i="6"/>
  <c r="H10" i="6"/>
  <c r="H11" i="6" s="1"/>
  <c r="E10" i="6"/>
  <c r="H11" i="4"/>
  <c r="E56" i="6" l="1"/>
  <c r="F59" i="6" s="1"/>
  <c r="E11" i="6"/>
  <c r="I11" i="4"/>
  <c r="J11" i="4"/>
</calcChain>
</file>

<file path=xl/sharedStrings.xml><?xml version="1.0" encoding="utf-8"?>
<sst xmlns="http://schemas.openxmlformats.org/spreadsheetml/2006/main" count="362" uniqueCount="117">
  <si>
    <t>Present</t>
  </si>
  <si>
    <t>Year 1</t>
  </si>
  <si>
    <t>Year 2</t>
  </si>
  <si>
    <t>Year 3</t>
  </si>
  <si>
    <t>Year 4</t>
  </si>
  <si>
    <t># of Employees</t>
  </si>
  <si>
    <t>Growth Rate</t>
  </si>
  <si>
    <t>Total</t>
  </si>
  <si>
    <t xml:space="preserve"> </t>
  </si>
  <si>
    <t>Dept. Name</t>
  </si>
  <si>
    <t>Year 5</t>
  </si>
  <si>
    <t>A</t>
  </si>
  <si>
    <t>Marketing</t>
  </si>
  <si>
    <t>Customer Support</t>
  </si>
  <si>
    <t>Engineering</t>
  </si>
  <si>
    <t>Direct/Corporate Sales</t>
  </si>
  <si>
    <t>IT</t>
  </si>
  <si>
    <t>Cold Call Sales Center</t>
  </si>
  <si>
    <t>Accounting</t>
  </si>
  <si>
    <t>Finance</t>
  </si>
  <si>
    <t>Administration</t>
  </si>
  <si>
    <t>Present # of Hosts</t>
  </si>
  <si>
    <t>Annual Growth Rate</t>
  </si>
  <si>
    <t>Department Name</t>
  </si>
  <si>
    <t>Dept.</t>
  </si>
  <si>
    <t>Max Throughput in Mbps</t>
  </si>
  <si>
    <t>Total Employees:</t>
  </si>
  <si>
    <t>Total Hosts:</t>
  </si>
  <si>
    <t>Total Throughput:</t>
  </si>
  <si>
    <t>Dept</t>
  </si>
  <si>
    <t>1</t>
  </si>
  <si>
    <t>2</t>
  </si>
  <si>
    <t>3</t>
  </si>
  <si>
    <t>4</t>
  </si>
  <si>
    <t>5</t>
  </si>
  <si>
    <t>6</t>
  </si>
  <si>
    <t>7</t>
  </si>
  <si>
    <t>8</t>
  </si>
  <si>
    <t>Employees/Admin</t>
  </si>
  <si>
    <t>Employee Sq. Ft</t>
  </si>
  <si>
    <t>Support</t>
  </si>
  <si>
    <t>Support Sq. Ft</t>
  </si>
  <si>
    <t>Admin Sq. Foot</t>
  </si>
  <si>
    <t>Sales</t>
  </si>
  <si>
    <t>Call Center</t>
  </si>
  <si>
    <t>Totals:</t>
  </si>
  <si>
    <t>Total Sq. Ft</t>
  </si>
  <si>
    <t>Elevator Sq. Ft Requirements</t>
  </si>
  <si>
    <t>Average Elevator Depth:</t>
  </si>
  <si>
    <t>Average Elevator Width:</t>
  </si>
  <si>
    <t xml:space="preserve">Elevator Sq. Ft. Requirements: </t>
  </si>
  <si>
    <t>Sq. Ft. Allotment</t>
  </si>
  <si>
    <t>Floors per Building:</t>
  </si>
  <si>
    <t>Walkways, Break Rooms, Restrooms per Building:</t>
  </si>
  <si>
    <t>Total Sq. Ft Required</t>
  </si>
  <si>
    <t>Number of Buildings:</t>
  </si>
  <si>
    <t>Walkways, Break Rooms, Restrooms:</t>
  </si>
  <si>
    <t>Total Space Needed:</t>
  </si>
  <si>
    <t>Space Available:</t>
  </si>
  <si>
    <t>Difference:</t>
  </si>
  <si>
    <t>Usable Sq. Ft per Building:</t>
  </si>
  <si>
    <t>Sq. Ft per Building:</t>
  </si>
  <si>
    <t>Usable Sq. Ft per Floor:</t>
  </si>
  <si>
    <t>Sq. Ft per Floor:</t>
  </si>
  <si>
    <t>For Present Day</t>
  </si>
  <si>
    <t>Floor</t>
  </si>
  <si>
    <t>Employee Count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</si>
  <si>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</si>
  <si>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</si>
  <si>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</si>
  <si>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</si>
  <si>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</si>
  <si>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</si>
  <si>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</si>
  <si>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</si>
  <si>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</si>
  <si>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</si>
  <si>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</si>
  <si>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</si>
  <si>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</si>
  <si>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</si>
  <si>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</si>
  <si>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Host Count</t>
  </si>
  <si>
    <t># of Switches</t>
  </si>
  <si>
    <t>Ft of UTP Cable</t>
  </si>
  <si>
    <t>Hardware</t>
  </si>
  <si>
    <t>HP 5830 Layer 3 Switch</t>
  </si>
  <si>
    <t>Cisco ME 2400 24 Port Ethernet Switch 10/100</t>
  </si>
  <si>
    <t>Netgear WNDPAP620 Access Point</t>
  </si>
  <si>
    <t>Material and Installation Costs</t>
  </si>
  <si>
    <t>From</t>
  </si>
  <si>
    <t>To</t>
  </si>
  <si>
    <t>Underground Cable Length</t>
  </si>
  <si>
    <t>Through Building Length</t>
  </si>
  <si>
    <t>Under Road Cost</t>
  </si>
  <si>
    <t>Underground Cost</t>
  </si>
  <si>
    <t>Total Cost</t>
  </si>
  <si>
    <t>Through Building Cost</t>
  </si>
  <si>
    <t>E</t>
  </si>
  <si>
    <t>D</t>
  </si>
  <si>
    <t>C</t>
  </si>
  <si>
    <t>B</t>
  </si>
  <si>
    <t>Fiber Optic Cable per ft</t>
  </si>
  <si>
    <t>Installation Cost in Building per ft</t>
  </si>
  <si>
    <t>Installation Cost in Ground per ft</t>
  </si>
  <si>
    <t>UTP per foot</t>
  </si>
  <si>
    <t>Wired Installation Under a Road per ft</t>
  </si>
  <si>
    <t>UTP Needed</t>
  </si>
  <si>
    <t>Switches Needed</t>
  </si>
  <si>
    <t>Layer 3 Switches</t>
  </si>
  <si>
    <t>UTP Cost</t>
  </si>
  <si>
    <t>Switch Cost</t>
  </si>
  <si>
    <t>Access Points Needed</t>
  </si>
  <si>
    <t>Access Point Cost</t>
  </si>
  <si>
    <t>Cost</t>
  </si>
  <si>
    <t>Internal Equipment</t>
  </si>
  <si>
    <t>Backbone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</si>
</sst>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6" fontId="0" fillId="0" borderId="0" xfId="0" applyNumberFormat="1"/>
    <xf numFmtId="0" fontId="2" fillId="0" borderId="2" xfId="0" applyFont="1" applyBorder="1" applyAlignment="1"/>
    <xf numFmtId="0" fontId="2" fillId="2" borderId="2" xfId="0" applyFont="1" applyFill="1" applyBorder="1" applyAlignment="1"/>
    <xf numFmtId="0" fontId="0" fillId="0" borderId="2" xfId="0" applyFont="1" applyBorder="1" applyAlignment="1"/>
    <xf numFmtId="0" fontId="0" fillId="2" borderId="2" xfId="0" applyFont="1" applyFill="1" applyBorder="1" applyAlignment="1"/>
    <xf numFmtId="0" fontId="0" fillId="0" borderId="0" xfId="0" applyFont="1" applyFill="1" applyBorder="1" applyAlignment="1"/>
    <xf numFmtId="44" fontId="0" fillId="2" borderId="2" xfId="2" applyFont="1" applyFill="1" applyBorder="1"/>
    <xf numFmtId="44" fontId="0" fillId="0" borderId="2" xfId="2" applyFont="1" applyBorder="1"/>
    <xf numFmtId="44" fontId="0" fillId="0" borderId="2" xfId="2" applyFont="1" applyBorder="1" applyAlignment="1"/>
    <xf numFmtId="44" fontId="0" fillId="0" borderId="0" xfId="0" applyNumberFormat="1"/>
    <xf numFmtId="44" fontId="0" fillId="0" borderId="0" xfId="2" applyFont="1"/>
    <xf numFmtId="0" fontId="0" fillId="0" borderId="0" xfId="1" applyNumberFormat="1" applyFon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25">
    <dxf>
      <alignment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9E427-B09C-4E86-B8FF-DA0E2D4CF2E1}" name="Table3" displayName="Table3" ref="A1:C7" totalsRowShown="0" headerRowDxfId="212" dataDxfId="211">
  <autoFilter ref="A1:C7" xr:uid="{2EC625EC-DC24-4B06-B846-AEFFF090672B}"/>
  <tableColumns count="3">
    <tableColumn id="1" xr3:uid="{24037EB0-C7D6-4D8E-B1CC-2992C88D3D3E}" name=" " dataDxfId="215"/>
    <tableColumn id="2" xr3:uid="{EF79551B-E321-4C47-B9D3-B790131DA590}" name="# of Employees" dataDxfId="214">
      <calculatedColumnFormula>ROUNDUP(((B1*C2) + B1),0)</calculatedColumnFormula>
    </tableColumn>
    <tableColumn id="3" xr3:uid="{07ED661F-FB22-4AD6-A158-60B07F131022}" name="Growth Rate" dataDxfId="213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CB92AB8-F2E5-448E-9451-8E625228F1C6}" name="Table917" displayName="Table917" ref="A56:J65" totalsRowShown="0" headerRowDxfId="157" dataDxfId="156">
  <autoFilter ref="A56:J65" xr:uid="{CBF1ABC0-3CBB-48DB-BB94-8ACCCC2C90CC}"/>
  <tableColumns count="10">
    <tableColumn id="1" xr3:uid="{FD41A8A8-952D-4076-BBE9-52DDB75552EB}" name="Dept" dataDxfId="155"/>
    <tableColumn id="2" xr3:uid="{A7D32C99-074C-4581-9365-78CFDDD881E8}" name="1" dataDxfId="118">
      <calculatedColumnFormula>(B46*0.12) + B46</calculatedColumnFormula>
    </tableColumn>
    <tableColumn id="3" xr3:uid="{9115EB0D-7EBB-4CB1-9A7C-CE5EF572ADA8}" name="2" dataDxfId="130"/>
    <tableColumn id="4" xr3:uid="{DEB1A5F1-8304-4AEA-8ACD-EDA146DC20EC}" name="3" dataDxfId="129"/>
    <tableColumn id="5" xr3:uid="{CABD126C-2EEE-41EB-A333-1BD945A70FD3}" name="4" dataDxfId="128"/>
    <tableColumn id="6" xr3:uid="{BE84A3A5-1D9A-4056-8D95-79A66BBA07BF}" name="5" dataDxfId="127"/>
    <tableColumn id="7" xr3:uid="{723295CB-E77E-4EB9-B017-B753B8AD98A9}" name="6" dataDxfId="126"/>
    <tableColumn id="8" xr3:uid="{CE2D5A17-CB09-4E64-AB21-A2DCA03B763A}" name="7" dataDxfId="125"/>
    <tableColumn id="9" xr3:uid="{C1C35048-F620-45DA-9F26-CC3C79230B91}" name="8" dataDxfId="124"/>
    <tableColumn id="10" xr3:uid="{9659799F-6D88-432E-B171-FA47D0EE40BA}" name="A" dataDxfId="123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D5AEFF-4DCB-4481-B5A8-C2E932986491}" name="Table17" displayName="Table17" ref="A1:H14" totalsRowShown="0" headerRowDxfId="109" dataDxfId="108">
  <autoFilter ref="A1:H14" xr:uid="{E83D3254-16E3-4638-AC4E-560F810B7ECB}"/>
  <tableColumns count="8">
    <tableColumn id="1" xr3:uid="{1948B341-3CF9-43A1-B07E-4A60E17384F4}" name="Dept." dataDxfId="117"/>
    <tableColumn id="2" xr3:uid="{AA541C73-F41C-4241-A73A-ACA56CBA0C4F}" name="Dept. Name" dataDxfId="116"/>
    <tableColumn id="3" xr3:uid="{4D65BE5E-3435-42E6-81CE-B549F5FD1CAE}" name="Present" dataDxfId="115">
      <calculatedColumnFormula>Table5[[#This Row],[Present]]</calculatedColumnFormula>
    </tableColumn>
    <tableColumn id="4" xr3:uid="{81CFB78A-0C4B-403A-8815-7C76B93A65E4}" name="Employees/Admin" dataDxfId="114">
      <calculatedColumnFormula>C2-F2</calculatedColumnFormula>
    </tableColumn>
    <tableColumn id="5" xr3:uid="{509C7588-D9D0-428B-97FF-F15122B8F929}" name="Employee Sq. Ft" dataDxfId="113">
      <calculatedColumnFormula>180*D2</calculatedColumnFormula>
    </tableColumn>
    <tableColumn id="6" xr3:uid="{4D907DEF-90E1-4336-8F25-5848F95E4800}" name="Support" dataDxfId="112">
      <calculatedColumnFormula>ROUNDUP((C2*0.1),0)</calculatedColumnFormula>
    </tableColumn>
    <tableColumn id="7" xr3:uid="{6C382ACF-44F4-430D-8A38-EBE2DC7461D5}" name="Support Sq. Ft" dataDxfId="111">
      <calculatedColumnFormula>100*F2</calculatedColumnFormula>
    </tableColumn>
    <tableColumn id="8" xr3:uid="{1987A8FE-3826-4B25-85E3-E090C280FF69}" name="Admin Sq. Foot" dataDxfId="110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ADD2FB4-F518-4468-AAA0-D7C9D4A41F23}" name="Table1719" displayName="Table1719" ref="A16:H29" totalsRowShown="0" headerRowDxfId="107" dataDxfId="106">
  <autoFilter ref="A16:H29" xr:uid="{F612C143-D1E4-45C1-BDB2-84042701E791}"/>
  <tableColumns count="8">
    <tableColumn id="1" xr3:uid="{344E8097-70A3-4585-8384-C190E4A6BE88}" name="Dept." dataDxfId="105"/>
    <tableColumn id="2" xr3:uid="{45178C12-8FED-4651-8276-036D42A0FE0D}" name="Dept. Name" dataDxfId="104"/>
    <tableColumn id="3" xr3:uid="{245435F9-66D7-4ABB-9DAB-7A369DC380E5}" name="Present" dataDxfId="103">
      <calculatedColumnFormula>Table5[[#This Row],[Present]]</calculatedColumnFormula>
    </tableColumn>
    <tableColumn id="4" xr3:uid="{4BDAF9E9-9AF5-4533-9682-66100F5B8D68}" name="Employees/Admin" dataDxfId="102">
      <calculatedColumnFormula>C17-F17</calculatedColumnFormula>
    </tableColumn>
    <tableColumn id="5" xr3:uid="{013C6296-87BC-4047-891A-BD9D9CB86322}" name="Employee Sq. Ft" dataDxfId="101">
      <calculatedColumnFormula>180*D17</calculatedColumnFormula>
    </tableColumn>
    <tableColumn id="6" xr3:uid="{610DBCCF-44F8-4BB5-9C17-8F71B67B7D8A}" name="Support" dataDxfId="100">
      <calculatedColumnFormula>ROUNDUP((C17*0.1),0)</calculatedColumnFormula>
    </tableColumn>
    <tableColumn id="7" xr3:uid="{F466282F-5C18-462C-969F-588EF15F5FB2}" name="Support Sq. Ft" dataDxfId="99">
      <calculatedColumnFormula>100*F17</calculatedColumnFormula>
    </tableColumn>
    <tableColumn id="8" xr3:uid="{3ABFC596-A069-4C68-BBCE-733A2CD5079C}" name="Admin Sq. Foot" dataDxfId="98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D771BB-697F-4783-94EA-0E0F96C8EA6F}" name="Table171920" displayName="Table171920" ref="A31:H44" totalsRowShown="0" headerRowDxfId="97" dataDxfId="96">
  <autoFilter ref="A31:H44" xr:uid="{D725B02C-CE6B-4106-A947-419DE40D1EB6}"/>
  <tableColumns count="8">
    <tableColumn id="1" xr3:uid="{4DBC0EE4-37C9-4F4B-A278-979750A59028}" name="Dept." dataDxfId="95"/>
    <tableColumn id="2" xr3:uid="{725CEA0D-7096-4797-A0F6-B7C91FCA722E}" name="Dept. Name" dataDxfId="94"/>
    <tableColumn id="3" xr3:uid="{CCADF3F7-3CF8-4A12-B71E-04DF849AF26D}" name="Present" dataDxfId="93">
      <calculatedColumnFormula>Table5[[#This Row],[Present]]</calculatedColumnFormula>
    </tableColumn>
    <tableColumn id="4" xr3:uid="{DFE584B7-6EA8-4373-9DA6-B557D55F6DDD}" name="Employees/Admin" dataDxfId="92">
      <calculatedColumnFormula>C32-F32</calculatedColumnFormula>
    </tableColumn>
    <tableColumn id="5" xr3:uid="{5F5DE547-6A7E-43C2-8ACD-29876CD0D2F4}" name="Employee Sq. Ft" dataDxfId="91">
      <calculatedColumnFormula>180*D32</calculatedColumnFormula>
    </tableColumn>
    <tableColumn id="6" xr3:uid="{1D8E5D98-AD31-4841-A02A-5A330FED0AAE}" name="Support" dataDxfId="90">
      <calculatedColumnFormula>ROUNDUP((C32*0.1),0)</calculatedColumnFormula>
    </tableColumn>
    <tableColumn id="7" xr3:uid="{5AE79B90-E47C-4A1D-860C-9FDA62E4AF5E}" name="Support Sq. Ft" dataDxfId="89">
      <calculatedColumnFormula>100*F32</calculatedColumnFormula>
    </tableColumn>
    <tableColumn id="8" xr3:uid="{00C0FECA-D353-478A-A229-03EA6FEF0CB1}" name="Admin Sq. Foot" dataDxfId="88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8732FD-A3D6-4EF3-882A-1661A0CC3ABB}" name="Table17192021" displayName="Table17192021" ref="A46:H59" totalsRowShown="0" headerRowDxfId="87" dataDxfId="86">
  <autoFilter ref="A46:H59" xr:uid="{B35BDB7A-65C9-4604-8FEB-7B341A59C034}"/>
  <tableColumns count="8">
    <tableColumn id="1" xr3:uid="{8B905C15-4F78-47F7-BFBC-D3F12FA9EFF7}" name="Dept." dataDxfId="85"/>
    <tableColumn id="2" xr3:uid="{72CD40AA-DC2B-4595-97B7-3C9280F838E4}" name="Dept. Name" dataDxfId="84"/>
    <tableColumn id="3" xr3:uid="{A58221DA-7A1A-4EDE-B6D8-8FA9747337B0}" name="Present" dataDxfId="83">
      <calculatedColumnFormula>Table5[[#This Row],[Present]]</calculatedColumnFormula>
    </tableColumn>
    <tableColumn id="4" xr3:uid="{BE872B90-8B70-4508-9C5A-73E961FEAB88}" name="Employees/Admin" dataDxfId="82">
      <calculatedColumnFormula>C47-F47</calculatedColumnFormula>
    </tableColumn>
    <tableColumn id="5" xr3:uid="{44FC1B39-E117-4238-A7AB-5A454AC2228E}" name="Employee Sq. Ft" dataDxfId="81">
      <calculatedColumnFormula>180*D47</calculatedColumnFormula>
    </tableColumn>
    <tableColumn id="6" xr3:uid="{29B54486-CBCA-4C76-A112-F92F3CC0EF37}" name="Support" dataDxfId="80">
      <calculatedColumnFormula>ROUNDUP((C47*0.1),0)</calculatedColumnFormula>
    </tableColumn>
    <tableColumn id="7" xr3:uid="{97911C76-FA9D-402C-946B-F9D3A8EC86C5}" name="Support Sq. Ft" dataDxfId="79">
      <calculatedColumnFormula>100*F47</calculatedColumnFormula>
    </tableColumn>
    <tableColumn id="8" xr3:uid="{B95C76CA-4DF7-444E-B9EB-07739430DAA0}" name="Admin Sq. Foot" dataDxfId="78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C719FC0-5CF8-4F9E-9024-188FAB08B44A}" name="Table1719202122" displayName="Table1719202122" ref="A61:H74" totalsRowShown="0" headerRowDxfId="77" dataDxfId="76">
  <autoFilter ref="A61:H74" xr:uid="{675B2E65-8DBF-4CDA-B71B-4D85B86BFBAA}"/>
  <tableColumns count="8">
    <tableColumn id="1" xr3:uid="{A17A4E6A-2909-4987-9D36-18FF340A9162}" name="Dept." dataDxfId="75"/>
    <tableColumn id="2" xr3:uid="{BC191142-7A66-4727-9BD6-887E78B9666A}" name="Dept. Name" dataDxfId="74"/>
    <tableColumn id="3" xr3:uid="{69836674-45CE-4F5F-AA79-2A3A5358E436}" name="Present" dataDxfId="73">
      <calculatedColumnFormula>Table5[[#This Row],[Present]]</calculatedColumnFormula>
    </tableColumn>
    <tableColumn id="4" xr3:uid="{4809A22A-1C21-4FD7-B3CA-B7B3C1C4D898}" name="Employees/Admin" dataDxfId="72">
      <calculatedColumnFormula>C62-F62</calculatedColumnFormula>
    </tableColumn>
    <tableColumn id="5" xr3:uid="{21A60EC6-DD95-4342-9D59-3D5374AD8549}" name="Employee Sq. Ft" dataDxfId="71">
      <calculatedColumnFormula>180*D62</calculatedColumnFormula>
    </tableColumn>
    <tableColumn id="6" xr3:uid="{235EBA29-34FA-4814-8C19-936B0E8D4842}" name="Support" dataDxfId="70">
      <calculatedColumnFormula>ROUNDUP((C62*0.1),0)</calculatedColumnFormula>
    </tableColumn>
    <tableColumn id="7" xr3:uid="{45576007-E614-4E82-A670-D64235FADE22}" name="Support Sq. Ft" dataDxfId="69">
      <calculatedColumnFormula>100*F62</calculatedColumnFormula>
    </tableColumn>
    <tableColumn id="8" xr3:uid="{08C4C0D4-070A-4474-8774-0E6C5D2B1390}" name="Admin Sq. Foot" dataDxfId="68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2D0B04F-1A82-4A2D-BBD1-8E5DBADAAD9A}" name="Table171920212223" displayName="Table171920212223" ref="A76:H89" totalsRowShown="0" headerRowDxfId="67" dataDxfId="66">
  <autoFilter ref="A76:H89" xr:uid="{534C318E-28BC-448F-915E-9A7A168C46CC}"/>
  <tableColumns count="8">
    <tableColumn id="1" xr3:uid="{A1EDCEC5-2B11-4972-9E53-F5C6369F0CC6}" name="Dept." dataDxfId="65"/>
    <tableColumn id="2" xr3:uid="{2E294F3A-5C55-44FD-B5CF-B27519EF01A7}" name="Dept. Name" dataDxfId="64"/>
    <tableColumn id="3" xr3:uid="{301F4302-347F-4DBC-91E3-CB2001E6E227}" name="Present" dataDxfId="63">
      <calculatedColumnFormula>Table5[[#This Row],[Present]]</calculatedColumnFormula>
    </tableColumn>
    <tableColumn id="4" xr3:uid="{0DE4E4F1-DADE-43F7-BA06-1EFD8CBBA59A}" name="Employees/Admin" dataDxfId="62">
      <calculatedColumnFormula>C77-F77</calculatedColumnFormula>
    </tableColumn>
    <tableColumn id="5" xr3:uid="{72B0FE5F-0383-4162-BEF8-92640998C0B2}" name="Employee Sq. Ft" dataDxfId="61">
      <calculatedColumnFormula>180*D77</calculatedColumnFormula>
    </tableColumn>
    <tableColumn id="6" xr3:uid="{B74AA602-390A-412D-9881-72AF64C649E3}" name="Support" dataDxfId="60">
      <calculatedColumnFormula>ROUNDUP((C77*0.1),0)</calculatedColumnFormula>
    </tableColumn>
    <tableColumn id="7" xr3:uid="{E7C22680-FF6D-4C21-9039-C1A487940B8D}" name="Support Sq. Ft" dataDxfId="59">
      <calculatedColumnFormula>100*F77</calculatedColumnFormula>
    </tableColumn>
    <tableColumn id="8" xr3:uid="{77083F4A-BE09-492E-8DED-366ED27962F0}" name="Admin Sq. Foot" dataDxfId="58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CFD6FBF-E5C5-4E1E-9164-EBB21CB98B19}" name="Table24" displayName="Table24" ref="A5:B21" headerRowCount="0" totalsRowShown="0">
  <tableColumns count="2">
    <tableColumn id="1" xr3:uid="{8788775A-410D-4970-A756-07370076E6F7}" name="Column1" headerRowDxfId="24" dataDxfId="25"/>
    <tableColumn id="2" xr3:uid="{577C2247-41DE-4417-9F2D-CD674E8A3706}" name="Column2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445D761-0762-46C3-8856-138E26BB15C4}" name="Table25" displayName="Table25" ref="A1:E16" totalsRowShown="0">
  <autoFilter ref="A1:E16" xr:uid="{491954C7-5C14-452E-8B81-CEDBCB9D46DD}"/>
  <tableColumns count="5">
    <tableColumn id="1" xr3:uid="{E20964C5-1E9E-4D25-906A-0B90F3CC3F70}" name="Floor"/>
    <tableColumn id="2" xr3:uid="{43E6A86B-D76A-45BD-8028-E9D2417554BA}" name="Employee Count"/>
    <tableColumn id="3" xr3:uid="{B0EC1062-0AB4-455D-A925-812AE8016C55}" name="Host Count">
      <calculatedColumnFormula>ROUNDUP((B2*1.17),0)</calculatedColumnFormula>
    </tableColumn>
    <tableColumn id="4" xr3:uid="{76615EBC-A429-4159-9D99-D4F5AFE97732}" name="Ft of UTP Cable">
      <calculatedColumnFormula>C2*45.07</calculatedColumnFormula>
    </tableColumn>
    <tableColumn id="5" xr3:uid="{1C1FD2C2-8066-4A0A-84D0-FCB91AE0D1A7}" name="# of Switches">
      <calculatedColumnFormula>ROUNDUP((C2/24),0)</calculatedColumnFormula>
    </tableColumn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F8029B0-4DE8-4D70-8825-40D776A1EB13}" name="Table29" displayName="Table29" ref="J1:Q7" totalsRowCount="1" headerRowDxfId="0">
  <autoFilter ref="J1:Q6" xr:uid="{D8FF468A-0AE7-4050-802A-890C24C2CA79}"/>
  <tableColumns count="8">
    <tableColumn id="1" xr3:uid="{383A3FEA-93B2-4951-988F-4A0B94CC4104}" name="From" totalsRowLabel="Total" dataDxfId="23" totalsRowDxfId="17"/>
    <tableColumn id="2" xr3:uid="{166FDCF7-1235-4B84-9E18-377EC6236BD7}" name="To" dataDxfId="22" totalsRowDxfId="16"/>
    <tableColumn id="3" xr3:uid="{EC4D090E-E128-475D-BCA6-16CEEFB46C82}" name="Underground Cable Length" totalsRowFunction="custom" totalsRowDxfId="10">
      <totalsRowFormula>SUM(Table29[Underground Cable Length])</totalsRowFormula>
    </tableColumn>
    <tableColumn id="4" xr3:uid="{C1705E2B-A464-4D21-93EC-01B02F6C1BFB}" name="Through Building Length" totalsRowFunction="custom" totalsRowDxfId="11" totalsRowCellStyle="Comma">
      <totalsRowFormula>SUM(Table29[Through Building Length])</totalsRowFormula>
    </tableColumn>
    <tableColumn id="5" xr3:uid="{1728B349-35F3-428A-A7D9-F0B5583DC9E4}" name="Under Road Cost" totalsRowFunction="custom" dataDxfId="21" totalsRowDxfId="15" dataCellStyle="Currency">
      <totalsRowFormula>SUM(Table29[Under Road Cost])</totalsRowFormula>
    </tableColumn>
    <tableColumn id="6" xr3:uid="{2D006B3D-AD13-4346-8FB7-EAF9208CA8F9}" name="Underground Cost" totalsRowFunction="custom" dataDxfId="20" totalsRowDxfId="14">
      <calculatedColumnFormula>(L2*$H$2) +($H$4*L2)</calculatedColumnFormula>
      <totalsRowFormula>SUM(Table29[Underground Cost])</totalsRowFormula>
    </tableColumn>
    <tableColumn id="7" xr3:uid="{50F7586C-C47D-4F44-92EF-20CB464C7A73}" name="Through Building Cost" totalsRowFunction="custom" dataDxfId="19" totalsRowDxfId="13">
      <calculatedColumnFormula>(M2*$H$3) + (M2*$H$2)</calculatedColumnFormula>
      <totalsRowFormula>SUM(Table29[Through Building Cost])</totalsRowFormula>
    </tableColumn>
    <tableColumn id="8" xr3:uid="{1B0A4BB9-1CC4-4F42-963A-CBAC1C4B86B8}" name="Total Cost" totalsRowFunction="custom" dataDxfId="18" totalsRowDxfId="12">
      <calculatedColumnFormula>SUM(N2:P2)</calculatedColumnFormula>
      <totalsRowFormula>SUM(Table29[Total Cost])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5E67A3-1B37-4B4A-9FA3-9AAE72965913}" name="Table5" displayName="Table5" ref="A1:I11" totalsRowCount="1" headerRowDxfId="217" dataDxfId="216">
  <autoFilter ref="A1:I10" xr:uid="{568A530C-959A-415B-92F5-7A8B8C69015D}"/>
  <tableColumns count="9">
    <tableColumn id="1" xr3:uid="{F33DE233-CECD-481D-938F-F6F867A90115}" name="Dept." dataDxfId="209"/>
    <tableColumn id="2" xr3:uid="{026AA9DA-9045-4C17-A26A-987FAAAAEAC6}" name="Dept. Name" dataDxfId="210"/>
    <tableColumn id="3" xr3:uid="{5E35F9D8-FE25-47B2-AD6D-20D86FA130B4}" name="Annual Growth Rate" totalsRowLabel="Total Employees:" dataDxfId="224" totalsRowDxfId="57"/>
    <tableColumn id="4" xr3:uid="{4E610628-AD97-4CBB-9341-B8110E346FE3}" name="Present" totalsRowFunction="sum" dataDxfId="223" totalsRowDxfId="56"/>
    <tableColumn id="5" xr3:uid="{2B7601D4-79C4-4700-8B75-1D858DBF610B}" name="Year 1" totalsRowFunction="sum" dataDxfId="222" totalsRowDxfId="55">
      <calculatedColumnFormula>ROUNDUP(((D2 * $C2) + D2),0)</calculatedColumnFormula>
    </tableColumn>
    <tableColumn id="6" xr3:uid="{88A8FE1E-4A12-435A-BE67-D3EE5938A6DA}" name="Year 2" totalsRowFunction="sum" dataDxfId="221" totalsRowDxfId="54">
      <calculatedColumnFormula>ROUNDUP(((E2 * $C2) + E2),0)</calculatedColumnFormula>
    </tableColumn>
    <tableColumn id="7" xr3:uid="{5978D03E-6ED4-4F3A-812C-77A3C2B815DA}" name="Year 3" totalsRowFunction="sum" dataDxfId="220" totalsRowDxfId="53">
      <calculatedColumnFormula>ROUNDUP(((F2 * $C2) + F2),0)</calculatedColumnFormula>
    </tableColumn>
    <tableColumn id="8" xr3:uid="{62C7B410-517E-4904-8D51-ACDE975593FE}" name="Year 4" totalsRowFunction="sum" dataDxfId="219" totalsRowDxfId="52">
      <calculatedColumnFormula>ROUNDUP(((G2 * $C2) + G2),0)</calculatedColumnFormula>
    </tableColumn>
    <tableColumn id="9" xr3:uid="{441CFE73-E94B-4C93-A899-7AED2CD08D12}" name="Year 5" totalsRowFunction="sum" dataDxfId="218" totalsRowDxfId="51">
      <calculatedColumnFormula>ROUNDUP(((H2 * $C2) + H2),0)</calculatedColumnFormula>
    </tableColumn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A4B356C-F603-4746-87D5-44CB7335B41D}" name="Table30" displayName="Table30" ref="S1:AA17" totalsRowCount="1">
  <autoFilter ref="S1:AA16" xr:uid="{F99B69DA-FFCB-4752-BA82-D11AE65611C1}"/>
  <tableColumns count="9">
    <tableColumn id="1" xr3:uid="{FD578D9A-EA3E-4FC2-99AC-E38C812FBECB}" name="Floor" totalsRowLabel="Total"/>
    <tableColumn id="2" xr3:uid="{EDC4BDDB-5471-4893-A137-F143361EC9E1}" name="UTP Needed" totalsRowFunction="custom">
      <calculatedColumnFormula>Table25[[#This Row],[Ft of UTP Cable]]</calculatedColumnFormula>
      <totalsRowFormula>SUM(Table30[UTP Needed])</totalsRowFormula>
    </tableColumn>
    <tableColumn id="3" xr3:uid="{1276B9E0-000F-4F82-BC22-373D289C50B1}" name="Switches Needed" totalsRowFunction="custom">
      <calculatedColumnFormula>Table25[[#This Row],['# of Switches]] +1</calculatedColumnFormula>
      <totalsRowFormula>SUM(Table30[Switches Needed])</totalsRowFormula>
    </tableColumn>
    <tableColumn id="4" xr3:uid="{0F37D2D9-2A8E-47A8-9C56-6EEEF4312EE0}" name="Layer 3 Switches" totalsRowFunction="custom">
      <totalsRowFormula>SUM(Table30[Layer 3 Switches])</totalsRowFormula>
    </tableColumn>
    <tableColumn id="5" xr3:uid="{7A2B7120-F70C-4819-ACEB-3ABCBE5D4567}" name="Access Points Needed" totalsRowFunction="custom">
      <totalsRowFormula>SUM(Table30[Access Points Needed])</totalsRowFormula>
    </tableColumn>
    <tableColumn id="6" xr3:uid="{656004C1-A3A9-4389-A74A-AB795B7A64E3}" name="UTP Cost" totalsRowFunction="custom" dataDxfId="9" totalsRowDxfId="5">
      <calculatedColumnFormula>(T2*$H$5)+(T2*$H$6)</calculatedColumnFormula>
      <totalsRowFormula>SUM(Table30[UTP Cost])</totalsRowFormula>
    </tableColumn>
    <tableColumn id="7" xr3:uid="{4192EDBE-671A-4E55-8E9E-40FE68A39042}" name="Switch Cost" totalsRowFunction="custom" dataDxfId="8" totalsRowDxfId="4">
      <calculatedColumnFormula>(U2*$H$11)+(V2*$H$10)</calculatedColumnFormula>
      <totalsRowFormula>SUM(Table30[Switch Cost])</totalsRowFormula>
    </tableColumn>
    <tableColumn id="8" xr3:uid="{CA1B5A42-478D-4106-9E5F-9B8F982241AE}" name="Access Point Cost" totalsRowFunction="custom" dataDxfId="7" totalsRowDxfId="3">
      <calculatedColumnFormula>W2*$H$12</calculatedColumnFormula>
      <totalsRowFormula>SUM(Table30[Access Point Cost])</totalsRowFormula>
    </tableColumn>
    <tableColumn id="9" xr3:uid="{9AC5E41C-EB5A-458B-AFDD-834F1EE105EF}" name="Total Cost" totalsRowFunction="custom" dataDxfId="6" totalsRowDxfId="2">
      <calculatedColumnFormula>SUM(X2:Z2)</calculatedColumnFormula>
      <totalsRowFormula>SUM(Table30[Total Cost])</totalsRow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B91208A-53DD-47BF-A2E6-0341B27261E7}" name="Table31" displayName="Table31" ref="AC1:AD4" totalsRowCount="1">
  <autoFilter ref="AC1:AD3" xr:uid="{232A656D-077C-444B-9219-C005E5752BE9}"/>
  <tableColumns count="2">
    <tableColumn id="1" xr3:uid="{01F03DCE-131E-4CE3-8FC4-E6E443BD19A0}" name="Cost" totalsRowLabel="Total"/>
    <tableColumn id="2" xr3:uid="{9194FD74-E37D-45BF-A2B7-3C4C133B8574}" name="Total" totalsRowFunction="sum" dataDxfId="1">
      <calculatedColumnFormula>Table29[[#Totals],[Total Cost]]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FCD400-2AEC-494A-B97F-BAFC2E06672E}" name="Table57" displayName="Table57" ref="A1:J11" totalsRowCount="1" headerRowDxfId="201" dataDxfId="200">
  <autoFilter ref="A1:J10" xr:uid="{1A4D6A46-159E-4A75-9351-8DAD44A6745D}"/>
  <tableColumns count="10">
    <tableColumn id="1" xr3:uid="{55DB9F4F-F84C-4A50-86F7-1E3D4C31AF16}" name="Dept." dataDxfId="208" totalsRowDxfId="199"/>
    <tableColumn id="2" xr3:uid="{CF0DD866-0B0F-4D2A-B1A2-DFBA6CE9A8D5}" name="Present # of Hosts" dataDxfId="207" totalsRowDxfId="198">
      <calculatedColumnFormula>ROUNDUP((Table5[[#This Row],[Present]] * (389/348)),0)</calculatedColumnFormula>
    </tableColumn>
    <tableColumn id="10" xr3:uid="{85BB4D40-E5F9-4AEE-9D71-DA5459A6327F}" name="Max Throughput in Mbps" dataDxfId="206" totalsRowDxfId="197"/>
    <tableColumn id="3" xr3:uid="{2EAB28A8-F1B7-4562-9D6E-8D825AB51B85}" name="Annual Growth Rate" dataDxfId="50" totalsRowDxfId="196"/>
    <tableColumn id="4" xr3:uid="{6D185A38-3071-4268-B336-BB7B84F9E4BD}" name="Department Name" totalsRowLabel="Total Hosts:" dataDxfId="48" totalsRowDxfId="195"/>
    <tableColumn id="5" xr3:uid="{EA934EB6-03CE-4726-AB80-BF7B9BE8DA52}" name="Year 1" totalsRowFunction="sum" dataDxfId="49" totalsRowDxfId="194">
      <calculatedColumnFormula>ROUNDUP((B2 * $D2) + B2,0)</calculatedColumnFormula>
    </tableColumn>
    <tableColumn id="6" xr3:uid="{43D53480-2CE8-48C7-90DB-94026CA90758}" name="Year 2" totalsRowFunction="sum" dataDxfId="205" totalsRowDxfId="193">
      <calculatedColumnFormula>ROUNDUP((F2 * $D2) + F2,0)</calculatedColumnFormula>
    </tableColumn>
    <tableColumn id="7" xr3:uid="{87370F4D-79DC-4898-85E7-B8114E13067A}" name="Year 3" totalsRowFunction="sum" dataDxfId="204" totalsRowDxfId="192">
      <calculatedColumnFormula>ROUNDUP(((G2 * $D2) + G2),0)</calculatedColumnFormula>
    </tableColumn>
    <tableColumn id="8" xr3:uid="{73FB23D8-C369-4968-A73D-1C9062CBB71F}" name="Year 4" totalsRowFunction="sum" dataDxfId="203" totalsRowDxfId="191">
      <calculatedColumnFormula>ROUNDUP(((H2 * $D2) + H2),0)</calculatedColumnFormula>
    </tableColumn>
    <tableColumn id="9" xr3:uid="{A449A0EB-D1FF-4DEC-BB8B-7FF90B00BE8C}" name="Year 5" totalsRowFunction="sum" dataDxfId="202" totalsRowDxfId="190">
      <calculatedColumnFormula>ROUNDUP(((I2 * $D2) + I2),0)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4164C7-A6D8-4360-A944-CDA09B41FD1A}" name="Table579" displayName="Table579" ref="A1:J11" totalsRowCount="1" headerRowDxfId="47" dataDxfId="46">
  <autoFilter ref="A1:J10" xr:uid="{20BC78C8-31D1-4024-94A4-CFF11F14FEFA}"/>
  <tableColumns count="10">
    <tableColumn id="1" xr3:uid="{4F91FB67-07EB-42C5-AD03-1A232AB6F2E1}" name="Dept." dataDxfId="45" totalsRowDxfId="44"/>
    <tableColumn id="2" xr3:uid="{28886475-0A8C-4B1F-92EB-44CE57B894F2}" name="Present # of Hosts" dataDxfId="43" totalsRowDxfId="42">
      <calculatedColumnFormula>ROUNDUP((Table5[[#This Row],[Present]] * (389/348)),0)</calculatedColumnFormula>
    </tableColumn>
    <tableColumn id="10" xr3:uid="{5CFF8A01-E82B-4877-A891-479545B01E39}" name="Max Throughput in Mbps" dataDxfId="41" totalsRowDxfId="40"/>
    <tableColumn id="3" xr3:uid="{26E42B67-9EC1-4DC5-ABF3-B2991DE79C17}" name="Annual Growth Rate" dataDxfId="28" totalsRowDxfId="39"/>
    <tableColumn id="4" xr3:uid="{25DE059C-64D1-4A2F-91D6-302C0FD2DA57}" name="Department Name" totalsRowLabel="Total Throughput:" dataDxfId="26" totalsRowDxfId="38"/>
    <tableColumn id="5" xr3:uid="{005D5DBD-88FF-460F-A1C4-7EEA25455FDE}" name="Year 1" totalsRowFunction="sum" dataDxfId="27" totalsRowDxfId="37">
      <calculatedColumnFormula>ROUNDUP((C2 * $D2) + C2,2)</calculatedColumnFormula>
    </tableColumn>
    <tableColumn id="6" xr3:uid="{22504C78-EA6B-4150-9948-4DF01AB6DF1A}" name="Year 2" totalsRowFunction="sum" dataDxfId="36" totalsRowDxfId="35">
      <calculatedColumnFormula>ROUNDUP((F2 * $D2) + F2,2)</calculatedColumnFormula>
    </tableColumn>
    <tableColumn id="7" xr3:uid="{C9F9C243-EE85-47F4-9D30-57703AA588A3}" name="Year 3" totalsRowFunction="sum" dataDxfId="34" totalsRowDxfId="33">
      <calculatedColumnFormula>ROUNDUP(((G2 * $D2) + G2),0)</calculatedColumnFormula>
    </tableColumn>
    <tableColumn id="8" xr3:uid="{0A7388BC-889E-454D-ADF3-D8AA207B7067}" name="Year 4" totalsRowFunction="sum" dataDxfId="32" totalsRowDxfId="31">
      <calculatedColumnFormula>ROUNDUP(((H2 * $D2) + H2),0)</calculatedColumnFormula>
    </tableColumn>
    <tableColumn id="9" xr3:uid="{17BFB054-484F-485D-8272-DCC306476262}" name="Year 5" totalsRowFunction="sum" dataDxfId="30" totalsRowDxfId="29">
      <calculatedColumnFormula>ROUNDUP(((I2 * $D2) + I2),0)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6F8B99-21F5-437C-97C1-50A23244CA29}" name="Table9" displayName="Table9" ref="A1:J10" totalsRowShown="0" headerRowDxfId="179" dataDxfId="178">
  <autoFilter ref="A1:J10" xr:uid="{072F0A88-B327-4B1A-973E-54FDBE9BA5E0}"/>
  <tableColumns count="10">
    <tableColumn id="1" xr3:uid="{42222AF3-8D45-4BDA-9FDC-19691CD37C56}" name="Dept" dataDxfId="189"/>
    <tableColumn id="2" xr3:uid="{AA077F90-8F85-472B-9C7A-CCE3A2692149}" name="1" dataDxfId="188"/>
    <tableColumn id="3" xr3:uid="{84E12A90-32F3-4C2D-9818-DD6E31CA1025}" name="2" dataDxfId="187"/>
    <tableColumn id="4" xr3:uid="{D95AEA4B-2012-49FD-9CB8-92C677A2A861}" name="3" dataDxfId="186"/>
    <tableColumn id="5" xr3:uid="{21FB083E-E6C7-412E-ADCC-9168462DB619}" name="4" dataDxfId="185"/>
    <tableColumn id="6" xr3:uid="{4217A905-84AA-44AF-8A8E-35DAB7BD5CAE}" name="5" dataDxfId="184"/>
    <tableColumn id="7" xr3:uid="{7BEDDAF7-502D-43EC-B216-32844219CF1A}" name="6" dataDxfId="183"/>
    <tableColumn id="8" xr3:uid="{1EC53622-AF62-4BC6-8E24-4F90EA9350BB}" name="7" dataDxfId="182"/>
    <tableColumn id="9" xr3:uid="{8E6A697B-F1E8-4F5C-AA0E-B1B0D87A69B7}" name="8" dataDxfId="181"/>
    <tableColumn id="10" xr3:uid="{B51FFB6A-C7AF-47A0-B9CB-68931869F43E}" name="A" dataDxfId="18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20DA23-27B2-463D-8FB0-B1E39B1161E3}" name="Table913" displayName="Table913" ref="A12:J21" totalsRowShown="0" headerRowDxfId="177" dataDxfId="176">
  <autoFilter ref="A12:J21" xr:uid="{36DE5C8B-F33D-4DEB-83A8-24DA758E80A1}"/>
  <tableColumns count="10">
    <tableColumn id="1" xr3:uid="{4D6C09AE-661D-4AE6-BBC9-C7602DBCA0C2}" name="Dept" dataDxfId="175"/>
    <tableColumn id="2" xr3:uid="{BA0345FD-4833-48C0-922F-F96353E27DBE}" name="1" dataDxfId="122">
      <calculatedColumnFormula>(B2*0.12) + B2</calculatedColumnFormula>
    </tableColumn>
    <tableColumn id="3" xr3:uid="{DDA17012-AF11-41A0-9C18-3625CD23992C}" name="2" dataDxfId="174"/>
    <tableColumn id="4" xr3:uid="{57CCA3FA-B2C5-4A68-A6F3-299854551EF5}" name="3" dataDxfId="173"/>
    <tableColumn id="5" xr3:uid="{E434AE1A-AD12-4284-97BE-3C55AFA22111}" name="4" dataDxfId="172"/>
    <tableColumn id="6" xr3:uid="{907FAEF0-DF11-4028-AA26-7E0FF042EB18}" name="5" dataDxfId="171"/>
    <tableColumn id="7" xr3:uid="{DD1E227A-5B84-4FC1-AC67-A4898E2F7D8D}" name="6" dataDxfId="170"/>
    <tableColumn id="8" xr3:uid="{FF92D607-3DAE-4E0F-B9A2-FB352AA7ABEF}" name="7" dataDxfId="169"/>
    <tableColumn id="9" xr3:uid="{458E2260-5785-483A-B646-193D4C36B31E}" name="8" dataDxfId="168"/>
    <tableColumn id="10" xr3:uid="{5D6AD21E-4012-4389-810E-8A00EB525B9A}" name="A" dataDxfId="167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2BE1A2B-F6B1-43D7-A41D-05BD2EFEA1BA}" name="Table914" displayName="Table914" ref="A23:J32" totalsRowShown="0" headerRowDxfId="166" dataDxfId="165">
  <autoFilter ref="A23:J32" xr:uid="{DAAF4A8A-ED77-4186-AE80-A3450D3DDDCE}"/>
  <tableColumns count="10">
    <tableColumn id="1" xr3:uid="{0930B8F7-F514-4937-A118-7C5BAFACD494}" name="Dept" dataDxfId="164"/>
    <tableColumn id="2" xr3:uid="{53872A9F-DEED-479D-A241-2F5F88DEFDFD}" name="1" dataDxfId="121">
      <calculatedColumnFormula>(B13*0.12) + B13</calculatedColumnFormula>
    </tableColumn>
    <tableColumn id="3" xr3:uid="{06D61B11-752A-4FDF-99E1-680D5F2B429E}" name="2" dataDxfId="154"/>
    <tableColumn id="4" xr3:uid="{2E9900B1-4824-4D5F-AE1A-72ADA11FC074}" name="3" dataDxfId="153"/>
    <tableColumn id="5" xr3:uid="{7201CD60-E4DA-4C05-BAD7-3478F085A3DA}" name="4" dataDxfId="152"/>
    <tableColumn id="6" xr3:uid="{0C2F2067-BF9B-40D9-B516-70500E0F234E}" name="5" dataDxfId="151"/>
    <tableColumn id="7" xr3:uid="{6A8156E7-F5D5-4313-978A-2B74CA416887}" name="6" dataDxfId="150"/>
    <tableColumn id="8" xr3:uid="{AB34D737-5D13-441D-B050-4AC0A9B9E02D}" name="7" dataDxfId="149"/>
    <tableColumn id="9" xr3:uid="{F1FB7613-5342-4B0E-9447-35F227F78BEA}" name="8" dataDxfId="148"/>
    <tableColumn id="10" xr3:uid="{A69C3294-5162-4D12-A4A6-5CE9656DEAE5}" name="A" dataDxfId="14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060B80-168A-4ABD-A26C-14AA9F0F07AA}" name="Table915" displayName="Table915" ref="A34:J43" totalsRowShown="0" headerRowDxfId="163" dataDxfId="162">
  <autoFilter ref="A34:J43" xr:uid="{CDDAFFF0-DE2D-44AC-B205-848A3084B6D5}"/>
  <tableColumns count="10">
    <tableColumn id="1" xr3:uid="{971341AE-1AF7-4E48-B70A-FD2F99D4E888}" name="Dept" dataDxfId="161"/>
    <tableColumn id="2" xr3:uid="{16DC2637-F723-4027-B368-922F5F7136B4}" name="1" dataDxfId="120">
      <calculatedColumnFormula>(B24*0.12) + B24</calculatedColumnFormula>
    </tableColumn>
    <tableColumn id="3" xr3:uid="{451BADDD-1F46-47E7-855D-6D11424622C6}" name="2" dataDxfId="146"/>
    <tableColumn id="4" xr3:uid="{0EAEF0B7-BCE9-491C-B5BE-005F21C7E880}" name="3" dataDxfId="145"/>
    <tableColumn id="5" xr3:uid="{12ED33F3-D600-4A57-B6C6-4A17C8C49111}" name="4" dataDxfId="144"/>
    <tableColumn id="6" xr3:uid="{1441362D-8B5C-4915-BFD2-40AFED895FEC}" name="5" dataDxfId="143"/>
    <tableColumn id="7" xr3:uid="{4B8A0A36-2582-4DFA-BE20-3B1D4857C3CA}" name="6" dataDxfId="142"/>
    <tableColumn id="8" xr3:uid="{2CFB05F5-1EB9-4CF7-82C3-00418C31BC6A}" name="7" dataDxfId="141"/>
    <tableColumn id="9" xr3:uid="{291C4AD3-32DB-4755-98CB-F07132FFB228}" name="8" dataDxfId="140"/>
    <tableColumn id="10" xr3:uid="{202BC378-3B17-4788-86ED-5396489A42E5}" name="A" dataDxfId="139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AFB19D-E858-469C-B16D-ACFF0630E1DB}" name="Table916" displayName="Table916" ref="A45:J54" totalsRowShown="0" headerRowDxfId="160" dataDxfId="159">
  <autoFilter ref="A45:J54" xr:uid="{2AA68122-6E64-4908-A4B1-800C616A0E46}"/>
  <tableColumns count="10">
    <tableColumn id="1" xr3:uid="{CE80AD18-B2C7-422E-A709-84305C2B13ED}" name="Dept" dataDxfId="158"/>
    <tableColumn id="2" xr3:uid="{0EF9CF75-11EC-44A2-9B73-D912BBF926EE}" name="1" dataDxfId="119">
      <calculatedColumnFormula>(B35*0.12) + B35</calculatedColumnFormula>
    </tableColumn>
    <tableColumn id="3" xr3:uid="{0F1D7D78-C4ED-4EA6-9634-CFDA5FE7E436}" name="2" dataDxfId="138"/>
    <tableColumn id="4" xr3:uid="{E313C347-169E-44C9-9547-3AA3DF2FD70F}" name="3" dataDxfId="137"/>
    <tableColumn id="5" xr3:uid="{BFB0A7C9-3743-4E6F-A297-E1456144D784}" name="4" dataDxfId="136"/>
    <tableColumn id="6" xr3:uid="{0B1A6AEB-6F5E-4078-8898-284528DE27C2}" name="5" dataDxfId="135"/>
    <tableColumn id="7" xr3:uid="{C58B21E0-D99A-4491-BD18-BFE7FE7E0281}" name="6" dataDxfId="134"/>
    <tableColumn id="8" xr3:uid="{C451B9A9-1E4A-4346-A615-2B58F76B373B}" name="7" dataDxfId="133"/>
    <tableColumn id="9" xr3:uid="{05F54C4E-AA38-46E8-85CE-AFDDDBE5D363}" name="8" dataDxfId="132"/>
    <tableColumn id="10" xr3:uid="{7794A1BD-A788-4628-B5E3-3C0652831E54}" name="A" dataDxfId="13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6EF2-8FC3-4653-96C2-478556C53923}">
  <dimension ref="A1:C7"/>
  <sheetViews>
    <sheetView workbookViewId="0">
      <selection sqref="A1:C7"/>
    </sheetView>
  </sheetViews>
  <sheetFormatPr defaultRowHeight="14.5" x14ac:dyDescent="0.35"/>
  <cols>
    <col min="1" max="1" width="10.26953125" customWidth="1"/>
    <col min="2" max="2" width="17" customWidth="1"/>
    <col min="3" max="3" width="14.6328125" customWidth="1"/>
  </cols>
  <sheetData>
    <row r="1" spans="1:3" ht="15.5" x14ac:dyDescent="0.35">
      <c r="A1" s="3" t="s">
        <v>8</v>
      </c>
      <c r="B1" s="3" t="s">
        <v>5</v>
      </c>
      <c r="C1" s="3" t="s">
        <v>6</v>
      </c>
    </row>
    <row r="2" spans="1:3" ht="15.5" x14ac:dyDescent="0.35">
      <c r="A2" s="4" t="s">
        <v>0</v>
      </c>
      <c r="B2" s="3">
        <v>348</v>
      </c>
      <c r="C2" s="5">
        <v>0.12</v>
      </c>
    </row>
    <row r="3" spans="1:3" ht="15.5" x14ac:dyDescent="0.35">
      <c r="A3" s="4" t="s">
        <v>1</v>
      </c>
      <c r="B3" s="3">
        <f>ROUNDUP(((B2*C3) + B2),0)</f>
        <v>390</v>
      </c>
      <c r="C3" s="5">
        <v>0.12</v>
      </c>
    </row>
    <row r="4" spans="1:3" ht="15.5" x14ac:dyDescent="0.35">
      <c r="A4" s="4" t="s">
        <v>2</v>
      </c>
      <c r="B4" s="3">
        <f t="shared" ref="B4:B6" si="0">ROUNDUP(((B3*C4) + B3),0)</f>
        <v>437</v>
      </c>
      <c r="C4" s="5">
        <v>0.12</v>
      </c>
    </row>
    <row r="5" spans="1:3" ht="15.5" x14ac:dyDescent="0.35">
      <c r="A5" s="4" t="s">
        <v>3</v>
      </c>
      <c r="B5" s="3">
        <f t="shared" si="0"/>
        <v>490</v>
      </c>
      <c r="C5" s="5">
        <v>0.12</v>
      </c>
    </row>
    <row r="6" spans="1:3" ht="15.5" x14ac:dyDescent="0.35">
      <c r="A6" s="4" t="s">
        <v>4</v>
      </c>
      <c r="B6" s="3">
        <f t="shared" si="0"/>
        <v>549</v>
      </c>
      <c r="C6" s="5">
        <v>0.12</v>
      </c>
    </row>
    <row r="7" spans="1:3" ht="15.5" x14ac:dyDescent="0.35">
      <c r="A7" s="4" t="s">
        <v>10</v>
      </c>
      <c r="B7" s="3">
        <f>ROUNDUP(((B6*C7) + B6),0)</f>
        <v>599</v>
      </c>
      <c r="C7" s="5">
        <v>0.09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BBE5-5BE8-4663-B74C-1140D5D9949B}">
  <dimension ref="A1:I11"/>
  <sheetViews>
    <sheetView workbookViewId="0">
      <selection sqref="A1:I11"/>
    </sheetView>
  </sheetViews>
  <sheetFormatPr defaultRowHeight="14.5" x14ac:dyDescent="0.35"/>
  <cols>
    <col min="1" max="1" width="10" bestFit="1" customWidth="1"/>
    <col min="2" max="2" width="19.81640625" bestFit="1" customWidth="1"/>
    <col min="3" max="3" width="19.81640625" customWidth="1"/>
    <col min="4" max="4" width="9.08984375" customWidth="1"/>
  </cols>
  <sheetData>
    <row r="1" spans="1:9" x14ac:dyDescent="0.35">
      <c r="A1" s="1" t="s">
        <v>24</v>
      </c>
      <c r="B1" s="1" t="s">
        <v>9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10</v>
      </c>
    </row>
    <row r="2" spans="1:9" x14ac:dyDescent="0.35">
      <c r="A2" s="7">
        <v>1</v>
      </c>
      <c r="B2" s="1" t="s">
        <v>12</v>
      </c>
      <c r="C2" s="2">
        <v>0.12</v>
      </c>
      <c r="D2" s="1">
        <v>56</v>
      </c>
      <c r="E2" s="1">
        <f>ROUNDUP(((D2 * $C2) + D2),0)</f>
        <v>63</v>
      </c>
      <c r="F2" s="1">
        <f>ROUNDUP(((E2 * $C2) + E2),0)</f>
        <v>71</v>
      </c>
      <c r="G2" s="1">
        <f t="shared" ref="G2:I2" si="0">ROUNDUP(((F2 * $C2) + F2),0)</f>
        <v>80</v>
      </c>
      <c r="H2" s="1">
        <f t="shared" si="0"/>
        <v>90</v>
      </c>
      <c r="I2" s="1">
        <f t="shared" si="0"/>
        <v>101</v>
      </c>
    </row>
    <row r="3" spans="1:9" x14ac:dyDescent="0.35">
      <c r="A3" s="7">
        <v>2</v>
      </c>
      <c r="B3" s="1" t="s">
        <v>13</v>
      </c>
      <c r="C3" s="2">
        <v>0.22</v>
      </c>
      <c r="D3" s="1">
        <v>64</v>
      </c>
      <c r="E3" s="1">
        <f>ROUNDUP(((D3 * $C3) + D3),0)</f>
        <v>79</v>
      </c>
      <c r="F3" s="1">
        <f t="shared" ref="F3:I3" si="1">ROUNDUP(((E3 * $C3) + E3),0)</f>
        <v>97</v>
      </c>
      <c r="G3" s="1">
        <f t="shared" si="1"/>
        <v>119</v>
      </c>
      <c r="H3" s="1">
        <f t="shared" si="1"/>
        <v>146</v>
      </c>
      <c r="I3" s="1">
        <f t="shared" si="1"/>
        <v>179</v>
      </c>
    </row>
    <row r="4" spans="1:9" x14ac:dyDescent="0.35">
      <c r="A4" s="7">
        <v>3</v>
      </c>
      <c r="B4" s="1" t="s">
        <v>14</v>
      </c>
      <c r="C4" s="2">
        <v>0.08</v>
      </c>
      <c r="D4" s="1">
        <v>29</v>
      </c>
      <c r="E4" s="1">
        <f t="shared" ref="E4:I10" si="2">ROUNDUP(((D4 * $C4) + D4),0)</f>
        <v>32</v>
      </c>
      <c r="F4" s="1">
        <f t="shared" si="2"/>
        <v>35</v>
      </c>
      <c r="G4" s="1">
        <f t="shared" si="2"/>
        <v>38</v>
      </c>
      <c r="H4" s="1">
        <f t="shared" si="2"/>
        <v>42</v>
      </c>
      <c r="I4" s="1">
        <f t="shared" si="2"/>
        <v>46</v>
      </c>
    </row>
    <row r="5" spans="1:9" x14ac:dyDescent="0.35">
      <c r="A5" s="7">
        <v>4</v>
      </c>
      <c r="B5" s="1" t="s">
        <v>15</v>
      </c>
      <c r="C5" s="2">
        <v>0.1</v>
      </c>
      <c r="D5" s="1">
        <v>27</v>
      </c>
      <c r="E5" s="1">
        <f t="shared" si="2"/>
        <v>30</v>
      </c>
      <c r="F5" s="1">
        <f t="shared" si="2"/>
        <v>33</v>
      </c>
      <c r="G5" s="1">
        <f t="shared" si="2"/>
        <v>37</v>
      </c>
      <c r="H5" s="1">
        <f t="shared" si="2"/>
        <v>41</v>
      </c>
      <c r="I5" s="1">
        <f t="shared" si="2"/>
        <v>46</v>
      </c>
    </row>
    <row r="6" spans="1:9" x14ac:dyDescent="0.35">
      <c r="A6" s="7">
        <v>5</v>
      </c>
      <c r="B6" s="1" t="s">
        <v>16</v>
      </c>
      <c r="C6" s="2">
        <v>0.18</v>
      </c>
      <c r="D6" s="1">
        <v>9</v>
      </c>
      <c r="E6" s="1">
        <f t="shared" si="2"/>
        <v>11</v>
      </c>
      <c r="F6" s="1">
        <f t="shared" si="2"/>
        <v>13</v>
      </c>
      <c r="G6" s="1">
        <f t="shared" si="2"/>
        <v>16</v>
      </c>
      <c r="H6" s="1">
        <f t="shared" si="2"/>
        <v>19</v>
      </c>
      <c r="I6" s="1">
        <f t="shared" si="2"/>
        <v>23</v>
      </c>
    </row>
    <row r="7" spans="1:9" x14ac:dyDescent="0.35">
      <c r="A7" s="7">
        <v>6</v>
      </c>
      <c r="B7" s="1" t="s">
        <v>17</v>
      </c>
      <c r="C7" s="2">
        <v>0.25</v>
      </c>
      <c r="D7" s="1">
        <v>97</v>
      </c>
      <c r="E7" s="1">
        <f t="shared" si="2"/>
        <v>122</v>
      </c>
      <c r="F7" s="1">
        <f t="shared" si="2"/>
        <v>153</v>
      </c>
      <c r="G7" s="1">
        <f t="shared" si="2"/>
        <v>192</v>
      </c>
      <c r="H7" s="1">
        <f t="shared" si="2"/>
        <v>240</v>
      </c>
      <c r="I7" s="1">
        <f t="shared" si="2"/>
        <v>300</v>
      </c>
    </row>
    <row r="8" spans="1:9" x14ac:dyDescent="0.35">
      <c r="A8" s="7">
        <v>7</v>
      </c>
      <c r="B8" s="1" t="s">
        <v>18</v>
      </c>
      <c r="C8" s="2">
        <v>0.05</v>
      </c>
      <c r="D8" s="1">
        <v>36</v>
      </c>
      <c r="E8" s="1">
        <f t="shared" si="2"/>
        <v>38</v>
      </c>
      <c r="F8" s="1">
        <f t="shared" si="2"/>
        <v>40</v>
      </c>
      <c r="G8" s="1">
        <f t="shared" si="2"/>
        <v>42</v>
      </c>
      <c r="H8" s="1">
        <f t="shared" si="2"/>
        <v>45</v>
      </c>
      <c r="I8" s="1">
        <f t="shared" si="2"/>
        <v>48</v>
      </c>
    </row>
    <row r="9" spans="1:9" x14ac:dyDescent="0.35">
      <c r="A9" s="7">
        <v>8</v>
      </c>
      <c r="B9" s="1" t="s">
        <v>19</v>
      </c>
      <c r="C9" s="2">
        <v>0.03</v>
      </c>
      <c r="D9" s="1">
        <v>18</v>
      </c>
      <c r="E9" s="1">
        <f t="shared" si="2"/>
        <v>19</v>
      </c>
      <c r="F9" s="1">
        <f t="shared" si="2"/>
        <v>20</v>
      </c>
      <c r="G9" s="1">
        <f t="shared" si="2"/>
        <v>21</v>
      </c>
      <c r="H9" s="1">
        <f t="shared" si="2"/>
        <v>22</v>
      </c>
      <c r="I9" s="1">
        <f t="shared" si="2"/>
        <v>23</v>
      </c>
    </row>
    <row r="10" spans="1:9" x14ac:dyDescent="0.35">
      <c r="A10" s="7" t="s">
        <v>11</v>
      </c>
      <c r="B10" s="1" t="s">
        <v>20</v>
      </c>
      <c r="C10" s="2">
        <v>0.08</v>
      </c>
      <c r="D10" s="1">
        <v>12</v>
      </c>
      <c r="E10" s="1">
        <f t="shared" si="2"/>
        <v>13</v>
      </c>
      <c r="F10" s="1">
        <f t="shared" si="2"/>
        <v>15</v>
      </c>
      <c r="G10" s="1">
        <f t="shared" si="2"/>
        <v>17</v>
      </c>
      <c r="H10" s="1">
        <f t="shared" si="2"/>
        <v>19</v>
      </c>
      <c r="I10" s="1">
        <f t="shared" si="2"/>
        <v>21</v>
      </c>
    </row>
    <row r="11" spans="1:9" x14ac:dyDescent="0.35">
      <c r="C11" s="7" t="s">
        <v>26</v>
      </c>
      <c r="D11" s="1">
        <f>SUBTOTAL(109,Table5[Present])</f>
        <v>348</v>
      </c>
      <c r="E11" s="1">
        <f>SUBTOTAL(109,Table5[Year 1])</f>
        <v>407</v>
      </c>
      <c r="F11" s="1">
        <f>SUBTOTAL(109,Table5[Year 2])</f>
        <v>477</v>
      </c>
      <c r="G11" s="1">
        <f>SUBTOTAL(109,Table5[Year 3])</f>
        <v>562</v>
      </c>
      <c r="H11" s="1">
        <f>SUBTOTAL(109,Table5[Year 4])</f>
        <v>664</v>
      </c>
      <c r="I11" s="1">
        <f>SUBTOTAL(109,Table5[Year 5])</f>
        <v>787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82CB-7B1F-435A-932B-CCF912C5B809}">
  <dimension ref="A1:J11"/>
  <sheetViews>
    <sheetView workbookViewId="0">
      <selection sqref="A1:J11"/>
    </sheetView>
  </sheetViews>
  <sheetFormatPr defaultRowHeight="14.5" x14ac:dyDescent="0.35"/>
  <cols>
    <col min="1" max="1" width="10" bestFit="1" customWidth="1"/>
    <col min="2" max="2" width="10.54296875" customWidth="1"/>
    <col min="3" max="3" width="15.81640625" customWidth="1"/>
    <col min="4" max="4" width="10.54296875" customWidth="1"/>
    <col min="5" max="5" width="15.6328125" bestFit="1" customWidth="1"/>
  </cols>
  <sheetData>
    <row r="1" spans="1:10" ht="43.5" x14ac:dyDescent="0.35">
      <c r="A1" s="8" t="s">
        <v>24</v>
      </c>
      <c r="B1" s="9" t="s">
        <v>21</v>
      </c>
      <c r="C1" s="9" t="s">
        <v>25</v>
      </c>
      <c r="D1" s="9" t="s">
        <v>22</v>
      </c>
      <c r="E1" s="9" t="s">
        <v>23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10</v>
      </c>
    </row>
    <row r="2" spans="1:10" x14ac:dyDescent="0.35">
      <c r="A2" s="10">
        <v>1</v>
      </c>
      <c r="B2" s="8">
        <f>ROUNDUP((Table5[[#This Row],[Present]] * (389/348)),0)</f>
        <v>63</v>
      </c>
      <c r="C2" s="8">
        <v>1037.8800000000001</v>
      </c>
      <c r="D2" s="11">
        <v>0.12</v>
      </c>
      <c r="E2" s="9" t="s">
        <v>12</v>
      </c>
      <c r="F2" s="8">
        <f>ROUNDUP((B2 * $D2) + B2,0)</f>
        <v>71</v>
      </c>
      <c r="G2" s="8">
        <f>ROUNDUP((F2 * $D2) + F2,0)</f>
        <v>80</v>
      </c>
      <c r="H2" s="8">
        <f t="shared" ref="H2:H10" si="0">ROUNDUP(((G2 * $D2) + G2),0)</f>
        <v>90</v>
      </c>
      <c r="I2" s="8">
        <f t="shared" ref="I2:I10" si="1">ROUNDUP(((H2 * $D2) + H2),0)</f>
        <v>101</v>
      </c>
      <c r="J2" s="8">
        <f t="shared" ref="J2:J10" si="2">ROUNDUP(((I2 * $D2) + I2),0)</f>
        <v>114</v>
      </c>
    </row>
    <row r="3" spans="1:10" ht="29" x14ac:dyDescent="0.35">
      <c r="A3" s="10">
        <v>2</v>
      </c>
      <c r="B3" s="8">
        <f>ROUNDUP((Table5[[#This Row],[Present]] * (389/348)),0)</f>
        <v>72</v>
      </c>
      <c r="C3" s="8">
        <v>3492.72</v>
      </c>
      <c r="D3" s="11">
        <v>0.22</v>
      </c>
      <c r="E3" s="9" t="s">
        <v>13</v>
      </c>
      <c r="F3" s="8">
        <f>ROUNDUP((B3 * $D3) + B3,0)</f>
        <v>88</v>
      </c>
      <c r="G3" s="8">
        <f>ROUNDUP((F3 * $D3) + F3,0)</f>
        <v>108</v>
      </c>
      <c r="H3" s="8">
        <f t="shared" si="0"/>
        <v>132</v>
      </c>
      <c r="I3" s="8">
        <f t="shared" si="1"/>
        <v>162</v>
      </c>
      <c r="J3" s="8">
        <f t="shared" si="2"/>
        <v>198</v>
      </c>
    </row>
    <row r="4" spans="1:10" x14ac:dyDescent="0.35">
      <c r="A4" s="10">
        <v>3</v>
      </c>
      <c r="B4" s="8">
        <f>ROUNDUP((Table5[[#This Row],[Present]] * (389/348)),0)</f>
        <v>33</v>
      </c>
      <c r="C4" s="8">
        <v>192.08</v>
      </c>
      <c r="D4" s="11">
        <v>0.08</v>
      </c>
      <c r="E4" s="9" t="s">
        <v>14</v>
      </c>
      <c r="F4" s="8">
        <f>ROUNDUP((B4 * $D4) + B4,0)</f>
        <v>36</v>
      </c>
      <c r="G4" s="8">
        <f>ROUNDUP((F4 * $D4) + F4,0)</f>
        <v>39</v>
      </c>
      <c r="H4" s="8">
        <f t="shared" si="0"/>
        <v>43</v>
      </c>
      <c r="I4" s="8">
        <f t="shared" si="1"/>
        <v>47</v>
      </c>
      <c r="J4" s="8">
        <f t="shared" si="2"/>
        <v>51</v>
      </c>
    </row>
    <row r="5" spans="1:10" ht="29" x14ac:dyDescent="0.35">
      <c r="A5" s="10">
        <v>4</v>
      </c>
      <c r="B5" s="8">
        <f>ROUNDUP((Table5[[#This Row],[Present]] * (389/348)),0)</f>
        <v>31</v>
      </c>
      <c r="C5" s="8">
        <v>21.6</v>
      </c>
      <c r="D5" s="11">
        <v>0.1</v>
      </c>
      <c r="E5" s="9" t="s">
        <v>15</v>
      </c>
      <c r="F5" s="8">
        <f>ROUNDUP((B5 * $D5) + B5,0)</f>
        <v>35</v>
      </c>
      <c r="G5" s="8">
        <f>ROUNDUP((F5 * $D5) + F5,0)</f>
        <v>39</v>
      </c>
      <c r="H5" s="8">
        <f t="shared" si="0"/>
        <v>43</v>
      </c>
      <c r="I5" s="8">
        <f t="shared" si="1"/>
        <v>48</v>
      </c>
      <c r="J5" s="8">
        <f t="shared" si="2"/>
        <v>53</v>
      </c>
    </row>
    <row r="6" spans="1:10" x14ac:dyDescent="0.35">
      <c r="A6" s="10">
        <v>5</v>
      </c>
      <c r="B6" s="8">
        <f>ROUNDUP((Table5[[#This Row],[Present]] * (389/348)),0)</f>
        <v>11</v>
      </c>
      <c r="C6" s="8">
        <v>1228.8</v>
      </c>
      <c r="D6" s="11">
        <v>0.18</v>
      </c>
      <c r="E6" s="9" t="s">
        <v>16</v>
      </c>
      <c r="F6" s="8">
        <f>ROUNDUP((B6 * $D6) + B6,0)</f>
        <v>13</v>
      </c>
      <c r="G6" s="8">
        <f>ROUNDUP((F6 * $D6) + F6,0)</f>
        <v>16</v>
      </c>
      <c r="H6" s="8">
        <f t="shared" si="0"/>
        <v>19</v>
      </c>
      <c r="I6" s="8">
        <f t="shared" si="1"/>
        <v>23</v>
      </c>
      <c r="J6" s="8">
        <f t="shared" si="2"/>
        <v>28</v>
      </c>
    </row>
    <row r="7" spans="1:10" ht="29" x14ac:dyDescent="0.35">
      <c r="A7" s="10">
        <v>6</v>
      </c>
      <c r="B7" s="8">
        <f>ROUNDUP((Table5[[#This Row],[Present]] * (389/348)),0)</f>
        <v>109</v>
      </c>
      <c r="C7" s="8">
        <v>1299.5999999999999</v>
      </c>
      <c r="D7" s="11">
        <v>0.25</v>
      </c>
      <c r="E7" s="9" t="s">
        <v>17</v>
      </c>
      <c r="F7" s="8">
        <f>ROUNDUP((B7 * $D7) + B7,0)</f>
        <v>137</v>
      </c>
      <c r="G7" s="8">
        <f>ROUNDUP((F7 * $D7) + F7,0)</f>
        <v>172</v>
      </c>
      <c r="H7" s="8">
        <f t="shared" si="0"/>
        <v>215</v>
      </c>
      <c r="I7" s="8">
        <f t="shared" si="1"/>
        <v>269</v>
      </c>
      <c r="J7" s="8">
        <f t="shared" si="2"/>
        <v>337</v>
      </c>
    </row>
    <row r="8" spans="1:10" x14ac:dyDescent="0.35">
      <c r="A8" s="10">
        <v>7</v>
      </c>
      <c r="B8" s="8">
        <f>ROUNDUP((Table5[[#This Row],[Present]] * (389/348)),0)</f>
        <v>41</v>
      </c>
      <c r="C8" s="8">
        <v>61.25</v>
      </c>
      <c r="D8" s="11">
        <v>0.05</v>
      </c>
      <c r="E8" s="9" t="s">
        <v>18</v>
      </c>
      <c r="F8" s="8">
        <f>ROUNDUP((B8 * $D8) + B8,0)</f>
        <v>44</v>
      </c>
      <c r="G8" s="8">
        <f>ROUNDUP((F8 * $D8) + F8,0)</f>
        <v>47</v>
      </c>
      <c r="H8" s="8">
        <f t="shared" si="0"/>
        <v>50</v>
      </c>
      <c r="I8" s="8">
        <f t="shared" si="1"/>
        <v>53</v>
      </c>
      <c r="J8" s="8">
        <f t="shared" si="2"/>
        <v>56</v>
      </c>
    </row>
    <row r="9" spans="1:10" x14ac:dyDescent="0.35">
      <c r="A9" s="10">
        <v>8</v>
      </c>
      <c r="B9" s="8">
        <f>ROUNDUP((Table5[[#This Row],[Present]] * (389/348)),0)</f>
        <v>21</v>
      </c>
      <c r="C9" s="8">
        <v>5.07</v>
      </c>
      <c r="D9" s="11">
        <v>0.03</v>
      </c>
      <c r="E9" s="9" t="s">
        <v>19</v>
      </c>
      <c r="F9" s="8">
        <f>ROUNDUP((B9 * $D9) + B9,0)</f>
        <v>22</v>
      </c>
      <c r="G9" s="8">
        <f>ROUNDUP((F9 * $D9) + F9,0)</f>
        <v>23</v>
      </c>
      <c r="H9" s="8">
        <f t="shared" si="0"/>
        <v>24</v>
      </c>
      <c r="I9" s="8">
        <f t="shared" si="1"/>
        <v>25</v>
      </c>
      <c r="J9" s="8">
        <f t="shared" si="2"/>
        <v>26</v>
      </c>
    </row>
    <row r="10" spans="1:10" ht="29" x14ac:dyDescent="0.35">
      <c r="A10" s="10" t="s">
        <v>11</v>
      </c>
      <c r="B10" s="8">
        <f>ROUNDUP((Table5[[#This Row],[Present]] * (389/348)),0)</f>
        <v>14</v>
      </c>
      <c r="C10" s="8">
        <v>72.900000000000006</v>
      </c>
      <c r="D10" s="11">
        <v>0.08</v>
      </c>
      <c r="E10" s="9" t="s">
        <v>20</v>
      </c>
      <c r="F10" s="8">
        <f>ROUNDUP((B10 * $D10) + B10,0)</f>
        <v>16</v>
      </c>
      <c r="G10" s="8">
        <f>ROUNDUP((F10 * $D10) + F10,0)</f>
        <v>18</v>
      </c>
      <c r="H10" s="8">
        <f t="shared" si="0"/>
        <v>20</v>
      </c>
      <c r="I10" s="8">
        <f t="shared" si="1"/>
        <v>22</v>
      </c>
      <c r="J10" s="8">
        <f t="shared" si="2"/>
        <v>24</v>
      </c>
    </row>
    <row r="11" spans="1:10" x14ac:dyDescent="0.35">
      <c r="A11" s="10"/>
      <c r="B11" s="8"/>
      <c r="C11" s="8"/>
      <c r="D11" s="8"/>
      <c r="E11" s="10" t="s">
        <v>27</v>
      </c>
      <c r="F11" s="8">
        <f>SUBTOTAL(109,Table57[Year 1])</f>
        <v>462</v>
      </c>
      <c r="G11" s="8">
        <f>SUBTOTAL(109,Table57[Year 2])</f>
        <v>542</v>
      </c>
      <c r="H11" s="8">
        <f>SUBTOTAL(109,Table57[Year 3])</f>
        <v>636</v>
      </c>
      <c r="I11" s="8">
        <f>SUBTOTAL(109,Table57[Year 4])</f>
        <v>750</v>
      </c>
      <c r="J11" s="8">
        <f>SUBTOTAL(109,Table57[Year 5])</f>
        <v>887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5FE9-C5F9-4B22-BA9C-154AC2BAFA00}">
  <dimension ref="A1:J11"/>
  <sheetViews>
    <sheetView workbookViewId="0">
      <selection activeCell="J11" sqref="A1:J11"/>
    </sheetView>
  </sheetViews>
  <sheetFormatPr defaultRowHeight="14.5" x14ac:dyDescent="0.35"/>
  <cols>
    <col min="1" max="1" width="10" bestFit="1" customWidth="1"/>
    <col min="2" max="2" width="13.26953125" bestFit="1" customWidth="1"/>
    <col min="3" max="3" width="12.36328125" bestFit="1" customWidth="1"/>
    <col min="4" max="4" width="11.7265625" bestFit="1" customWidth="1"/>
    <col min="5" max="5" width="15.1796875" customWidth="1"/>
  </cols>
  <sheetData>
    <row r="1" spans="1:10" ht="43.5" x14ac:dyDescent="0.35">
      <c r="A1" s="8" t="s">
        <v>24</v>
      </c>
      <c r="B1" s="9" t="s">
        <v>21</v>
      </c>
      <c r="C1" s="9" t="s">
        <v>25</v>
      </c>
      <c r="D1" s="9" t="s">
        <v>22</v>
      </c>
      <c r="E1" s="9" t="s">
        <v>23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10</v>
      </c>
    </row>
    <row r="2" spans="1:10" x14ac:dyDescent="0.35">
      <c r="A2" s="10">
        <v>1</v>
      </c>
      <c r="B2" s="8">
        <f>ROUNDUP((Table5[[#This Row],[Present]] * (389/348)),0)</f>
        <v>63</v>
      </c>
      <c r="C2" s="8">
        <v>1037.8800000000001</v>
      </c>
      <c r="D2" s="11">
        <v>0.12</v>
      </c>
      <c r="E2" s="9" t="s">
        <v>12</v>
      </c>
      <c r="F2" s="8">
        <f t="shared" ref="F2:F10" si="0">ROUNDUP((C2 * $D2) + C2,2)</f>
        <v>1162.43</v>
      </c>
      <c r="G2" s="8">
        <f t="shared" ref="G2:J10" si="1">ROUNDUP((F2 * $D2) + F2,2)</f>
        <v>1301.93</v>
      </c>
      <c r="H2" s="8">
        <f t="shared" si="1"/>
        <v>1458.17</v>
      </c>
      <c r="I2" s="8">
        <f t="shared" si="1"/>
        <v>1633.16</v>
      </c>
      <c r="J2" s="8">
        <f t="shared" si="1"/>
        <v>1829.14</v>
      </c>
    </row>
    <row r="3" spans="1:10" ht="29" x14ac:dyDescent="0.35">
      <c r="A3" s="10">
        <v>2</v>
      </c>
      <c r="B3" s="8">
        <f>ROUNDUP((Table5[[#This Row],[Present]] * (389/348)),0)</f>
        <v>72</v>
      </c>
      <c r="C3" s="8">
        <v>3492.72</v>
      </c>
      <c r="D3" s="11">
        <v>0.22</v>
      </c>
      <c r="E3" s="9" t="s">
        <v>13</v>
      </c>
      <c r="F3" s="8">
        <f t="shared" si="0"/>
        <v>4261.12</v>
      </c>
      <c r="G3" s="8">
        <f t="shared" si="1"/>
        <v>5198.5700000000006</v>
      </c>
      <c r="H3" s="8">
        <f t="shared" si="1"/>
        <v>6342.26</v>
      </c>
      <c r="I3" s="8">
        <f t="shared" si="1"/>
        <v>7737.56</v>
      </c>
      <c r="J3" s="8">
        <f t="shared" si="1"/>
        <v>9439.83</v>
      </c>
    </row>
    <row r="4" spans="1:10" x14ac:dyDescent="0.35">
      <c r="A4" s="10">
        <v>3</v>
      </c>
      <c r="B4" s="8">
        <f>ROUNDUP((Table5[[#This Row],[Present]] * (389/348)),0)</f>
        <v>33</v>
      </c>
      <c r="C4" s="8">
        <v>192.08</v>
      </c>
      <c r="D4" s="11">
        <v>0.08</v>
      </c>
      <c r="E4" s="9" t="s">
        <v>14</v>
      </c>
      <c r="F4" s="8">
        <f t="shared" si="0"/>
        <v>207.45</v>
      </c>
      <c r="G4" s="8">
        <f t="shared" si="1"/>
        <v>224.04999999999998</v>
      </c>
      <c r="H4" s="8">
        <f t="shared" si="1"/>
        <v>241.98</v>
      </c>
      <c r="I4" s="8">
        <f t="shared" si="1"/>
        <v>261.33999999999997</v>
      </c>
      <c r="J4" s="8">
        <f t="shared" si="1"/>
        <v>282.25</v>
      </c>
    </row>
    <row r="5" spans="1:10" ht="29" x14ac:dyDescent="0.35">
      <c r="A5" s="10">
        <v>4</v>
      </c>
      <c r="B5" s="8">
        <f>ROUNDUP((Table5[[#This Row],[Present]] * (389/348)),0)</f>
        <v>31</v>
      </c>
      <c r="C5" s="8">
        <v>21.6</v>
      </c>
      <c r="D5" s="11">
        <v>0.1</v>
      </c>
      <c r="E5" s="9" t="s">
        <v>15</v>
      </c>
      <c r="F5" s="8">
        <f t="shared" si="0"/>
        <v>23.76</v>
      </c>
      <c r="G5" s="8">
        <f t="shared" si="1"/>
        <v>26.14</v>
      </c>
      <c r="H5" s="8">
        <f t="shared" si="1"/>
        <v>28.76</v>
      </c>
      <c r="I5" s="8">
        <f t="shared" si="1"/>
        <v>31.64</v>
      </c>
      <c r="J5" s="8">
        <f t="shared" si="1"/>
        <v>34.809999999999995</v>
      </c>
    </row>
    <row r="6" spans="1:10" x14ac:dyDescent="0.35">
      <c r="A6" s="10">
        <v>5</v>
      </c>
      <c r="B6" s="8">
        <f>ROUNDUP((Table5[[#This Row],[Present]] * (389/348)),0)</f>
        <v>11</v>
      </c>
      <c r="C6" s="8">
        <v>1228.8</v>
      </c>
      <c r="D6" s="11">
        <v>0.18</v>
      </c>
      <c r="E6" s="9" t="s">
        <v>16</v>
      </c>
      <c r="F6" s="8">
        <f t="shared" si="0"/>
        <v>1449.99</v>
      </c>
      <c r="G6" s="8">
        <f t="shared" si="1"/>
        <v>1710.99</v>
      </c>
      <c r="H6" s="8">
        <f t="shared" si="1"/>
        <v>2018.97</v>
      </c>
      <c r="I6" s="8">
        <f t="shared" si="1"/>
        <v>2382.3900000000003</v>
      </c>
      <c r="J6" s="8">
        <f t="shared" si="1"/>
        <v>2811.23</v>
      </c>
    </row>
    <row r="7" spans="1:10" ht="29" x14ac:dyDescent="0.35">
      <c r="A7" s="10">
        <v>6</v>
      </c>
      <c r="B7" s="8">
        <f>ROUNDUP((Table5[[#This Row],[Present]] * (389/348)),0)</f>
        <v>109</v>
      </c>
      <c r="C7" s="8">
        <v>1299.5999999999999</v>
      </c>
      <c r="D7" s="11">
        <v>0.25</v>
      </c>
      <c r="E7" s="9" t="s">
        <v>17</v>
      </c>
      <c r="F7" s="8">
        <f t="shared" si="0"/>
        <v>1624.5</v>
      </c>
      <c r="G7" s="8">
        <f t="shared" si="1"/>
        <v>2030.6299999999999</v>
      </c>
      <c r="H7" s="8">
        <f t="shared" si="1"/>
        <v>2538.2900000000004</v>
      </c>
      <c r="I7" s="8">
        <f t="shared" si="1"/>
        <v>3172.8700000000003</v>
      </c>
      <c r="J7" s="8">
        <f t="shared" si="1"/>
        <v>3966.09</v>
      </c>
    </row>
    <row r="8" spans="1:10" x14ac:dyDescent="0.35">
      <c r="A8" s="10">
        <v>7</v>
      </c>
      <c r="B8" s="8">
        <f>ROUNDUP((Table5[[#This Row],[Present]] * (389/348)),0)</f>
        <v>41</v>
      </c>
      <c r="C8" s="8">
        <v>61.25</v>
      </c>
      <c r="D8" s="11">
        <v>0.05</v>
      </c>
      <c r="E8" s="9" t="s">
        <v>18</v>
      </c>
      <c r="F8" s="8">
        <f t="shared" si="0"/>
        <v>64.320000000000007</v>
      </c>
      <c r="G8" s="8">
        <f t="shared" si="1"/>
        <v>67.540000000000006</v>
      </c>
      <c r="H8" s="8">
        <f t="shared" si="1"/>
        <v>70.92</v>
      </c>
      <c r="I8" s="8">
        <f t="shared" si="1"/>
        <v>74.47</v>
      </c>
      <c r="J8" s="8">
        <f t="shared" si="1"/>
        <v>78.2</v>
      </c>
    </row>
    <row r="9" spans="1:10" x14ac:dyDescent="0.35">
      <c r="A9" s="10">
        <v>8</v>
      </c>
      <c r="B9" s="8">
        <f>ROUNDUP((Table5[[#This Row],[Present]] * (389/348)),0)</f>
        <v>21</v>
      </c>
      <c r="C9" s="8">
        <v>5.07</v>
      </c>
      <c r="D9" s="11">
        <v>0.03</v>
      </c>
      <c r="E9" s="9" t="s">
        <v>19</v>
      </c>
      <c r="F9" s="8">
        <f t="shared" si="0"/>
        <v>5.2299999999999995</v>
      </c>
      <c r="G9" s="8">
        <f t="shared" si="1"/>
        <v>5.39</v>
      </c>
      <c r="H9" s="8">
        <f t="shared" si="1"/>
        <v>5.56</v>
      </c>
      <c r="I9" s="8">
        <f t="shared" si="1"/>
        <v>5.7299999999999995</v>
      </c>
      <c r="J9" s="8">
        <f t="shared" si="1"/>
        <v>5.91</v>
      </c>
    </row>
    <row r="10" spans="1:10" x14ac:dyDescent="0.35">
      <c r="A10" s="10" t="s">
        <v>11</v>
      </c>
      <c r="B10" s="8">
        <f>ROUNDUP((Table5[[#This Row],[Present]] * (389/348)),0)</f>
        <v>14</v>
      </c>
      <c r="C10" s="8">
        <v>72.900000000000006</v>
      </c>
      <c r="D10" s="11">
        <v>0.08</v>
      </c>
      <c r="E10" s="9" t="s">
        <v>20</v>
      </c>
      <c r="F10" s="8">
        <f t="shared" si="0"/>
        <v>78.740000000000009</v>
      </c>
      <c r="G10" s="8">
        <f t="shared" si="1"/>
        <v>85.04</v>
      </c>
      <c r="H10" s="8">
        <f t="shared" si="1"/>
        <v>91.850000000000009</v>
      </c>
      <c r="I10" s="8">
        <f t="shared" si="1"/>
        <v>99.2</v>
      </c>
      <c r="J10" s="8">
        <f t="shared" si="1"/>
        <v>107.14</v>
      </c>
    </row>
    <row r="11" spans="1:10" x14ac:dyDescent="0.35">
      <c r="A11" s="10"/>
      <c r="B11" s="8"/>
      <c r="C11" s="8"/>
      <c r="D11" s="8"/>
      <c r="E11" s="10" t="s">
        <v>28</v>
      </c>
      <c r="F11" s="8">
        <f>SUBTOTAL(109,Table579[Year 1])</f>
        <v>8877.5399999999991</v>
      </c>
      <c r="G11" s="8">
        <f>SUBTOTAL(109,Table579[Year 2])</f>
        <v>10650.280000000002</v>
      </c>
      <c r="H11" s="8">
        <f>SUBTOTAL(109,Table579[Year 3])</f>
        <v>12796.76</v>
      </c>
      <c r="I11" s="8">
        <f>SUBTOTAL(109,Table579[Year 4])</f>
        <v>15398.36</v>
      </c>
      <c r="J11" s="8">
        <f>SUBTOTAL(109,Table579[Year 5])</f>
        <v>18554.599999999999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563A-B6ED-4409-8C82-6BE78F2B4F73}">
  <dimension ref="A1:J65"/>
  <sheetViews>
    <sheetView topLeftCell="A48" workbookViewId="0">
      <selection activeCell="A56" sqref="A56:J65"/>
    </sheetView>
  </sheetViews>
  <sheetFormatPr defaultRowHeight="14.5" x14ac:dyDescent="0.35"/>
  <sheetData>
    <row r="1" spans="1:10" x14ac:dyDescent="0.3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11</v>
      </c>
    </row>
    <row r="2" spans="1:10" x14ac:dyDescent="0.35">
      <c r="A2" s="8">
        <v>1</v>
      </c>
      <c r="B2" s="8">
        <v>363.25799999999998</v>
      </c>
      <c r="C2" s="8">
        <v>83.0304</v>
      </c>
      <c r="D2" s="8">
        <v>10.3788</v>
      </c>
      <c r="E2" s="8">
        <v>0</v>
      </c>
      <c r="F2" s="8">
        <v>10.3788</v>
      </c>
      <c r="G2" s="8">
        <v>5.1894</v>
      </c>
      <c r="H2" s="8">
        <v>0</v>
      </c>
      <c r="I2" s="8">
        <v>0</v>
      </c>
      <c r="J2" s="8">
        <v>0</v>
      </c>
    </row>
    <row r="3" spans="1:10" x14ac:dyDescent="0.35">
      <c r="A3" s="8">
        <v>2</v>
      </c>
      <c r="B3" s="8"/>
      <c r="C3" s="8">
        <v>349.27199999999999</v>
      </c>
      <c r="D3" s="8">
        <v>34.927199999999999</v>
      </c>
      <c r="E3" s="8">
        <v>17.4636</v>
      </c>
      <c r="F3" s="8">
        <v>34.927199999999999</v>
      </c>
      <c r="G3" s="8">
        <v>0</v>
      </c>
      <c r="H3" s="8">
        <v>349.27199999999999</v>
      </c>
      <c r="I3" s="8">
        <v>0</v>
      </c>
      <c r="J3" s="8">
        <v>349.27199999999999</v>
      </c>
    </row>
    <row r="4" spans="1:10" x14ac:dyDescent="0.35">
      <c r="A4" s="8">
        <v>3</v>
      </c>
      <c r="B4" s="8"/>
      <c r="C4" s="8"/>
      <c r="D4" s="8">
        <v>153.66399999999999</v>
      </c>
      <c r="E4" s="8">
        <v>3.8416000000000001</v>
      </c>
      <c r="F4" s="8">
        <v>1.9208000000000001</v>
      </c>
      <c r="G4" s="8">
        <v>0</v>
      </c>
      <c r="H4" s="8">
        <v>0</v>
      </c>
      <c r="I4" s="8">
        <v>0</v>
      </c>
      <c r="J4" s="8">
        <v>1.9208000000000001</v>
      </c>
    </row>
    <row r="5" spans="1:10" x14ac:dyDescent="0.35">
      <c r="A5" s="8">
        <v>4</v>
      </c>
      <c r="B5" s="8"/>
      <c r="C5" s="8"/>
      <c r="D5" s="8"/>
      <c r="E5" s="8">
        <v>15.12</v>
      </c>
      <c r="F5" s="8">
        <v>0.108</v>
      </c>
      <c r="G5" s="8">
        <v>0.108</v>
      </c>
      <c r="H5" s="8">
        <v>0.108</v>
      </c>
      <c r="I5" s="8">
        <v>0.108</v>
      </c>
      <c r="J5" s="8">
        <v>0.108</v>
      </c>
    </row>
    <row r="6" spans="1:10" x14ac:dyDescent="0.35">
      <c r="A6" s="8">
        <v>5</v>
      </c>
      <c r="B6" s="8"/>
      <c r="C6" s="8"/>
      <c r="D6" s="8"/>
      <c r="E6" s="8"/>
      <c r="F6" s="8">
        <v>368.64</v>
      </c>
      <c r="G6" s="8">
        <v>245.76</v>
      </c>
      <c r="H6" s="8">
        <v>122.88</v>
      </c>
      <c r="I6" s="8">
        <v>0</v>
      </c>
      <c r="J6" s="8">
        <v>122.88</v>
      </c>
    </row>
    <row r="7" spans="1:10" x14ac:dyDescent="0.35">
      <c r="A7" s="8">
        <v>6</v>
      </c>
      <c r="B7" s="8"/>
      <c r="C7" s="8"/>
      <c r="D7" s="8"/>
      <c r="E7" s="8"/>
      <c r="F7" s="8"/>
      <c r="G7" s="8">
        <v>129.96</v>
      </c>
      <c r="H7" s="8">
        <v>0</v>
      </c>
      <c r="I7" s="8">
        <v>0</v>
      </c>
      <c r="J7" s="8">
        <v>0</v>
      </c>
    </row>
    <row r="8" spans="1:10" x14ac:dyDescent="0.35">
      <c r="A8" s="8">
        <v>7</v>
      </c>
      <c r="B8" s="8"/>
      <c r="C8" s="8"/>
      <c r="D8" s="8"/>
      <c r="E8" s="8"/>
      <c r="F8" s="8"/>
      <c r="G8" s="8"/>
      <c r="H8" s="8">
        <v>6.125</v>
      </c>
      <c r="I8" s="8">
        <v>6.125</v>
      </c>
      <c r="J8" s="8">
        <v>6.125</v>
      </c>
    </row>
    <row r="9" spans="1:10" x14ac:dyDescent="0.35">
      <c r="A9" s="8">
        <v>8</v>
      </c>
      <c r="B9" s="8"/>
      <c r="C9" s="8"/>
      <c r="D9" s="8"/>
      <c r="E9" s="8"/>
      <c r="F9" s="8"/>
      <c r="G9" s="8"/>
      <c r="H9" s="8"/>
      <c r="I9" s="8">
        <v>1.014</v>
      </c>
      <c r="J9" s="8">
        <v>1.014</v>
      </c>
    </row>
    <row r="10" spans="1:10" x14ac:dyDescent="0.35">
      <c r="A10" s="8" t="s">
        <v>11</v>
      </c>
      <c r="B10" s="8"/>
      <c r="C10" s="8"/>
      <c r="D10" s="8"/>
      <c r="E10" s="8"/>
      <c r="F10" s="8"/>
      <c r="G10" s="8"/>
      <c r="H10" s="8"/>
      <c r="I10" s="8"/>
      <c r="J10" s="8">
        <v>18.225000000000001</v>
      </c>
    </row>
    <row r="12" spans="1:10" x14ac:dyDescent="0.35">
      <c r="A12" s="8" t="s">
        <v>29</v>
      </c>
      <c r="B12" s="8" t="s">
        <v>30</v>
      </c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11</v>
      </c>
    </row>
    <row r="13" spans="1:10" x14ac:dyDescent="0.35">
      <c r="A13" s="8">
        <v>1</v>
      </c>
      <c r="B13" s="8">
        <f t="shared" ref="B13:B21" si="0">(B2*0.12) + B2</f>
        <v>406.84895999999998</v>
      </c>
      <c r="C13" s="8">
        <f>ROUNDUP((C2 * 0.12) + C2,3)</f>
        <v>92.995000000000005</v>
      </c>
      <c r="D13" s="8">
        <f>ROUNDUP((D2 * 0.08) + D2,3)</f>
        <v>11.209999999999999</v>
      </c>
      <c r="E13" s="8">
        <v>0</v>
      </c>
      <c r="F13" s="8">
        <f>ROUNDUP((F2 * 0.12) + F2,3)</f>
        <v>11.625</v>
      </c>
      <c r="G13" s="8">
        <f>ROUNDUP((G2 * 0.12) + G2,3)</f>
        <v>5.8130000000000006</v>
      </c>
      <c r="H13" s="8">
        <v>0</v>
      </c>
      <c r="I13" s="8">
        <v>0</v>
      </c>
      <c r="J13" s="8">
        <v>0</v>
      </c>
    </row>
    <row r="14" spans="1:10" x14ac:dyDescent="0.35">
      <c r="A14" s="8">
        <v>2</v>
      </c>
      <c r="B14" s="8"/>
      <c r="C14" s="8">
        <f>ROUNDUP((C3 * 0.22) +C3,3)</f>
        <v>426.11199999999997</v>
      </c>
      <c r="D14" s="8">
        <f>ROUNDUP((D3 * 0.08) + D3,3)</f>
        <v>37.721999999999994</v>
      </c>
      <c r="E14" s="8">
        <f>(E3*0.1) + E3</f>
        <v>19.209959999999999</v>
      </c>
      <c r="F14" s="8">
        <v>34.927199999999999</v>
      </c>
      <c r="G14" s="8">
        <v>0</v>
      </c>
      <c r="H14" s="8">
        <f>(H3*0.05)+H3</f>
        <v>366.73559999999998</v>
      </c>
      <c r="I14" s="8">
        <v>0</v>
      </c>
      <c r="J14" s="8">
        <f>(J3*0.08)+J3</f>
        <v>377.21375999999998</v>
      </c>
    </row>
    <row r="15" spans="1:10" x14ac:dyDescent="0.35">
      <c r="A15" s="8">
        <v>3</v>
      </c>
      <c r="B15" s="8"/>
      <c r="C15" s="8"/>
      <c r="D15" s="8">
        <f>ROUNDUP((D4 * 0.08) + D4,3)</f>
        <v>165.958</v>
      </c>
      <c r="E15" s="8">
        <f>ROUNDUP((E4 * 0.08) + E4,3)</f>
        <v>4.149</v>
      </c>
      <c r="F15" s="8">
        <f>ROUNDUP((F4 * 0.08) + F4,3)</f>
        <v>2.0749999999999997</v>
      </c>
      <c r="G15" s="8">
        <v>0</v>
      </c>
      <c r="H15" s="8">
        <v>0</v>
      </c>
      <c r="I15" s="8">
        <v>0</v>
      </c>
      <c r="J15" s="8">
        <f>(J4*0.08)+J4</f>
        <v>2.0744639999999999</v>
      </c>
    </row>
    <row r="16" spans="1:10" x14ac:dyDescent="0.35">
      <c r="A16" s="8">
        <v>4</v>
      </c>
      <c r="B16" s="8"/>
      <c r="C16" s="8"/>
      <c r="D16" s="8"/>
      <c r="E16" s="8">
        <f>(E5*0.1) + E5</f>
        <v>16.631999999999998</v>
      </c>
      <c r="F16" s="8">
        <f>(F5*0.1) + F5</f>
        <v>0.1188</v>
      </c>
      <c r="G16" s="8">
        <f>(G5*0.1) + G5</f>
        <v>0.1188</v>
      </c>
      <c r="H16" s="8">
        <f>(H5*0.05)+H5</f>
        <v>0.1134</v>
      </c>
      <c r="I16" s="8">
        <f>(I5*0.03)+I5</f>
        <v>0.11124000000000001</v>
      </c>
      <c r="J16" s="8">
        <f>(J5*0.08)+J5</f>
        <v>0.11663999999999999</v>
      </c>
    </row>
    <row r="17" spans="1:10" x14ac:dyDescent="0.35">
      <c r="A17" s="8">
        <v>5</v>
      </c>
      <c r="B17" s="8"/>
      <c r="C17" s="8"/>
      <c r="D17" s="8"/>
      <c r="E17" s="8"/>
      <c r="F17" s="8">
        <f>(F6*0.18)+F6</f>
        <v>434.99519999999995</v>
      </c>
      <c r="G17" s="8">
        <f>(G6*0.18)+G6</f>
        <v>289.99680000000001</v>
      </c>
      <c r="H17" s="8">
        <f>(H6*0.05)+H6</f>
        <v>129.024</v>
      </c>
      <c r="I17" s="8">
        <v>0</v>
      </c>
      <c r="J17" s="8">
        <f>(J6*0.08)+J6</f>
        <v>132.71039999999999</v>
      </c>
    </row>
    <row r="18" spans="1:10" x14ac:dyDescent="0.35">
      <c r="A18" s="8">
        <v>6</v>
      </c>
      <c r="B18" s="8"/>
      <c r="C18" s="8"/>
      <c r="D18" s="8"/>
      <c r="E18" s="8"/>
      <c r="F18" s="8"/>
      <c r="G18" s="8">
        <f>(G7*0.25)+G7</f>
        <v>162.45000000000002</v>
      </c>
      <c r="H18" s="8">
        <v>0</v>
      </c>
      <c r="I18" s="8">
        <v>0</v>
      </c>
      <c r="J18" s="8">
        <v>0</v>
      </c>
    </row>
    <row r="19" spans="1:10" x14ac:dyDescent="0.35">
      <c r="A19" s="8">
        <v>7</v>
      </c>
      <c r="B19" s="8"/>
      <c r="C19" s="8"/>
      <c r="D19" s="8"/>
      <c r="E19" s="8"/>
      <c r="F19" s="8"/>
      <c r="G19" s="8"/>
      <c r="H19" s="8">
        <f>(H8*0.05)+H8</f>
        <v>6.4312500000000004</v>
      </c>
      <c r="I19" s="8">
        <f>(I8*0.03)+I8</f>
        <v>6.3087499999999999</v>
      </c>
      <c r="J19" s="8">
        <v>6.125</v>
      </c>
    </row>
    <row r="20" spans="1:10" x14ac:dyDescent="0.35">
      <c r="A20" s="8">
        <v>8</v>
      </c>
      <c r="B20" s="8"/>
      <c r="C20" s="8"/>
      <c r="D20" s="8"/>
      <c r="E20" s="8"/>
      <c r="F20" s="8"/>
      <c r="G20" s="8"/>
      <c r="H20" s="8"/>
      <c r="I20" s="8">
        <f>(I9*0.03)+I9</f>
        <v>1.0444199999999999</v>
      </c>
      <c r="J20" s="8">
        <f>(J9*0.03)+J9</f>
        <v>1.0444199999999999</v>
      </c>
    </row>
    <row r="21" spans="1:10" x14ac:dyDescent="0.35">
      <c r="A21" s="8" t="s">
        <v>11</v>
      </c>
      <c r="B21" s="8"/>
      <c r="C21" s="8"/>
      <c r="D21" s="8"/>
      <c r="E21" s="8"/>
      <c r="F21" s="8"/>
      <c r="G21" s="8"/>
      <c r="H21" s="8"/>
      <c r="I21" s="8"/>
      <c r="J21" s="8">
        <f>(J10*0.08)+J10</f>
        <v>19.683</v>
      </c>
    </row>
    <row r="23" spans="1:10" x14ac:dyDescent="0.35">
      <c r="A23" s="8" t="s">
        <v>29</v>
      </c>
      <c r="B23" s="8" t="s">
        <v>30</v>
      </c>
      <c r="C23" s="8" t="s">
        <v>31</v>
      </c>
      <c r="D23" s="8" t="s">
        <v>32</v>
      </c>
      <c r="E23" s="8" t="s">
        <v>33</v>
      </c>
      <c r="F23" s="8" t="s">
        <v>34</v>
      </c>
      <c r="G23" s="8" t="s">
        <v>35</v>
      </c>
      <c r="H23" s="8" t="s">
        <v>36</v>
      </c>
      <c r="I23" s="8" t="s">
        <v>37</v>
      </c>
      <c r="J23" s="8" t="s">
        <v>11</v>
      </c>
    </row>
    <row r="24" spans="1:10" x14ac:dyDescent="0.35">
      <c r="A24" s="8">
        <v>1</v>
      </c>
      <c r="B24" s="8">
        <f t="shared" ref="B24:B32" si="1">(B13*0.12) + B13</f>
        <v>455.67083519999994</v>
      </c>
      <c r="C24" s="8">
        <f>ROUNDUP((C13 * 0.12) + C13,3)</f>
        <v>104.155</v>
      </c>
      <c r="D24" s="8">
        <f>ROUNDUP((D13 * 0.08) + D13,3)</f>
        <v>12.106999999999999</v>
      </c>
      <c r="E24" s="8">
        <v>0</v>
      </c>
      <c r="F24" s="8">
        <f>ROUNDUP((F13 * 0.12) + F13,3)</f>
        <v>13.02</v>
      </c>
      <c r="G24" s="8">
        <f>ROUNDUP((G13 * 0.12) + G13,3)</f>
        <v>6.5110000000000001</v>
      </c>
      <c r="H24" s="8">
        <v>0</v>
      </c>
      <c r="I24" s="8">
        <v>0</v>
      </c>
      <c r="J24" s="8">
        <v>0</v>
      </c>
    </row>
    <row r="25" spans="1:10" x14ac:dyDescent="0.35">
      <c r="A25" s="8">
        <v>2</v>
      </c>
      <c r="B25" s="8"/>
      <c r="C25" s="8">
        <f>ROUNDUP((C14 * 0.22) +C14,3)</f>
        <v>519.85699999999997</v>
      </c>
      <c r="D25" s="8">
        <f>ROUNDUP((D14 * 0.08) + D14,3)</f>
        <v>40.739999999999995</v>
      </c>
      <c r="E25" s="8">
        <f>(E14*0.1) + E14</f>
        <v>21.130955999999998</v>
      </c>
      <c r="F25" s="8">
        <v>34.927199999999999</v>
      </c>
      <c r="G25" s="8">
        <v>0</v>
      </c>
      <c r="H25" s="8">
        <f>(H14*0.05)+H14</f>
        <v>385.07237999999995</v>
      </c>
      <c r="I25" s="8">
        <v>0</v>
      </c>
      <c r="J25" s="8">
        <f>(J14*0.08)+J14</f>
        <v>407.39086079999998</v>
      </c>
    </row>
    <row r="26" spans="1:10" x14ac:dyDescent="0.35">
      <c r="A26" s="8">
        <v>3</v>
      </c>
      <c r="B26" s="8"/>
      <c r="C26" s="8"/>
      <c r="D26" s="8">
        <f>ROUNDUP((D15 * 0.08) + D15,3)</f>
        <v>179.23500000000001</v>
      </c>
      <c r="E26" s="8">
        <f>ROUNDUP((E15 * 0.08) + E15,3)</f>
        <v>4.4810000000000008</v>
      </c>
      <c r="F26" s="8">
        <f>ROUNDUP((F15 * 0.08) + F15,3)</f>
        <v>2.2410000000000001</v>
      </c>
      <c r="G26" s="8">
        <v>0</v>
      </c>
      <c r="H26" s="8">
        <v>0</v>
      </c>
      <c r="I26" s="8">
        <v>0</v>
      </c>
      <c r="J26" s="8">
        <f>(J15*0.08)+J15</f>
        <v>2.2404211199999997</v>
      </c>
    </row>
    <row r="27" spans="1:10" x14ac:dyDescent="0.35">
      <c r="A27" s="8">
        <v>4</v>
      </c>
      <c r="B27" s="8"/>
      <c r="C27" s="8"/>
      <c r="D27" s="8"/>
      <c r="E27" s="8">
        <f>(E16*0.1) + E16</f>
        <v>18.295199999999998</v>
      </c>
      <c r="F27" s="8">
        <f>(F16*0.1) + F16</f>
        <v>0.13068000000000002</v>
      </c>
      <c r="G27" s="8">
        <f>(G16*0.1) + G16</f>
        <v>0.13068000000000002</v>
      </c>
      <c r="H27" s="8">
        <f>(H16*0.05)+H16</f>
        <v>0.11907</v>
      </c>
      <c r="I27" s="8">
        <f>(I16*0.03)+I16</f>
        <v>0.1145772</v>
      </c>
      <c r="J27" s="8">
        <f>(J16*0.08)+J16</f>
        <v>0.12597120000000001</v>
      </c>
    </row>
    <row r="28" spans="1:10" x14ac:dyDescent="0.35">
      <c r="A28" s="8">
        <v>5</v>
      </c>
      <c r="B28" s="8"/>
      <c r="C28" s="8"/>
      <c r="D28" s="8"/>
      <c r="E28" s="8"/>
      <c r="F28" s="8">
        <f>(F17*0.18)+F17</f>
        <v>513.29433599999993</v>
      </c>
      <c r="G28" s="8">
        <f>(G17*0.18)+G17</f>
        <v>342.19622400000003</v>
      </c>
      <c r="H28" s="8">
        <f>(H17*0.05)+H17</f>
        <v>135.4752</v>
      </c>
      <c r="I28" s="8">
        <v>0</v>
      </c>
      <c r="J28" s="8">
        <f>(J17*0.08)+J17</f>
        <v>143.32723199999998</v>
      </c>
    </row>
    <row r="29" spans="1:10" x14ac:dyDescent="0.35">
      <c r="A29" s="8">
        <v>6</v>
      </c>
      <c r="B29" s="8"/>
      <c r="C29" s="8"/>
      <c r="D29" s="8"/>
      <c r="E29" s="8"/>
      <c r="F29" s="8"/>
      <c r="G29" s="8">
        <f>(G18*0.25)+G18</f>
        <v>203.06250000000003</v>
      </c>
      <c r="H29" s="8">
        <v>0</v>
      </c>
      <c r="I29" s="8">
        <v>0</v>
      </c>
      <c r="J29" s="8">
        <v>0</v>
      </c>
    </row>
    <row r="30" spans="1:10" x14ac:dyDescent="0.35">
      <c r="A30" s="8">
        <v>7</v>
      </c>
      <c r="B30" s="8"/>
      <c r="C30" s="8"/>
      <c r="D30" s="8"/>
      <c r="E30" s="8"/>
      <c r="F30" s="8"/>
      <c r="G30" s="8"/>
      <c r="H30" s="8">
        <f>(H19*0.05)+H19</f>
        <v>6.7528125000000001</v>
      </c>
      <c r="I30" s="8">
        <f>(I19*0.03)+I19</f>
        <v>6.4980124999999997</v>
      </c>
      <c r="J30" s="8">
        <v>6.125</v>
      </c>
    </row>
    <row r="31" spans="1:10" x14ac:dyDescent="0.35">
      <c r="A31" s="8">
        <v>8</v>
      </c>
      <c r="B31" s="8"/>
      <c r="C31" s="8"/>
      <c r="D31" s="8"/>
      <c r="E31" s="8"/>
      <c r="F31" s="8"/>
      <c r="G31" s="8"/>
      <c r="H31" s="8"/>
      <c r="I31" s="8">
        <f>(I20*0.03)+I20</f>
        <v>1.0757525999999999</v>
      </c>
      <c r="J31" s="8">
        <f>(J20*0.03)+J20</f>
        <v>1.0757525999999999</v>
      </c>
    </row>
    <row r="32" spans="1:10" x14ac:dyDescent="0.35">
      <c r="A32" s="8" t="s">
        <v>11</v>
      </c>
      <c r="B32" s="8"/>
      <c r="C32" s="8"/>
      <c r="D32" s="8"/>
      <c r="E32" s="8"/>
      <c r="F32" s="8"/>
      <c r="G32" s="8"/>
      <c r="H32" s="8"/>
      <c r="I32" s="8"/>
      <c r="J32" s="8">
        <f>(J21*0.08)+J21</f>
        <v>21.257639999999999</v>
      </c>
    </row>
    <row r="34" spans="1:10" x14ac:dyDescent="0.35">
      <c r="A34" s="8" t="s">
        <v>29</v>
      </c>
      <c r="B34" s="8" t="s">
        <v>30</v>
      </c>
      <c r="C34" s="8" t="s">
        <v>31</v>
      </c>
      <c r="D34" s="8" t="s">
        <v>32</v>
      </c>
      <c r="E34" s="8" t="s">
        <v>33</v>
      </c>
      <c r="F34" s="8" t="s">
        <v>34</v>
      </c>
      <c r="G34" s="8" t="s">
        <v>35</v>
      </c>
      <c r="H34" s="8" t="s">
        <v>36</v>
      </c>
      <c r="I34" s="8" t="s">
        <v>37</v>
      </c>
      <c r="J34" s="8" t="s">
        <v>11</v>
      </c>
    </row>
    <row r="35" spans="1:10" x14ac:dyDescent="0.35">
      <c r="A35" s="8">
        <v>1</v>
      </c>
      <c r="B35" s="8">
        <f t="shared" ref="B35:B43" si="2">(B24*0.12) + B24</f>
        <v>510.35133542399996</v>
      </c>
      <c r="C35" s="8">
        <f>ROUNDUP((C24 * 0.12) + C24,3)</f>
        <v>116.65400000000001</v>
      </c>
      <c r="D35" s="8">
        <f>ROUNDUP((D24 * 0.08) + D24,3)</f>
        <v>13.075999999999999</v>
      </c>
      <c r="E35" s="8">
        <v>0</v>
      </c>
      <c r="F35" s="8">
        <f>ROUNDUP((F24 * 0.12) + F24,3)</f>
        <v>14.583</v>
      </c>
      <c r="G35" s="8">
        <f>ROUNDUP((G24 * 0.12) + G24,3)</f>
        <v>7.2930000000000001</v>
      </c>
      <c r="H35" s="8">
        <v>0</v>
      </c>
      <c r="I35" s="8">
        <v>0</v>
      </c>
      <c r="J35" s="8">
        <v>0</v>
      </c>
    </row>
    <row r="36" spans="1:10" x14ac:dyDescent="0.35">
      <c r="A36" s="8">
        <v>2</v>
      </c>
      <c r="B36" s="8"/>
      <c r="C36" s="8">
        <f>ROUNDUP((C25 * 0.22) +C25,3)</f>
        <v>634.226</v>
      </c>
      <c r="D36" s="8">
        <f>ROUNDUP((D25 * 0.08) + D25,3)</f>
        <v>44</v>
      </c>
      <c r="E36" s="8">
        <f>(E25*0.1) + E25</f>
        <v>23.244051599999999</v>
      </c>
      <c r="F36" s="8">
        <v>34.927199999999999</v>
      </c>
      <c r="G36" s="8">
        <v>0</v>
      </c>
      <c r="H36" s="8">
        <f>(H25*0.05)+H25</f>
        <v>404.32599899999997</v>
      </c>
      <c r="I36" s="8">
        <v>0</v>
      </c>
      <c r="J36" s="8">
        <f>(J25*0.08)+J25</f>
        <v>439.98212966400001</v>
      </c>
    </row>
    <row r="37" spans="1:10" x14ac:dyDescent="0.35">
      <c r="A37" s="8">
        <v>3</v>
      </c>
      <c r="B37" s="8"/>
      <c r="C37" s="8"/>
      <c r="D37" s="8">
        <f>ROUNDUP((D26 * 0.08) + D26,3)</f>
        <v>193.57400000000001</v>
      </c>
      <c r="E37" s="8">
        <f>ROUNDUP((E26 * 0.08) + E26,3)</f>
        <v>4.8400000000000007</v>
      </c>
      <c r="F37" s="8">
        <f>ROUNDUP((F26 * 0.08) + F26,3)</f>
        <v>2.4209999999999998</v>
      </c>
      <c r="G37" s="8">
        <v>0</v>
      </c>
      <c r="H37" s="8">
        <v>0</v>
      </c>
      <c r="I37" s="8">
        <v>0</v>
      </c>
      <c r="J37" s="8">
        <f>(J26*0.08)+J26</f>
        <v>2.4196548095999999</v>
      </c>
    </row>
    <row r="38" spans="1:10" x14ac:dyDescent="0.35">
      <c r="A38" s="8">
        <v>4</v>
      </c>
      <c r="B38" s="8"/>
      <c r="C38" s="8"/>
      <c r="D38" s="8"/>
      <c r="E38" s="8">
        <f>(E27*0.1) + E27</f>
        <v>20.124719999999996</v>
      </c>
      <c r="F38" s="8">
        <f>(F27*0.1) + F27</f>
        <v>0.14374800000000001</v>
      </c>
      <c r="G38" s="8">
        <f>(G27*0.1) + G27</f>
        <v>0.14374800000000001</v>
      </c>
      <c r="H38" s="8">
        <f>(H27*0.05)+H27</f>
        <v>0.12502350000000001</v>
      </c>
      <c r="I38" s="8">
        <f>(I27*0.03)+I27</f>
        <v>0.118014516</v>
      </c>
      <c r="J38" s="8">
        <f>(J27*0.08)+J27</f>
        <v>0.136048896</v>
      </c>
    </row>
    <row r="39" spans="1:10" x14ac:dyDescent="0.35">
      <c r="A39" s="8">
        <v>5</v>
      </c>
      <c r="B39" s="8"/>
      <c r="C39" s="8"/>
      <c r="D39" s="8"/>
      <c r="E39" s="8"/>
      <c r="F39" s="8">
        <f>(F28*0.18)+F28</f>
        <v>605.68731647999994</v>
      </c>
      <c r="G39" s="8">
        <f>(G28*0.18)+G28</f>
        <v>403.79154432000001</v>
      </c>
      <c r="H39" s="8">
        <f>(H28*0.05)+H28</f>
        <v>142.24896000000001</v>
      </c>
      <c r="I39" s="8">
        <v>0</v>
      </c>
      <c r="J39" s="8">
        <f>(J28*0.08)+J28</f>
        <v>154.79341055999998</v>
      </c>
    </row>
    <row r="40" spans="1:10" x14ac:dyDescent="0.35">
      <c r="A40" s="8">
        <v>6</v>
      </c>
      <c r="B40" s="8"/>
      <c r="C40" s="8"/>
      <c r="D40" s="8"/>
      <c r="E40" s="8"/>
      <c r="F40" s="8"/>
      <c r="G40" s="8">
        <f>(G29*0.25)+G29</f>
        <v>253.82812500000003</v>
      </c>
      <c r="H40" s="8">
        <v>0</v>
      </c>
      <c r="I40" s="8">
        <v>0</v>
      </c>
      <c r="J40" s="8">
        <v>0</v>
      </c>
    </row>
    <row r="41" spans="1:10" x14ac:dyDescent="0.35">
      <c r="A41" s="8">
        <v>7</v>
      </c>
      <c r="B41" s="8"/>
      <c r="C41" s="8"/>
      <c r="D41" s="8"/>
      <c r="E41" s="8"/>
      <c r="F41" s="8"/>
      <c r="G41" s="8"/>
      <c r="H41" s="8">
        <f>(H30*0.05)+H30</f>
        <v>7.0904531249999998</v>
      </c>
      <c r="I41" s="8">
        <f>(I30*0.03)+I30</f>
        <v>6.6929528749999996</v>
      </c>
      <c r="J41" s="8">
        <v>6.125</v>
      </c>
    </row>
    <row r="42" spans="1:10" x14ac:dyDescent="0.35">
      <c r="A42" s="8">
        <v>8</v>
      </c>
      <c r="B42" s="8"/>
      <c r="C42" s="8"/>
      <c r="D42" s="8"/>
      <c r="E42" s="8"/>
      <c r="F42" s="8"/>
      <c r="G42" s="8"/>
      <c r="H42" s="8"/>
      <c r="I42" s="8">
        <f>(I31*0.03)+I31</f>
        <v>1.1080251779999999</v>
      </c>
      <c r="J42" s="8">
        <f>(J31*0.03)+J31</f>
        <v>1.1080251779999999</v>
      </c>
    </row>
    <row r="43" spans="1:10" x14ac:dyDescent="0.35">
      <c r="A43" s="8" t="s">
        <v>11</v>
      </c>
      <c r="B43" s="8"/>
      <c r="C43" s="8"/>
      <c r="D43" s="8"/>
      <c r="E43" s="8"/>
      <c r="F43" s="8"/>
      <c r="G43" s="8"/>
      <c r="H43" s="8"/>
      <c r="I43" s="8"/>
      <c r="J43" s="8">
        <f>(J32*0.08)+J32</f>
        <v>22.958251199999999</v>
      </c>
    </row>
    <row r="45" spans="1:10" x14ac:dyDescent="0.35">
      <c r="A45" s="8" t="s">
        <v>29</v>
      </c>
      <c r="B45" s="8" t="s">
        <v>30</v>
      </c>
      <c r="C45" s="8" t="s">
        <v>31</v>
      </c>
      <c r="D45" s="8" t="s">
        <v>32</v>
      </c>
      <c r="E45" s="8" t="s">
        <v>33</v>
      </c>
      <c r="F45" s="8" t="s">
        <v>34</v>
      </c>
      <c r="G45" s="8" t="s">
        <v>35</v>
      </c>
      <c r="H45" s="8" t="s">
        <v>36</v>
      </c>
      <c r="I45" s="8" t="s">
        <v>37</v>
      </c>
      <c r="J45" s="8" t="s">
        <v>11</v>
      </c>
    </row>
    <row r="46" spans="1:10" x14ac:dyDescent="0.35">
      <c r="A46" s="8">
        <v>1</v>
      </c>
      <c r="B46" s="8">
        <f t="shared" ref="B46:B54" si="3">(B35*0.12) + B35</f>
        <v>571.59349567487993</v>
      </c>
      <c r="C46" s="8">
        <f>ROUNDUP((C35 * 0.12) + C35,3)</f>
        <v>130.65299999999999</v>
      </c>
      <c r="D46" s="8">
        <f>ROUNDUP((D35 * 0.08) + D35,3)</f>
        <v>14.122999999999999</v>
      </c>
      <c r="E46" s="8">
        <v>0</v>
      </c>
      <c r="F46" s="8">
        <f>ROUNDUP((F35 * 0.12) + F35,3)</f>
        <v>16.333000000000002</v>
      </c>
      <c r="G46" s="8">
        <f>ROUNDUP((G35 * 0.12) + G35,3)</f>
        <v>8.1689999999999987</v>
      </c>
      <c r="H46" s="8">
        <v>0</v>
      </c>
      <c r="I46" s="8">
        <v>0</v>
      </c>
      <c r="J46" s="8">
        <v>0</v>
      </c>
    </row>
    <row r="47" spans="1:10" x14ac:dyDescent="0.35">
      <c r="A47" s="8">
        <v>2</v>
      </c>
      <c r="B47" s="8"/>
      <c r="C47" s="8">
        <f>ROUNDUP((C36 * 0.22) +C36,3)</f>
        <v>773.75599999999997</v>
      </c>
      <c r="D47" s="8">
        <f>ROUNDUP((D36 * 0.08) + D36,3)</f>
        <v>47.52</v>
      </c>
      <c r="E47" s="8">
        <f>(E36*0.1) + E36</f>
        <v>25.56845676</v>
      </c>
      <c r="F47" s="8">
        <v>34.927199999999999</v>
      </c>
      <c r="G47" s="8">
        <v>0</v>
      </c>
      <c r="H47" s="8">
        <f>(H36*0.05)+H36</f>
        <v>424.54229894999997</v>
      </c>
      <c r="I47" s="8">
        <v>0</v>
      </c>
      <c r="J47" s="8">
        <f>(J36*0.08)+J36</f>
        <v>475.18070003712</v>
      </c>
    </row>
    <row r="48" spans="1:10" x14ac:dyDescent="0.35">
      <c r="A48" s="8">
        <v>3</v>
      </c>
      <c r="B48" s="8"/>
      <c r="C48" s="8"/>
      <c r="D48" s="8">
        <f>ROUNDUP((D37 * 0.08) + D37,3)</f>
        <v>209.06</v>
      </c>
      <c r="E48" s="8">
        <f>ROUNDUP((E37 * 0.08) + E37,3)</f>
        <v>5.2280000000000006</v>
      </c>
      <c r="F48" s="8">
        <f>ROUNDUP((F37 * 0.08) + F37,3)</f>
        <v>2.6149999999999998</v>
      </c>
      <c r="G48" s="8">
        <v>0</v>
      </c>
      <c r="H48" s="8">
        <v>0</v>
      </c>
      <c r="I48" s="8">
        <v>0</v>
      </c>
      <c r="J48" s="8">
        <f>(J37*0.08)+J37</f>
        <v>2.6132271943680001</v>
      </c>
    </row>
    <row r="49" spans="1:10" x14ac:dyDescent="0.35">
      <c r="A49" s="8">
        <v>4</v>
      </c>
      <c r="B49" s="8"/>
      <c r="C49" s="8"/>
      <c r="D49" s="8"/>
      <c r="E49" s="8">
        <f>(E38*0.1) + E38</f>
        <v>22.137191999999995</v>
      </c>
      <c r="F49" s="8">
        <f>(F38*0.1) + F38</f>
        <v>0.15812280000000001</v>
      </c>
      <c r="G49" s="8">
        <f>(G38*0.1) + G38</f>
        <v>0.15812280000000001</v>
      </c>
      <c r="H49" s="8">
        <f>(H38*0.05)+H38</f>
        <v>0.13127467500000001</v>
      </c>
      <c r="I49" s="8">
        <f>(I38*0.03)+I38</f>
        <v>0.12155495148000001</v>
      </c>
      <c r="J49" s="8">
        <f>(J38*0.08)+J38</f>
        <v>0.14693280768</v>
      </c>
    </row>
    <row r="50" spans="1:10" x14ac:dyDescent="0.35">
      <c r="A50" s="8">
        <v>5</v>
      </c>
      <c r="B50" s="8"/>
      <c r="C50" s="8"/>
      <c r="D50" s="8"/>
      <c r="E50" s="8"/>
      <c r="F50" s="8">
        <f>(F39*0.18)+F39</f>
        <v>714.71103344639994</v>
      </c>
      <c r="G50" s="8">
        <f>(G39*0.18)+G39</f>
        <v>476.47402229760002</v>
      </c>
      <c r="H50" s="8">
        <f>(H39*0.05)+H39</f>
        <v>149.36140800000001</v>
      </c>
      <c r="I50" s="8">
        <v>0</v>
      </c>
      <c r="J50" s="8">
        <f>(J39*0.08)+J39</f>
        <v>167.17688340479998</v>
      </c>
    </row>
    <row r="51" spans="1:10" x14ac:dyDescent="0.35">
      <c r="A51" s="8">
        <v>6</v>
      </c>
      <c r="B51" s="8"/>
      <c r="C51" s="8"/>
      <c r="D51" s="8"/>
      <c r="E51" s="8"/>
      <c r="F51" s="8"/>
      <c r="G51" s="8">
        <f>(G40*0.25)+G40</f>
        <v>317.28515625000006</v>
      </c>
      <c r="H51" s="8">
        <v>0</v>
      </c>
      <c r="I51" s="8">
        <v>0</v>
      </c>
      <c r="J51" s="8">
        <v>0</v>
      </c>
    </row>
    <row r="52" spans="1:10" x14ac:dyDescent="0.35">
      <c r="A52" s="8">
        <v>7</v>
      </c>
      <c r="B52" s="8"/>
      <c r="C52" s="8"/>
      <c r="D52" s="8"/>
      <c r="E52" s="8"/>
      <c r="F52" s="8"/>
      <c r="G52" s="8"/>
      <c r="H52" s="8">
        <f>(H41*0.05)+H41</f>
        <v>7.4449757812500001</v>
      </c>
      <c r="I52" s="8">
        <f>(I41*0.03)+I41</f>
        <v>6.8937414612499994</v>
      </c>
      <c r="J52" s="8">
        <v>6.125</v>
      </c>
    </row>
    <row r="53" spans="1:10" x14ac:dyDescent="0.35">
      <c r="A53" s="8">
        <v>8</v>
      </c>
      <c r="B53" s="8"/>
      <c r="C53" s="8"/>
      <c r="D53" s="8"/>
      <c r="E53" s="8"/>
      <c r="F53" s="8"/>
      <c r="G53" s="8"/>
      <c r="H53" s="8"/>
      <c r="I53" s="8">
        <f>(I42*0.03)+I42</f>
        <v>1.1412659333399999</v>
      </c>
      <c r="J53" s="8">
        <f>(J42*0.03)+J42</f>
        <v>1.1412659333399999</v>
      </c>
    </row>
    <row r="54" spans="1:10" x14ac:dyDescent="0.35">
      <c r="A54" s="8" t="s">
        <v>11</v>
      </c>
      <c r="B54" s="8"/>
      <c r="C54" s="8"/>
      <c r="D54" s="8"/>
      <c r="E54" s="8"/>
      <c r="F54" s="8"/>
      <c r="G54" s="8"/>
      <c r="H54" s="8"/>
      <c r="I54" s="8"/>
      <c r="J54" s="8">
        <f>(J43*0.08)+J43</f>
        <v>24.794911295999999</v>
      </c>
    </row>
    <row r="56" spans="1:10" x14ac:dyDescent="0.35">
      <c r="A56" s="8" t="s">
        <v>29</v>
      </c>
      <c r="B56" s="8" t="s">
        <v>30</v>
      </c>
      <c r="C56" s="8" t="s">
        <v>31</v>
      </c>
      <c r="D56" s="8" t="s">
        <v>32</v>
      </c>
      <c r="E56" s="8" t="s">
        <v>33</v>
      </c>
      <c r="F56" s="8" t="s">
        <v>34</v>
      </c>
      <c r="G56" s="8" t="s">
        <v>35</v>
      </c>
      <c r="H56" s="8" t="s">
        <v>36</v>
      </c>
      <c r="I56" s="8" t="s">
        <v>37</v>
      </c>
      <c r="J56" s="8" t="s">
        <v>11</v>
      </c>
    </row>
    <row r="57" spans="1:10" x14ac:dyDescent="0.35">
      <c r="A57" s="8">
        <v>1</v>
      </c>
      <c r="B57" s="8">
        <f t="shared" ref="B57:B65" si="4">(B46*0.12) + B46</f>
        <v>640.18471515586555</v>
      </c>
      <c r="C57" s="8">
        <f>ROUNDUP((C46 * 0.12) + C46,3)</f>
        <v>146.33199999999999</v>
      </c>
      <c r="D57" s="8">
        <f>ROUNDUP((D46 * 0.08) + D46,3)</f>
        <v>15.253</v>
      </c>
      <c r="E57" s="8">
        <v>0</v>
      </c>
      <c r="F57" s="8">
        <f>ROUNDUP((F46 * 0.12) + F46,3)</f>
        <v>18.293000000000003</v>
      </c>
      <c r="G57" s="8">
        <f>ROUNDUP((G46 * 0.12) + G46,3)</f>
        <v>9.1499999999999986</v>
      </c>
      <c r="H57" s="8">
        <v>0</v>
      </c>
      <c r="I57" s="8">
        <v>0</v>
      </c>
      <c r="J57" s="8">
        <v>0</v>
      </c>
    </row>
    <row r="58" spans="1:10" x14ac:dyDescent="0.35">
      <c r="A58" s="8">
        <v>2</v>
      </c>
      <c r="B58" s="8"/>
      <c r="C58" s="8">
        <f>ROUNDUP((C47 * 0.22) +C47,3)</f>
        <v>943.98299999999995</v>
      </c>
      <c r="D58" s="8">
        <f>ROUNDUP((D47 * 0.08) + D47,3)</f>
        <v>51.321999999999996</v>
      </c>
      <c r="E58" s="8">
        <f>(E47*0.1) + E47</f>
        <v>28.125302435999998</v>
      </c>
      <c r="F58" s="8">
        <v>34.927199999999999</v>
      </c>
      <c r="G58" s="8">
        <v>0</v>
      </c>
      <c r="H58" s="8">
        <f>(H47*0.05)+H47</f>
        <v>445.76941389749999</v>
      </c>
      <c r="I58" s="8">
        <v>0</v>
      </c>
      <c r="J58" s="8">
        <f>(J47*0.08)+J47</f>
        <v>513.19515604008961</v>
      </c>
    </row>
    <row r="59" spans="1:10" x14ac:dyDescent="0.35">
      <c r="A59" s="8">
        <v>3</v>
      </c>
      <c r="B59" s="8"/>
      <c r="C59" s="8"/>
      <c r="D59" s="8">
        <f>ROUNDUP((D48 * 0.08) + D48,3)</f>
        <v>225.785</v>
      </c>
      <c r="E59" s="8">
        <f>ROUNDUP((E48 * 0.08) + E48,3)</f>
        <v>5.6470000000000002</v>
      </c>
      <c r="F59" s="8">
        <f>ROUNDUP((F48 * 0.08) + F48,3)</f>
        <v>2.8249999999999997</v>
      </c>
      <c r="G59" s="8">
        <v>0</v>
      </c>
      <c r="H59" s="8">
        <v>0</v>
      </c>
      <c r="I59" s="8">
        <v>0</v>
      </c>
      <c r="J59" s="8">
        <f>(J48*0.08)+J48</f>
        <v>2.8222853699174402</v>
      </c>
    </row>
    <row r="60" spans="1:10" x14ac:dyDescent="0.35">
      <c r="A60" s="8">
        <v>4</v>
      </c>
      <c r="B60" s="8"/>
      <c r="C60" s="8"/>
      <c r="D60" s="8"/>
      <c r="E60" s="8">
        <f>(E49*0.1) + E49</f>
        <v>24.350911199999995</v>
      </c>
      <c r="F60" s="8">
        <f>(F49*0.1) + F49</f>
        <v>0.17393508000000002</v>
      </c>
      <c r="G60" s="8">
        <f>(G49*0.1) + G49</f>
        <v>0.17393508000000002</v>
      </c>
      <c r="H60" s="8">
        <f>(H49*0.05)+H49</f>
        <v>0.13783840875</v>
      </c>
      <c r="I60" s="8">
        <f>(I49*0.03)+I49</f>
        <v>0.12520160002440001</v>
      </c>
      <c r="J60" s="8">
        <f>(J49*0.08)+J49</f>
        <v>0.15868743229439999</v>
      </c>
    </row>
    <row r="61" spans="1:10" x14ac:dyDescent="0.35">
      <c r="A61" s="8">
        <v>5</v>
      </c>
      <c r="B61" s="8"/>
      <c r="C61" s="8"/>
      <c r="D61" s="8"/>
      <c r="E61" s="8"/>
      <c r="F61" s="8">
        <f>(F50*0.18)+F50</f>
        <v>843.35901946675199</v>
      </c>
      <c r="G61" s="8">
        <f>(G50*0.18)+G50</f>
        <v>562.23934631116799</v>
      </c>
      <c r="H61" s="8">
        <f>(H50*0.05)+H50</f>
        <v>156.8294784</v>
      </c>
      <c r="I61" s="8">
        <v>0</v>
      </c>
      <c r="J61" s="8">
        <f>(J50*0.08)+J50</f>
        <v>180.55103407718397</v>
      </c>
    </row>
    <row r="62" spans="1:10" x14ac:dyDescent="0.35">
      <c r="A62" s="8">
        <v>6</v>
      </c>
      <c r="B62" s="8"/>
      <c r="C62" s="8"/>
      <c r="D62" s="8"/>
      <c r="E62" s="8"/>
      <c r="F62" s="8"/>
      <c r="G62" s="8">
        <f>(G51*0.25)+G51</f>
        <v>396.60644531250006</v>
      </c>
      <c r="H62" s="8">
        <v>0</v>
      </c>
      <c r="I62" s="8">
        <v>0</v>
      </c>
      <c r="J62" s="8">
        <v>0</v>
      </c>
    </row>
    <row r="63" spans="1:10" x14ac:dyDescent="0.35">
      <c r="A63" s="8">
        <v>7</v>
      </c>
      <c r="B63" s="8"/>
      <c r="C63" s="8"/>
      <c r="D63" s="8"/>
      <c r="E63" s="8"/>
      <c r="F63" s="8"/>
      <c r="G63" s="8"/>
      <c r="H63" s="8">
        <f>(H52*0.05)+H52</f>
        <v>7.8172245703124998</v>
      </c>
      <c r="I63" s="8">
        <f>(I52*0.03)+I52</f>
        <v>7.1005537050874992</v>
      </c>
      <c r="J63" s="8">
        <v>6.125</v>
      </c>
    </row>
    <row r="64" spans="1:10" x14ac:dyDescent="0.35">
      <c r="A64" s="8">
        <v>8</v>
      </c>
      <c r="B64" s="8"/>
      <c r="C64" s="8"/>
      <c r="D64" s="8"/>
      <c r="E64" s="8"/>
      <c r="F64" s="8"/>
      <c r="G64" s="8"/>
      <c r="H64" s="8"/>
      <c r="I64" s="8">
        <f>(I53*0.03)+I53</f>
        <v>1.1755039113401999</v>
      </c>
      <c r="J64" s="8">
        <f>(J53*0.03)+J53</f>
        <v>1.1755039113401999</v>
      </c>
    </row>
    <row r="65" spans="1:10" x14ac:dyDescent="0.35">
      <c r="A65" s="8" t="s">
        <v>11</v>
      </c>
      <c r="B65" s="8"/>
      <c r="C65" s="8"/>
      <c r="D65" s="8"/>
      <c r="E65" s="8"/>
      <c r="F65" s="8"/>
      <c r="G65" s="8"/>
      <c r="H65" s="8"/>
      <c r="I65" s="8"/>
      <c r="J65" s="8">
        <f>(J54*0.08)+J54</f>
        <v>26.77850419968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C45F-8E65-4F1A-96CC-290B912BCDC2}">
  <dimension ref="A1:H89"/>
  <sheetViews>
    <sheetView workbookViewId="0">
      <selection sqref="A1:H14"/>
    </sheetView>
  </sheetViews>
  <sheetFormatPr defaultRowHeight="14.5" x14ac:dyDescent="0.35"/>
  <cols>
    <col min="1" max="1" width="7.36328125" customWidth="1"/>
    <col min="2" max="2" width="16.08984375" bestFit="1" customWidth="1"/>
    <col min="3" max="3" width="9.08984375" customWidth="1"/>
    <col min="4" max="4" width="18.08984375" customWidth="1"/>
    <col min="5" max="5" width="16" customWidth="1"/>
    <col min="6" max="6" width="9.453125" customWidth="1"/>
    <col min="7" max="7" width="14.453125" customWidth="1"/>
    <col min="8" max="8" width="15.453125" customWidth="1"/>
  </cols>
  <sheetData>
    <row r="1" spans="1:8" x14ac:dyDescent="0.35">
      <c r="A1" s="1" t="s">
        <v>24</v>
      </c>
      <c r="B1" s="1" t="s">
        <v>9</v>
      </c>
      <c r="C1" s="1" t="s">
        <v>0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5">
      <c r="A2" s="1">
        <v>1</v>
      </c>
      <c r="B2" s="1" t="s">
        <v>12</v>
      </c>
      <c r="C2" s="1">
        <f>Table5[[#This Row],[Present]]</f>
        <v>56</v>
      </c>
      <c r="D2" s="1">
        <f>C2-F2</f>
        <v>50</v>
      </c>
      <c r="E2" s="1">
        <f>180*D2</f>
        <v>9000</v>
      </c>
      <c r="F2" s="1">
        <f>ROUNDUP((C2*0.1),0)</f>
        <v>6</v>
      </c>
      <c r="G2" s="1">
        <f>100*F2</f>
        <v>600</v>
      </c>
      <c r="H2" s="1"/>
    </row>
    <row r="3" spans="1:8" x14ac:dyDescent="0.35">
      <c r="A3" s="1">
        <v>2</v>
      </c>
      <c r="B3" s="1" t="s">
        <v>13</v>
      </c>
      <c r="C3" s="1">
        <f>Table5[[#This Row],[Present]]</f>
        <v>64</v>
      </c>
      <c r="D3" s="1">
        <f t="shared" ref="D3:D10" si="0">C3-F3</f>
        <v>57</v>
      </c>
      <c r="E3" s="1">
        <f t="shared" ref="E3:E10" si="1">180*D3</f>
        <v>10260</v>
      </c>
      <c r="F3" s="1">
        <f t="shared" ref="F3:F10" si="2">ROUNDUP((C3*0.1),0)</f>
        <v>7</v>
      </c>
      <c r="G3" s="1">
        <f t="shared" ref="G3:G10" si="3">100*F3</f>
        <v>700</v>
      </c>
      <c r="H3" s="1"/>
    </row>
    <row r="4" spans="1:8" x14ac:dyDescent="0.35">
      <c r="A4" s="1">
        <v>3</v>
      </c>
      <c r="B4" s="1" t="s">
        <v>14</v>
      </c>
      <c r="C4" s="1">
        <f>Table5[[#This Row],[Present]]</f>
        <v>29</v>
      </c>
      <c r="D4" s="1">
        <f t="shared" si="0"/>
        <v>26</v>
      </c>
      <c r="E4" s="1">
        <f t="shared" si="1"/>
        <v>4680</v>
      </c>
      <c r="F4" s="1">
        <f t="shared" si="2"/>
        <v>3</v>
      </c>
      <c r="G4" s="1">
        <f t="shared" si="3"/>
        <v>300</v>
      </c>
      <c r="H4" s="1"/>
    </row>
    <row r="5" spans="1:8" x14ac:dyDescent="0.35">
      <c r="A5" s="1">
        <v>4</v>
      </c>
      <c r="B5" s="1" t="s">
        <v>16</v>
      </c>
      <c r="C5" s="1">
        <f>Table5[[#This Row],[Present]]</f>
        <v>27</v>
      </c>
      <c r="D5" s="1">
        <f t="shared" si="0"/>
        <v>24</v>
      </c>
      <c r="E5" s="1">
        <f t="shared" si="1"/>
        <v>4320</v>
      </c>
      <c r="F5" s="1">
        <f t="shared" si="2"/>
        <v>3</v>
      </c>
      <c r="G5" s="1">
        <f t="shared" si="3"/>
        <v>300</v>
      </c>
      <c r="H5" s="1"/>
    </row>
    <row r="6" spans="1:8" x14ac:dyDescent="0.35">
      <c r="A6" s="1">
        <v>5</v>
      </c>
      <c r="B6" s="1" t="s">
        <v>43</v>
      </c>
      <c r="C6" s="1">
        <f>Table5[[#This Row],[Present]]</f>
        <v>9</v>
      </c>
      <c r="D6" s="1">
        <f t="shared" si="0"/>
        <v>8</v>
      </c>
      <c r="E6" s="1">
        <f t="shared" si="1"/>
        <v>1440</v>
      </c>
      <c r="F6" s="1">
        <f t="shared" si="2"/>
        <v>1</v>
      </c>
      <c r="G6" s="1">
        <f t="shared" si="3"/>
        <v>100</v>
      </c>
      <c r="H6" s="1"/>
    </row>
    <row r="7" spans="1:8" x14ac:dyDescent="0.35">
      <c r="A7" s="1">
        <v>6</v>
      </c>
      <c r="B7" s="1" t="s">
        <v>44</v>
      </c>
      <c r="C7" s="1">
        <f>Table5[[#This Row],[Present]]</f>
        <v>97</v>
      </c>
      <c r="D7" s="1">
        <f t="shared" si="0"/>
        <v>87</v>
      </c>
      <c r="E7" s="1">
        <f t="shared" si="1"/>
        <v>15660</v>
      </c>
      <c r="F7" s="1">
        <f t="shared" si="2"/>
        <v>10</v>
      </c>
      <c r="G7" s="1">
        <f t="shared" si="3"/>
        <v>1000</v>
      </c>
      <c r="H7" s="1"/>
    </row>
    <row r="8" spans="1:8" x14ac:dyDescent="0.35">
      <c r="A8" s="1">
        <v>7</v>
      </c>
      <c r="B8" s="1" t="s">
        <v>18</v>
      </c>
      <c r="C8" s="1">
        <f>Table5[[#This Row],[Present]]</f>
        <v>36</v>
      </c>
      <c r="D8" s="1">
        <f t="shared" si="0"/>
        <v>32</v>
      </c>
      <c r="E8" s="1">
        <f t="shared" si="1"/>
        <v>5760</v>
      </c>
      <c r="F8" s="1">
        <f t="shared" si="2"/>
        <v>4</v>
      </c>
      <c r="G8" s="1">
        <f t="shared" si="3"/>
        <v>400</v>
      </c>
      <c r="H8" s="1"/>
    </row>
    <row r="9" spans="1:8" x14ac:dyDescent="0.35">
      <c r="A9" s="1">
        <v>8</v>
      </c>
      <c r="B9" s="1" t="s">
        <v>19</v>
      </c>
      <c r="C9" s="1">
        <f>Table5[[#This Row],[Present]]</f>
        <v>18</v>
      </c>
      <c r="D9" s="1">
        <f t="shared" si="0"/>
        <v>16</v>
      </c>
      <c r="E9" s="1">
        <f t="shared" si="1"/>
        <v>2880</v>
      </c>
      <c r="F9" s="1">
        <f t="shared" si="2"/>
        <v>2</v>
      </c>
      <c r="G9" s="1">
        <f t="shared" si="3"/>
        <v>200</v>
      </c>
      <c r="H9" s="1"/>
    </row>
    <row r="10" spans="1:8" ht="15" thickBot="1" x14ac:dyDescent="0.4">
      <c r="A10" s="12" t="s">
        <v>11</v>
      </c>
      <c r="B10" s="12" t="s">
        <v>20</v>
      </c>
      <c r="C10" s="12">
        <f>Table5[[#This Row],[Present]]</f>
        <v>12</v>
      </c>
      <c r="D10" s="12">
        <f t="shared" si="0"/>
        <v>10</v>
      </c>
      <c r="E10" s="12">
        <f t="shared" si="1"/>
        <v>1800</v>
      </c>
      <c r="F10" s="12">
        <f t="shared" si="2"/>
        <v>2</v>
      </c>
      <c r="G10" s="12">
        <f t="shared" si="3"/>
        <v>200</v>
      </c>
      <c r="H10" s="12">
        <f>D10*300</f>
        <v>3000</v>
      </c>
    </row>
    <row r="11" spans="1:8" ht="15" thickTop="1" x14ac:dyDescent="0.35">
      <c r="A11" s="1"/>
      <c r="B11" s="7" t="s">
        <v>45</v>
      </c>
      <c r="C11" s="1">
        <f>SUM(C2:C10)</f>
        <v>348</v>
      </c>
      <c r="D11" s="1">
        <f t="shared" ref="D11:H11" si="4">SUM(D2:D10)</f>
        <v>310</v>
      </c>
      <c r="E11" s="1">
        <f t="shared" si="4"/>
        <v>55800</v>
      </c>
      <c r="F11" s="1">
        <f t="shared" si="4"/>
        <v>38</v>
      </c>
      <c r="G11" s="1">
        <f t="shared" si="4"/>
        <v>3800</v>
      </c>
      <c r="H11" s="1">
        <f t="shared" si="4"/>
        <v>3000</v>
      </c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7" t="s">
        <v>26</v>
      </c>
      <c r="F13" s="7">
        <f>C11</f>
        <v>348</v>
      </c>
      <c r="G13" s="1"/>
      <c r="H13" s="1"/>
    </row>
    <row r="14" spans="1:8" x14ac:dyDescent="0.35">
      <c r="A14" s="1"/>
      <c r="B14" s="1"/>
      <c r="C14" s="1"/>
      <c r="D14" s="1"/>
      <c r="E14" s="7" t="s">
        <v>46</v>
      </c>
      <c r="F14" s="7">
        <f>SUM(E11+G11+H11)</f>
        <v>62600</v>
      </c>
      <c r="G14" s="1"/>
      <c r="H14" s="1"/>
    </row>
    <row r="16" spans="1:8" x14ac:dyDescent="0.35">
      <c r="A16" s="1" t="s">
        <v>24</v>
      </c>
      <c r="B16" s="1" t="s">
        <v>9</v>
      </c>
      <c r="C16" s="1" t="s">
        <v>0</v>
      </c>
      <c r="D16" s="1" t="s">
        <v>38</v>
      </c>
      <c r="E16" s="1" t="s">
        <v>39</v>
      </c>
      <c r="F16" s="1" t="s">
        <v>40</v>
      </c>
      <c r="G16" s="1" t="s">
        <v>41</v>
      </c>
      <c r="H16" s="1" t="s">
        <v>42</v>
      </c>
    </row>
    <row r="17" spans="1:8" x14ac:dyDescent="0.35">
      <c r="A17" s="1">
        <v>1</v>
      </c>
      <c r="B17" s="1" t="s">
        <v>12</v>
      </c>
      <c r="C17" s="1">
        <f>DeptGrowth!E2</f>
        <v>63</v>
      </c>
      <c r="D17" s="1">
        <f>C17-F17</f>
        <v>56</v>
      </c>
      <c r="E17" s="1">
        <f>180*D17</f>
        <v>10080</v>
      </c>
      <c r="F17" s="1">
        <f>ROUNDUP((C17*0.1),0)</f>
        <v>7</v>
      </c>
      <c r="G17" s="1">
        <f>100*F17</f>
        <v>700</v>
      </c>
      <c r="H17" s="1"/>
    </row>
    <row r="18" spans="1:8" x14ac:dyDescent="0.35">
      <c r="A18" s="1">
        <v>2</v>
      </c>
      <c r="B18" s="1" t="s">
        <v>13</v>
      </c>
      <c r="C18" s="1">
        <f>DeptGrowth!E3</f>
        <v>79</v>
      </c>
      <c r="D18" s="1">
        <f t="shared" ref="D18:D25" si="5">C18-F18</f>
        <v>71</v>
      </c>
      <c r="E18" s="1">
        <f t="shared" ref="E18:E25" si="6">180*D18</f>
        <v>12780</v>
      </c>
      <c r="F18" s="1">
        <f t="shared" ref="F18:F25" si="7">ROUNDUP((C18*0.1),0)</f>
        <v>8</v>
      </c>
      <c r="G18" s="1">
        <f t="shared" ref="G18:G25" si="8">100*F18</f>
        <v>800</v>
      </c>
      <c r="H18" s="1"/>
    </row>
    <row r="19" spans="1:8" x14ac:dyDescent="0.35">
      <c r="A19" s="1">
        <v>3</v>
      </c>
      <c r="B19" s="1" t="s">
        <v>14</v>
      </c>
      <c r="C19" s="1">
        <f>DeptGrowth!E4</f>
        <v>32</v>
      </c>
      <c r="D19" s="1">
        <f t="shared" si="5"/>
        <v>28</v>
      </c>
      <c r="E19" s="1">
        <f t="shared" si="6"/>
        <v>5040</v>
      </c>
      <c r="F19" s="1">
        <f t="shared" si="7"/>
        <v>4</v>
      </c>
      <c r="G19" s="1">
        <f t="shared" si="8"/>
        <v>400</v>
      </c>
      <c r="H19" s="1"/>
    </row>
    <row r="20" spans="1:8" x14ac:dyDescent="0.35">
      <c r="A20" s="1">
        <v>4</v>
      </c>
      <c r="B20" s="1" t="s">
        <v>16</v>
      </c>
      <c r="C20" s="1">
        <f>DeptGrowth!E5</f>
        <v>30</v>
      </c>
      <c r="D20" s="1">
        <f t="shared" si="5"/>
        <v>27</v>
      </c>
      <c r="E20" s="1">
        <f t="shared" si="6"/>
        <v>4860</v>
      </c>
      <c r="F20" s="1">
        <f t="shared" si="7"/>
        <v>3</v>
      </c>
      <c r="G20" s="1">
        <f t="shared" si="8"/>
        <v>300</v>
      </c>
      <c r="H20" s="1"/>
    </row>
    <row r="21" spans="1:8" x14ac:dyDescent="0.35">
      <c r="A21" s="1">
        <v>5</v>
      </c>
      <c r="B21" s="1" t="s">
        <v>43</v>
      </c>
      <c r="C21" s="1">
        <f>DeptGrowth!E6</f>
        <v>11</v>
      </c>
      <c r="D21" s="1">
        <f t="shared" si="5"/>
        <v>9</v>
      </c>
      <c r="E21" s="1">
        <f t="shared" si="6"/>
        <v>1620</v>
      </c>
      <c r="F21" s="1">
        <f t="shared" si="7"/>
        <v>2</v>
      </c>
      <c r="G21" s="1">
        <f t="shared" si="8"/>
        <v>200</v>
      </c>
      <c r="H21" s="1"/>
    </row>
    <row r="22" spans="1:8" x14ac:dyDescent="0.35">
      <c r="A22" s="1">
        <v>6</v>
      </c>
      <c r="B22" s="1" t="s">
        <v>44</v>
      </c>
      <c r="C22" s="1">
        <f>DeptGrowth!E7</f>
        <v>122</v>
      </c>
      <c r="D22" s="1">
        <f t="shared" si="5"/>
        <v>109</v>
      </c>
      <c r="E22" s="1">
        <f t="shared" si="6"/>
        <v>19620</v>
      </c>
      <c r="F22" s="1">
        <f t="shared" si="7"/>
        <v>13</v>
      </c>
      <c r="G22" s="1">
        <f t="shared" si="8"/>
        <v>1300</v>
      </c>
      <c r="H22" s="1"/>
    </row>
    <row r="23" spans="1:8" x14ac:dyDescent="0.35">
      <c r="A23" s="1">
        <v>7</v>
      </c>
      <c r="B23" s="1" t="s">
        <v>18</v>
      </c>
      <c r="C23" s="1">
        <f>DeptGrowth!E8</f>
        <v>38</v>
      </c>
      <c r="D23" s="1">
        <f t="shared" si="5"/>
        <v>34</v>
      </c>
      <c r="E23" s="1">
        <f t="shared" si="6"/>
        <v>6120</v>
      </c>
      <c r="F23" s="1">
        <f t="shared" si="7"/>
        <v>4</v>
      </c>
      <c r="G23" s="1">
        <f t="shared" si="8"/>
        <v>400</v>
      </c>
      <c r="H23" s="1"/>
    </row>
    <row r="24" spans="1:8" x14ac:dyDescent="0.35">
      <c r="A24" s="1">
        <v>8</v>
      </c>
      <c r="B24" s="1" t="s">
        <v>19</v>
      </c>
      <c r="C24" s="1">
        <f>DeptGrowth!E9</f>
        <v>19</v>
      </c>
      <c r="D24" s="1">
        <f t="shared" si="5"/>
        <v>17</v>
      </c>
      <c r="E24" s="1">
        <f t="shared" si="6"/>
        <v>3060</v>
      </c>
      <c r="F24" s="1">
        <f t="shared" si="7"/>
        <v>2</v>
      </c>
      <c r="G24" s="1">
        <f t="shared" si="8"/>
        <v>200</v>
      </c>
      <c r="H24" s="1"/>
    </row>
    <row r="25" spans="1:8" ht="15" thickBot="1" x14ac:dyDescent="0.4">
      <c r="A25" s="12" t="s">
        <v>11</v>
      </c>
      <c r="B25" s="12" t="s">
        <v>20</v>
      </c>
      <c r="C25" s="1">
        <f>DeptGrowth!E10</f>
        <v>13</v>
      </c>
      <c r="D25" s="12">
        <f t="shared" si="5"/>
        <v>11</v>
      </c>
      <c r="E25" s="12">
        <f t="shared" si="6"/>
        <v>1980</v>
      </c>
      <c r="F25" s="12">
        <f t="shared" si="7"/>
        <v>2</v>
      </c>
      <c r="G25" s="12">
        <f t="shared" si="8"/>
        <v>200</v>
      </c>
      <c r="H25" s="12">
        <f>D25*300</f>
        <v>3300</v>
      </c>
    </row>
    <row r="26" spans="1:8" ht="15" thickTop="1" x14ac:dyDescent="0.35">
      <c r="A26" s="1"/>
      <c r="B26" s="7" t="s">
        <v>45</v>
      </c>
      <c r="C26" s="1">
        <f>SUM(C17:C25)</f>
        <v>407</v>
      </c>
      <c r="D26" s="1">
        <f t="shared" ref="D26" si="9">SUM(D17:D25)</f>
        <v>362</v>
      </c>
      <c r="E26" s="1">
        <f t="shared" ref="E26" si="10">SUM(E17:E25)</f>
        <v>65160</v>
      </c>
      <c r="F26" s="1">
        <f t="shared" ref="F26" si="11">SUM(F17:F25)</f>
        <v>45</v>
      </c>
      <c r="G26" s="1">
        <f t="shared" ref="G26" si="12">SUM(G17:G25)</f>
        <v>4500</v>
      </c>
      <c r="H26" s="1">
        <f t="shared" ref="H26" si="13">SUM(H17:H25)</f>
        <v>3300</v>
      </c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7" t="s">
        <v>26</v>
      </c>
      <c r="F28" s="7">
        <f>C26</f>
        <v>407</v>
      </c>
      <c r="G28" s="1"/>
      <c r="H28" s="1"/>
    </row>
    <row r="29" spans="1:8" x14ac:dyDescent="0.35">
      <c r="A29" s="1"/>
      <c r="B29" s="1"/>
      <c r="C29" s="1"/>
      <c r="D29" s="1"/>
      <c r="E29" s="7" t="s">
        <v>46</v>
      </c>
      <c r="F29" s="7">
        <f>SUM(E26+G26+H26)</f>
        <v>72960</v>
      </c>
      <c r="G29" s="1"/>
      <c r="H29" s="1"/>
    </row>
    <row r="31" spans="1:8" x14ac:dyDescent="0.35">
      <c r="A31" s="1" t="s">
        <v>24</v>
      </c>
      <c r="B31" s="1" t="s">
        <v>9</v>
      </c>
      <c r="C31" s="1" t="s">
        <v>0</v>
      </c>
      <c r="D31" s="1" t="s">
        <v>38</v>
      </c>
      <c r="E31" s="1" t="s">
        <v>39</v>
      </c>
      <c r="F31" s="1" t="s">
        <v>40</v>
      </c>
      <c r="G31" s="1" t="s">
        <v>41</v>
      </c>
      <c r="H31" s="1" t="s">
        <v>42</v>
      </c>
    </row>
    <row r="32" spans="1:8" x14ac:dyDescent="0.35">
      <c r="A32" s="1">
        <v>1</v>
      </c>
      <c r="B32" s="1" t="s">
        <v>12</v>
      </c>
      <c r="C32" s="1">
        <f>DeptGrowth!F2</f>
        <v>71</v>
      </c>
      <c r="D32" s="1">
        <f>C32-F32</f>
        <v>63</v>
      </c>
      <c r="E32" s="1">
        <f>180*D32</f>
        <v>11340</v>
      </c>
      <c r="F32" s="1">
        <f>ROUNDUP((C32*0.1),0)</f>
        <v>8</v>
      </c>
      <c r="G32" s="1">
        <f>100*F32</f>
        <v>800</v>
      </c>
      <c r="H32" s="1"/>
    </row>
    <row r="33" spans="1:8" x14ac:dyDescent="0.35">
      <c r="A33" s="1">
        <v>2</v>
      </c>
      <c r="B33" s="1" t="s">
        <v>13</v>
      </c>
      <c r="C33" s="1">
        <f>DeptGrowth!F3</f>
        <v>97</v>
      </c>
      <c r="D33" s="1">
        <f t="shared" ref="D33:D40" si="14">C33-F33</f>
        <v>87</v>
      </c>
      <c r="E33" s="1">
        <f t="shared" ref="E33:E40" si="15">180*D33</f>
        <v>15660</v>
      </c>
      <c r="F33" s="1">
        <f t="shared" ref="F33:F40" si="16">ROUNDUP((C33*0.1),0)</f>
        <v>10</v>
      </c>
      <c r="G33" s="1">
        <f t="shared" ref="G33:G40" si="17">100*F33</f>
        <v>1000</v>
      </c>
      <c r="H33" s="1"/>
    </row>
    <row r="34" spans="1:8" x14ac:dyDescent="0.35">
      <c r="A34" s="1">
        <v>3</v>
      </c>
      <c r="B34" s="1" t="s">
        <v>14</v>
      </c>
      <c r="C34" s="1">
        <f>DeptGrowth!F4</f>
        <v>35</v>
      </c>
      <c r="D34" s="1">
        <f t="shared" si="14"/>
        <v>31</v>
      </c>
      <c r="E34" s="1">
        <f t="shared" si="15"/>
        <v>5580</v>
      </c>
      <c r="F34" s="1">
        <f t="shared" si="16"/>
        <v>4</v>
      </c>
      <c r="G34" s="1">
        <f t="shared" si="17"/>
        <v>400</v>
      </c>
      <c r="H34" s="1"/>
    </row>
    <row r="35" spans="1:8" x14ac:dyDescent="0.35">
      <c r="A35" s="1">
        <v>4</v>
      </c>
      <c r="B35" s="1" t="s">
        <v>16</v>
      </c>
      <c r="C35" s="1">
        <f>DeptGrowth!F5</f>
        <v>33</v>
      </c>
      <c r="D35" s="1">
        <f t="shared" si="14"/>
        <v>29</v>
      </c>
      <c r="E35" s="1">
        <f t="shared" si="15"/>
        <v>5220</v>
      </c>
      <c r="F35" s="1">
        <f t="shared" si="16"/>
        <v>4</v>
      </c>
      <c r="G35" s="1">
        <f t="shared" si="17"/>
        <v>400</v>
      </c>
      <c r="H35" s="1"/>
    </row>
    <row r="36" spans="1:8" x14ac:dyDescent="0.35">
      <c r="A36" s="1">
        <v>5</v>
      </c>
      <c r="B36" s="1" t="s">
        <v>43</v>
      </c>
      <c r="C36" s="1">
        <f>DeptGrowth!F6</f>
        <v>13</v>
      </c>
      <c r="D36" s="1">
        <f t="shared" si="14"/>
        <v>11</v>
      </c>
      <c r="E36" s="1">
        <f t="shared" si="15"/>
        <v>1980</v>
      </c>
      <c r="F36" s="1">
        <f t="shared" si="16"/>
        <v>2</v>
      </c>
      <c r="G36" s="1">
        <f t="shared" si="17"/>
        <v>200</v>
      </c>
      <c r="H36" s="1"/>
    </row>
    <row r="37" spans="1:8" x14ac:dyDescent="0.35">
      <c r="A37" s="1">
        <v>6</v>
      </c>
      <c r="B37" s="1" t="s">
        <v>44</v>
      </c>
      <c r="C37" s="1">
        <f>DeptGrowth!F7</f>
        <v>153</v>
      </c>
      <c r="D37" s="1">
        <f t="shared" si="14"/>
        <v>137</v>
      </c>
      <c r="E37" s="1">
        <f t="shared" si="15"/>
        <v>24660</v>
      </c>
      <c r="F37" s="1">
        <f t="shared" si="16"/>
        <v>16</v>
      </c>
      <c r="G37" s="1">
        <f t="shared" si="17"/>
        <v>1600</v>
      </c>
      <c r="H37" s="1"/>
    </row>
    <row r="38" spans="1:8" x14ac:dyDescent="0.35">
      <c r="A38" s="1">
        <v>7</v>
      </c>
      <c r="B38" s="1" t="s">
        <v>18</v>
      </c>
      <c r="C38" s="1">
        <f>DeptGrowth!F8</f>
        <v>40</v>
      </c>
      <c r="D38" s="1">
        <f t="shared" si="14"/>
        <v>36</v>
      </c>
      <c r="E38" s="1">
        <f t="shared" si="15"/>
        <v>6480</v>
      </c>
      <c r="F38" s="1">
        <f t="shared" si="16"/>
        <v>4</v>
      </c>
      <c r="G38" s="1">
        <f t="shared" si="17"/>
        <v>400</v>
      </c>
      <c r="H38" s="1"/>
    </row>
    <row r="39" spans="1:8" x14ac:dyDescent="0.35">
      <c r="A39" s="1">
        <v>8</v>
      </c>
      <c r="B39" s="1" t="s">
        <v>19</v>
      </c>
      <c r="C39" s="1">
        <f>DeptGrowth!F9</f>
        <v>20</v>
      </c>
      <c r="D39" s="1">
        <f t="shared" si="14"/>
        <v>18</v>
      </c>
      <c r="E39" s="1">
        <f t="shared" si="15"/>
        <v>3240</v>
      </c>
      <c r="F39" s="1">
        <f t="shared" si="16"/>
        <v>2</v>
      </c>
      <c r="G39" s="1">
        <f t="shared" si="17"/>
        <v>200</v>
      </c>
      <c r="H39" s="1"/>
    </row>
    <row r="40" spans="1:8" ht="15" thickBot="1" x14ac:dyDescent="0.4">
      <c r="A40" s="12" t="s">
        <v>11</v>
      </c>
      <c r="B40" s="12" t="s">
        <v>20</v>
      </c>
      <c r="C40" s="1">
        <f>DeptGrowth!F10</f>
        <v>15</v>
      </c>
      <c r="D40" s="12">
        <f t="shared" si="14"/>
        <v>13</v>
      </c>
      <c r="E40" s="12">
        <f t="shared" si="15"/>
        <v>2340</v>
      </c>
      <c r="F40" s="12">
        <f t="shared" si="16"/>
        <v>2</v>
      </c>
      <c r="G40" s="12">
        <f t="shared" si="17"/>
        <v>200</v>
      </c>
      <c r="H40" s="12">
        <f>D40*300</f>
        <v>3900</v>
      </c>
    </row>
    <row r="41" spans="1:8" ht="15" thickTop="1" x14ac:dyDescent="0.35">
      <c r="A41" s="1"/>
      <c r="B41" s="7" t="s">
        <v>45</v>
      </c>
      <c r="C41" s="1">
        <f>SUM(C32:C40)</f>
        <v>477</v>
      </c>
      <c r="D41" s="1">
        <f t="shared" ref="D41" si="18">SUM(D32:D40)</f>
        <v>425</v>
      </c>
      <c r="E41" s="1">
        <f t="shared" ref="E41" si="19">SUM(E32:E40)</f>
        <v>76500</v>
      </c>
      <c r="F41" s="1">
        <f t="shared" ref="F41" si="20">SUM(F32:F40)</f>
        <v>52</v>
      </c>
      <c r="G41" s="1">
        <f t="shared" ref="G41" si="21">SUM(G32:G40)</f>
        <v>5200</v>
      </c>
      <c r="H41" s="1">
        <f t="shared" ref="H41" si="22">SUM(H32:H40)</f>
        <v>3900</v>
      </c>
    </row>
    <row r="42" spans="1:8" x14ac:dyDescent="0.35">
      <c r="A42" s="1"/>
      <c r="B42" s="1"/>
      <c r="C42" s="1"/>
      <c r="D42" s="1"/>
      <c r="E42" s="1"/>
      <c r="F42" s="1"/>
      <c r="G42" s="1"/>
      <c r="H42" s="1"/>
    </row>
    <row r="43" spans="1:8" x14ac:dyDescent="0.35">
      <c r="A43" s="1"/>
      <c r="B43" s="1"/>
      <c r="C43" s="1"/>
      <c r="D43" s="1"/>
      <c r="E43" s="7" t="s">
        <v>26</v>
      </c>
      <c r="F43" s="7">
        <f>C41</f>
        <v>477</v>
      </c>
      <c r="G43" s="1"/>
      <c r="H43" s="1"/>
    </row>
    <row r="44" spans="1:8" x14ac:dyDescent="0.35">
      <c r="A44" s="1"/>
      <c r="B44" s="1"/>
      <c r="C44" s="1"/>
      <c r="D44" s="1"/>
      <c r="E44" s="7" t="s">
        <v>46</v>
      </c>
      <c r="F44" s="7">
        <f>SUM(E41+G41+H41)</f>
        <v>85600</v>
      </c>
      <c r="G44" s="1"/>
      <c r="H44" s="1"/>
    </row>
    <row r="46" spans="1:8" x14ac:dyDescent="0.35">
      <c r="A46" s="1" t="s">
        <v>24</v>
      </c>
      <c r="B46" s="1" t="s">
        <v>9</v>
      </c>
      <c r="C46" s="1" t="s">
        <v>0</v>
      </c>
      <c r="D46" s="1" t="s">
        <v>38</v>
      </c>
      <c r="E46" s="1" t="s">
        <v>39</v>
      </c>
      <c r="F46" s="1" t="s">
        <v>40</v>
      </c>
      <c r="G46" s="1" t="s">
        <v>41</v>
      </c>
      <c r="H46" s="1" t="s">
        <v>42</v>
      </c>
    </row>
    <row r="47" spans="1:8" x14ac:dyDescent="0.35">
      <c r="A47" s="1">
        <v>1</v>
      </c>
      <c r="B47" s="1" t="s">
        <v>12</v>
      </c>
      <c r="C47" s="1">
        <f>DeptGrowth!G2</f>
        <v>80</v>
      </c>
      <c r="D47" s="1">
        <f>C47-F47</f>
        <v>72</v>
      </c>
      <c r="E47" s="1">
        <f>180*D47</f>
        <v>12960</v>
      </c>
      <c r="F47" s="1">
        <f>ROUNDUP((C47*0.1),0)</f>
        <v>8</v>
      </c>
      <c r="G47" s="1">
        <f>100*F47</f>
        <v>800</v>
      </c>
      <c r="H47" s="1"/>
    </row>
    <row r="48" spans="1:8" x14ac:dyDescent="0.35">
      <c r="A48" s="1">
        <v>2</v>
      </c>
      <c r="B48" s="1" t="s">
        <v>13</v>
      </c>
      <c r="C48" s="1">
        <f>DeptGrowth!G3</f>
        <v>119</v>
      </c>
      <c r="D48" s="1">
        <f t="shared" ref="D48:D55" si="23">C48-F48</f>
        <v>107</v>
      </c>
      <c r="E48" s="1">
        <f t="shared" ref="E48:E55" si="24">180*D48</f>
        <v>19260</v>
      </c>
      <c r="F48" s="1">
        <f t="shared" ref="F48:F55" si="25">ROUNDUP((C48*0.1),0)</f>
        <v>12</v>
      </c>
      <c r="G48" s="1">
        <f t="shared" ref="G48:G55" si="26">100*F48</f>
        <v>1200</v>
      </c>
      <c r="H48" s="1"/>
    </row>
    <row r="49" spans="1:8" x14ac:dyDescent="0.35">
      <c r="A49" s="1">
        <v>3</v>
      </c>
      <c r="B49" s="1" t="s">
        <v>14</v>
      </c>
      <c r="C49" s="1">
        <f>DeptGrowth!G4</f>
        <v>38</v>
      </c>
      <c r="D49" s="1">
        <f t="shared" si="23"/>
        <v>34</v>
      </c>
      <c r="E49" s="1">
        <f t="shared" si="24"/>
        <v>6120</v>
      </c>
      <c r="F49" s="1">
        <f t="shared" si="25"/>
        <v>4</v>
      </c>
      <c r="G49" s="1">
        <f t="shared" si="26"/>
        <v>400</v>
      </c>
      <c r="H49" s="1"/>
    </row>
    <row r="50" spans="1:8" x14ac:dyDescent="0.35">
      <c r="A50" s="1">
        <v>4</v>
      </c>
      <c r="B50" s="1" t="s">
        <v>16</v>
      </c>
      <c r="C50" s="1">
        <f>DeptGrowth!G5</f>
        <v>37</v>
      </c>
      <c r="D50" s="1">
        <f t="shared" si="23"/>
        <v>33</v>
      </c>
      <c r="E50" s="1">
        <f t="shared" si="24"/>
        <v>5940</v>
      </c>
      <c r="F50" s="1">
        <f t="shared" si="25"/>
        <v>4</v>
      </c>
      <c r="G50" s="1">
        <f t="shared" si="26"/>
        <v>400</v>
      </c>
      <c r="H50" s="1"/>
    </row>
    <row r="51" spans="1:8" x14ac:dyDescent="0.35">
      <c r="A51" s="1">
        <v>5</v>
      </c>
      <c r="B51" s="1" t="s">
        <v>43</v>
      </c>
      <c r="C51" s="1">
        <f>DeptGrowth!G6</f>
        <v>16</v>
      </c>
      <c r="D51" s="1">
        <f t="shared" si="23"/>
        <v>14</v>
      </c>
      <c r="E51" s="1">
        <f t="shared" si="24"/>
        <v>2520</v>
      </c>
      <c r="F51" s="1">
        <f t="shared" si="25"/>
        <v>2</v>
      </c>
      <c r="G51" s="1">
        <f t="shared" si="26"/>
        <v>200</v>
      </c>
      <c r="H51" s="1"/>
    </row>
    <row r="52" spans="1:8" x14ac:dyDescent="0.35">
      <c r="A52" s="1">
        <v>6</v>
      </c>
      <c r="B52" s="1" t="s">
        <v>44</v>
      </c>
      <c r="C52" s="1">
        <f>DeptGrowth!G7</f>
        <v>192</v>
      </c>
      <c r="D52" s="1">
        <f t="shared" si="23"/>
        <v>172</v>
      </c>
      <c r="E52" s="1">
        <f t="shared" si="24"/>
        <v>30960</v>
      </c>
      <c r="F52" s="1">
        <f t="shared" si="25"/>
        <v>20</v>
      </c>
      <c r="G52" s="1">
        <f t="shared" si="26"/>
        <v>2000</v>
      </c>
      <c r="H52" s="1"/>
    </row>
    <row r="53" spans="1:8" x14ac:dyDescent="0.35">
      <c r="A53" s="1">
        <v>7</v>
      </c>
      <c r="B53" s="1" t="s">
        <v>18</v>
      </c>
      <c r="C53" s="1">
        <f>DeptGrowth!G8</f>
        <v>42</v>
      </c>
      <c r="D53" s="1">
        <f t="shared" si="23"/>
        <v>37</v>
      </c>
      <c r="E53" s="1">
        <f t="shared" si="24"/>
        <v>6660</v>
      </c>
      <c r="F53" s="1">
        <f t="shared" si="25"/>
        <v>5</v>
      </c>
      <c r="G53" s="1">
        <f t="shared" si="26"/>
        <v>500</v>
      </c>
      <c r="H53" s="1"/>
    </row>
    <row r="54" spans="1:8" x14ac:dyDescent="0.35">
      <c r="A54" s="1">
        <v>8</v>
      </c>
      <c r="B54" s="1" t="s">
        <v>19</v>
      </c>
      <c r="C54" s="1">
        <f>DeptGrowth!G9</f>
        <v>21</v>
      </c>
      <c r="D54" s="1">
        <f t="shared" si="23"/>
        <v>18</v>
      </c>
      <c r="E54" s="1">
        <f t="shared" si="24"/>
        <v>3240</v>
      </c>
      <c r="F54" s="1">
        <f t="shared" si="25"/>
        <v>3</v>
      </c>
      <c r="G54" s="1">
        <f t="shared" si="26"/>
        <v>300</v>
      </c>
      <c r="H54" s="1"/>
    </row>
    <row r="55" spans="1:8" ht="15" thickBot="1" x14ac:dyDescent="0.4">
      <c r="A55" s="12" t="s">
        <v>11</v>
      </c>
      <c r="B55" s="12" t="s">
        <v>20</v>
      </c>
      <c r="C55" s="1">
        <f>DeptGrowth!G10</f>
        <v>17</v>
      </c>
      <c r="D55" s="12">
        <f t="shared" si="23"/>
        <v>15</v>
      </c>
      <c r="E55" s="12">
        <f t="shared" si="24"/>
        <v>2700</v>
      </c>
      <c r="F55" s="12">
        <f t="shared" si="25"/>
        <v>2</v>
      </c>
      <c r="G55" s="12">
        <f t="shared" si="26"/>
        <v>200</v>
      </c>
      <c r="H55" s="12">
        <f>D55*300</f>
        <v>4500</v>
      </c>
    </row>
    <row r="56" spans="1:8" ht="15" thickTop="1" x14ac:dyDescent="0.35">
      <c r="A56" s="1"/>
      <c r="B56" s="7" t="s">
        <v>45</v>
      </c>
      <c r="C56" s="1">
        <f>SUM(C47:C55)</f>
        <v>562</v>
      </c>
      <c r="D56" s="1">
        <f t="shared" ref="D56" si="27">SUM(D47:D55)</f>
        <v>502</v>
      </c>
      <c r="E56" s="1">
        <f t="shared" ref="E56" si="28">SUM(E47:E55)</f>
        <v>90360</v>
      </c>
      <c r="F56" s="1">
        <f t="shared" ref="F56" si="29">SUM(F47:F55)</f>
        <v>60</v>
      </c>
      <c r="G56" s="1">
        <f t="shared" ref="G56" si="30">SUM(G47:G55)</f>
        <v>6000</v>
      </c>
      <c r="H56" s="1">
        <f t="shared" ref="H56" si="31">SUM(H47:H55)</f>
        <v>4500</v>
      </c>
    </row>
    <row r="57" spans="1:8" x14ac:dyDescent="0.35">
      <c r="A57" s="1"/>
      <c r="B57" s="1"/>
      <c r="C57" s="1"/>
      <c r="D57" s="1"/>
      <c r="E57" s="1"/>
      <c r="F57" s="1"/>
      <c r="G57" s="1"/>
      <c r="H57" s="1"/>
    </row>
    <row r="58" spans="1:8" x14ac:dyDescent="0.35">
      <c r="A58" s="1"/>
      <c r="B58" s="1"/>
      <c r="C58" s="1"/>
      <c r="D58" s="1"/>
      <c r="E58" s="7" t="s">
        <v>26</v>
      </c>
      <c r="F58" s="7">
        <f>C56</f>
        <v>562</v>
      </c>
      <c r="G58" s="1"/>
      <c r="H58" s="1"/>
    </row>
    <row r="59" spans="1:8" x14ac:dyDescent="0.35">
      <c r="A59" s="1"/>
      <c r="B59" s="1"/>
      <c r="C59" s="1"/>
      <c r="D59" s="1"/>
      <c r="E59" s="7" t="s">
        <v>46</v>
      </c>
      <c r="F59" s="7">
        <f>SUM(E56+G56+H56)</f>
        <v>100860</v>
      </c>
      <c r="G59" s="1"/>
      <c r="H59" s="1"/>
    </row>
    <row r="61" spans="1:8" x14ac:dyDescent="0.35">
      <c r="A61" s="1" t="s">
        <v>24</v>
      </c>
      <c r="B61" s="1" t="s">
        <v>9</v>
      </c>
      <c r="C61" s="1" t="s">
        <v>0</v>
      </c>
      <c r="D61" s="1" t="s">
        <v>38</v>
      </c>
      <c r="E61" s="1" t="s">
        <v>39</v>
      </c>
      <c r="F61" s="1" t="s">
        <v>40</v>
      </c>
      <c r="G61" s="1" t="s">
        <v>41</v>
      </c>
      <c r="H61" s="1" t="s">
        <v>42</v>
      </c>
    </row>
    <row r="62" spans="1:8" x14ac:dyDescent="0.35">
      <c r="A62" s="1">
        <v>1</v>
      </c>
      <c r="B62" s="1" t="s">
        <v>12</v>
      </c>
      <c r="C62" s="1">
        <f>DeptGrowth!H2</f>
        <v>90</v>
      </c>
      <c r="D62" s="1">
        <f>C62-F62</f>
        <v>81</v>
      </c>
      <c r="E62" s="1">
        <f>180*D62</f>
        <v>14580</v>
      </c>
      <c r="F62" s="1">
        <f>ROUNDUP((C62*0.1),0)</f>
        <v>9</v>
      </c>
      <c r="G62" s="1">
        <f>100*F62</f>
        <v>900</v>
      </c>
      <c r="H62" s="1"/>
    </row>
    <row r="63" spans="1:8" x14ac:dyDescent="0.35">
      <c r="A63" s="1">
        <v>2</v>
      </c>
      <c r="B63" s="1" t="s">
        <v>13</v>
      </c>
      <c r="C63" s="1">
        <f>DeptGrowth!H3</f>
        <v>146</v>
      </c>
      <c r="D63" s="1">
        <f t="shared" ref="D63:D70" si="32">C63-F63</f>
        <v>131</v>
      </c>
      <c r="E63" s="1">
        <f t="shared" ref="E63:E70" si="33">180*D63</f>
        <v>23580</v>
      </c>
      <c r="F63" s="1">
        <f t="shared" ref="F63:F70" si="34">ROUNDUP((C63*0.1),0)</f>
        <v>15</v>
      </c>
      <c r="G63" s="1">
        <f t="shared" ref="G63:G70" si="35">100*F63</f>
        <v>1500</v>
      </c>
      <c r="H63" s="1"/>
    </row>
    <row r="64" spans="1:8" x14ac:dyDescent="0.35">
      <c r="A64" s="1">
        <v>3</v>
      </c>
      <c r="B64" s="1" t="s">
        <v>14</v>
      </c>
      <c r="C64" s="1">
        <f>DeptGrowth!H4</f>
        <v>42</v>
      </c>
      <c r="D64" s="1">
        <f t="shared" si="32"/>
        <v>37</v>
      </c>
      <c r="E64" s="1">
        <f t="shared" si="33"/>
        <v>6660</v>
      </c>
      <c r="F64" s="1">
        <f t="shared" si="34"/>
        <v>5</v>
      </c>
      <c r="G64" s="1">
        <f t="shared" si="35"/>
        <v>500</v>
      </c>
      <c r="H64" s="1"/>
    </row>
    <row r="65" spans="1:8" x14ac:dyDescent="0.35">
      <c r="A65" s="1">
        <v>4</v>
      </c>
      <c r="B65" s="1" t="s">
        <v>16</v>
      </c>
      <c r="C65" s="1">
        <f>DeptGrowth!H5</f>
        <v>41</v>
      </c>
      <c r="D65" s="1">
        <f t="shared" si="32"/>
        <v>36</v>
      </c>
      <c r="E65" s="1">
        <f t="shared" si="33"/>
        <v>6480</v>
      </c>
      <c r="F65" s="1">
        <f t="shared" si="34"/>
        <v>5</v>
      </c>
      <c r="G65" s="1">
        <f t="shared" si="35"/>
        <v>500</v>
      </c>
      <c r="H65" s="1"/>
    </row>
    <row r="66" spans="1:8" x14ac:dyDescent="0.35">
      <c r="A66" s="1">
        <v>5</v>
      </c>
      <c r="B66" s="1" t="s">
        <v>43</v>
      </c>
      <c r="C66" s="1">
        <f>DeptGrowth!H6</f>
        <v>19</v>
      </c>
      <c r="D66" s="1">
        <f t="shared" si="32"/>
        <v>17</v>
      </c>
      <c r="E66" s="1">
        <f t="shared" si="33"/>
        <v>3060</v>
      </c>
      <c r="F66" s="1">
        <f t="shared" si="34"/>
        <v>2</v>
      </c>
      <c r="G66" s="1">
        <f t="shared" si="35"/>
        <v>200</v>
      </c>
      <c r="H66" s="1"/>
    </row>
    <row r="67" spans="1:8" x14ac:dyDescent="0.35">
      <c r="A67" s="1">
        <v>6</v>
      </c>
      <c r="B67" s="1" t="s">
        <v>44</v>
      </c>
      <c r="C67" s="1">
        <f>DeptGrowth!H7</f>
        <v>240</v>
      </c>
      <c r="D67" s="1">
        <f t="shared" si="32"/>
        <v>216</v>
      </c>
      <c r="E67" s="1">
        <f t="shared" si="33"/>
        <v>38880</v>
      </c>
      <c r="F67" s="1">
        <f t="shared" si="34"/>
        <v>24</v>
      </c>
      <c r="G67" s="1">
        <f t="shared" si="35"/>
        <v>2400</v>
      </c>
      <c r="H67" s="1"/>
    </row>
    <row r="68" spans="1:8" x14ac:dyDescent="0.35">
      <c r="A68" s="1">
        <v>7</v>
      </c>
      <c r="B68" s="1" t="s">
        <v>18</v>
      </c>
      <c r="C68" s="1">
        <f>DeptGrowth!H8</f>
        <v>45</v>
      </c>
      <c r="D68" s="1">
        <f t="shared" si="32"/>
        <v>40</v>
      </c>
      <c r="E68" s="1">
        <f t="shared" si="33"/>
        <v>7200</v>
      </c>
      <c r="F68" s="1">
        <f t="shared" si="34"/>
        <v>5</v>
      </c>
      <c r="G68" s="1">
        <f t="shared" si="35"/>
        <v>500</v>
      </c>
      <c r="H68" s="1"/>
    </row>
    <row r="69" spans="1:8" x14ac:dyDescent="0.35">
      <c r="A69" s="1">
        <v>8</v>
      </c>
      <c r="B69" s="1" t="s">
        <v>19</v>
      </c>
      <c r="C69" s="1">
        <f>DeptGrowth!H9</f>
        <v>22</v>
      </c>
      <c r="D69" s="1">
        <f t="shared" si="32"/>
        <v>19</v>
      </c>
      <c r="E69" s="1">
        <f t="shared" si="33"/>
        <v>3420</v>
      </c>
      <c r="F69" s="1">
        <f t="shared" si="34"/>
        <v>3</v>
      </c>
      <c r="G69" s="1">
        <f t="shared" si="35"/>
        <v>300</v>
      </c>
      <c r="H69" s="1"/>
    </row>
    <row r="70" spans="1:8" ht="15" thickBot="1" x14ac:dyDescent="0.4">
      <c r="A70" s="12" t="s">
        <v>11</v>
      </c>
      <c r="B70" s="12" t="s">
        <v>20</v>
      </c>
      <c r="C70" s="1">
        <f>DeptGrowth!H10</f>
        <v>19</v>
      </c>
      <c r="D70" s="12">
        <f t="shared" si="32"/>
        <v>17</v>
      </c>
      <c r="E70" s="12">
        <f t="shared" si="33"/>
        <v>3060</v>
      </c>
      <c r="F70" s="12">
        <f t="shared" si="34"/>
        <v>2</v>
      </c>
      <c r="G70" s="12">
        <f t="shared" si="35"/>
        <v>200</v>
      </c>
      <c r="H70" s="12">
        <f>D70*300</f>
        <v>5100</v>
      </c>
    </row>
    <row r="71" spans="1:8" ht="15" thickTop="1" x14ac:dyDescent="0.35">
      <c r="A71" s="1"/>
      <c r="B71" s="7" t="s">
        <v>45</v>
      </c>
      <c r="C71" s="1">
        <f>SUM(C62:C70)</f>
        <v>664</v>
      </c>
      <c r="D71" s="1">
        <f t="shared" ref="D71" si="36">SUM(D62:D70)</f>
        <v>594</v>
      </c>
      <c r="E71" s="1">
        <f t="shared" ref="E71" si="37">SUM(E62:E70)</f>
        <v>106920</v>
      </c>
      <c r="F71" s="1">
        <f t="shared" ref="F71" si="38">SUM(F62:F70)</f>
        <v>70</v>
      </c>
      <c r="G71" s="1">
        <f t="shared" ref="G71" si="39">SUM(G62:G70)</f>
        <v>7000</v>
      </c>
      <c r="H71" s="1">
        <f t="shared" ref="H71" si="40">SUM(H62:H70)</f>
        <v>5100</v>
      </c>
    </row>
    <row r="72" spans="1:8" x14ac:dyDescent="0.35">
      <c r="A72" s="1"/>
      <c r="B72" s="1"/>
      <c r="C72" s="1"/>
      <c r="D72" s="1"/>
      <c r="E72" s="1"/>
      <c r="F72" s="1"/>
      <c r="G72" s="1"/>
      <c r="H72" s="1"/>
    </row>
    <row r="73" spans="1:8" x14ac:dyDescent="0.35">
      <c r="A73" s="1"/>
      <c r="B73" s="1"/>
      <c r="C73" s="1"/>
      <c r="D73" s="1"/>
      <c r="E73" s="7" t="s">
        <v>26</v>
      </c>
      <c r="F73" s="7">
        <f>C71</f>
        <v>664</v>
      </c>
      <c r="G73" s="1"/>
      <c r="H73" s="1"/>
    </row>
    <row r="74" spans="1:8" x14ac:dyDescent="0.35">
      <c r="A74" s="1"/>
      <c r="B74" s="1"/>
      <c r="C74" s="1"/>
      <c r="D74" s="1"/>
      <c r="E74" s="7" t="s">
        <v>46</v>
      </c>
      <c r="F74" s="7">
        <f>SUM(E71+G71+H71)</f>
        <v>119020</v>
      </c>
      <c r="G74" s="1"/>
      <c r="H74" s="1"/>
    </row>
    <row r="76" spans="1:8" x14ac:dyDescent="0.35">
      <c r="A76" s="1" t="s">
        <v>24</v>
      </c>
      <c r="B76" s="1" t="s">
        <v>9</v>
      </c>
      <c r="C76" s="1" t="s">
        <v>0</v>
      </c>
      <c r="D76" s="1" t="s">
        <v>38</v>
      </c>
      <c r="E76" s="1" t="s">
        <v>39</v>
      </c>
      <c r="F76" s="1" t="s">
        <v>40</v>
      </c>
      <c r="G76" s="1" t="s">
        <v>41</v>
      </c>
      <c r="H76" s="1" t="s">
        <v>42</v>
      </c>
    </row>
    <row r="77" spans="1:8" x14ac:dyDescent="0.35">
      <c r="A77" s="1">
        <v>1</v>
      </c>
      <c r="B77" s="1" t="s">
        <v>12</v>
      </c>
      <c r="C77" s="1">
        <f>DeptGrowth!I2</f>
        <v>101</v>
      </c>
      <c r="D77" s="1">
        <f>C77-F77</f>
        <v>90</v>
      </c>
      <c r="E77" s="1">
        <f>180*D77</f>
        <v>16200</v>
      </c>
      <c r="F77" s="1">
        <f>ROUNDUP((C77*0.1),0)</f>
        <v>11</v>
      </c>
      <c r="G77" s="1">
        <f>100*F77</f>
        <v>1100</v>
      </c>
      <c r="H77" s="1"/>
    </row>
    <row r="78" spans="1:8" x14ac:dyDescent="0.35">
      <c r="A78" s="1">
        <v>2</v>
      </c>
      <c r="B78" s="1" t="s">
        <v>13</v>
      </c>
      <c r="C78" s="1">
        <f>DeptGrowth!I3</f>
        <v>179</v>
      </c>
      <c r="D78" s="1">
        <f t="shared" ref="D78:D85" si="41">C78-F78</f>
        <v>161</v>
      </c>
      <c r="E78" s="1">
        <f t="shared" ref="E78:E85" si="42">180*D78</f>
        <v>28980</v>
      </c>
      <c r="F78" s="1">
        <f t="shared" ref="F78:F85" si="43">ROUNDUP((C78*0.1),0)</f>
        <v>18</v>
      </c>
      <c r="G78" s="1">
        <f t="shared" ref="G78:G85" si="44">100*F78</f>
        <v>1800</v>
      </c>
      <c r="H78" s="1"/>
    </row>
    <row r="79" spans="1:8" x14ac:dyDescent="0.35">
      <c r="A79" s="1">
        <v>3</v>
      </c>
      <c r="B79" s="1" t="s">
        <v>14</v>
      </c>
      <c r="C79" s="1">
        <f>DeptGrowth!I4</f>
        <v>46</v>
      </c>
      <c r="D79" s="1">
        <f t="shared" si="41"/>
        <v>41</v>
      </c>
      <c r="E79" s="1">
        <f t="shared" si="42"/>
        <v>7380</v>
      </c>
      <c r="F79" s="1">
        <f t="shared" si="43"/>
        <v>5</v>
      </c>
      <c r="G79" s="1">
        <f t="shared" si="44"/>
        <v>500</v>
      </c>
      <c r="H79" s="1"/>
    </row>
    <row r="80" spans="1:8" x14ac:dyDescent="0.35">
      <c r="A80" s="1">
        <v>4</v>
      </c>
      <c r="B80" s="1" t="s">
        <v>16</v>
      </c>
      <c r="C80" s="1">
        <f>DeptGrowth!I5</f>
        <v>46</v>
      </c>
      <c r="D80" s="1">
        <f t="shared" si="41"/>
        <v>41</v>
      </c>
      <c r="E80" s="1">
        <f t="shared" si="42"/>
        <v>7380</v>
      </c>
      <c r="F80" s="1">
        <f t="shared" si="43"/>
        <v>5</v>
      </c>
      <c r="G80" s="1">
        <f t="shared" si="44"/>
        <v>500</v>
      </c>
      <c r="H80" s="1"/>
    </row>
    <row r="81" spans="1:8" x14ac:dyDescent="0.35">
      <c r="A81" s="1">
        <v>5</v>
      </c>
      <c r="B81" s="1" t="s">
        <v>43</v>
      </c>
      <c r="C81" s="1">
        <f>DeptGrowth!I6</f>
        <v>23</v>
      </c>
      <c r="D81" s="1">
        <f t="shared" si="41"/>
        <v>20</v>
      </c>
      <c r="E81" s="1">
        <f t="shared" si="42"/>
        <v>3600</v>
      </c>
      <c r="F81" s="1">
        <f t="shared" si="43"/>
        <v>3</v>
      </c>
      <c r="G81" s="1">
        <f t="shared" si="44"/>
        <v>300</v>
      </c>
      <c r="H81" s="1"/>
    </row>
    <row r="82" spans="1:8" x14ac:dyDescent="0.35">
      <c r="A82" s="1">
        <v>6</v>
      </c>
      <c r="B82" s="1" t="s">
        <v>44</v>
      </c>
      <c r="C82" s="1">
        <f>DeptGrowth!I7</f>
        <v>300</v>
      </c>
      <c r="D82" s="1">
        <f t="shared" si="41"/>
        <v>270</v>
      </c>
      <c r="E82" s="1">
        <f t="shared" si="42"/>
        <v>48600</v>
      </c>
      <c r="F82" s="1">
        <f t="shared" si="43"/>
        <v>30</v>
      </c>
      <c r="G82" s="1">
        <f t="shared" si="44"/>
        <v>3000</v>
      </c>
      <c r="H82" s="1"/>
    </row>
    <row r="83" spans="1:8" x14ac:dyDescent="0.35">
      <c r="A83" s="1">
        <v>7</v>
      </c>
      <c r="B83" s="1" t="s">
        <v>18</v>
      </c>
      <c r="C83" s="1">
        <f>DeptGrowth!I8</f>
        <v>48</v>
      </c>
      <c r="D83" s="1">
        <f t="shared" si="41"/>
        <v>43</v>
      </c>
      <c r="E83" s="1">
        <f t="shared" si="42"/>
        <v>7740</v>
      </c>
      <c r="F83" s="1">
        <f t="shared" si="43"/>
        <v>5</v>
      </c>
      <c r="G83" s="1">
        <f t="shared" si="44"/>
        <v>500</v>
      </c>
      <c r="H83" s="1"/>
    </row>
    <row r="84" spans="1:8" x14ac:dyDescent="0.35">
      <c r="A84" s="1">
        <v>8</v>
      </c>
      <c r="B84" s="1" t="s">
        <v>19</v>
      </c>
      <c r="C84" s="1">
        <f>DeptGrowth!I9</f>
        <v>23</v>
      </c>
      <c r="D84" s="1">
        <f t="shared" si="41"/>
        <v>20</v>
      </c>
      <c r="E84" s="1">
        <f t="shared" si="42"/>
        <v>3600</v>
      </c>
      <c r="F84" s="1">
        <f t="shared" si="43"/>
        <v>3</v>
      </c>
      <c r="G84" s="1">
        <f t="shared" si="44"/>
        <v>300</v>
      </c>
      <c r="H84" s="1"/>
    </row>
    <row r="85" spans="1:8" ht="15" thickBot="1" x14ac:dyDescent="0.4">
      <c r="A85" s="12" t="s">
        <v>11</v>
      </c>
      <c r="B85" s="12" t="s">
        <v>20</v>
      </c>
      <c r="C85" s="1">
        <f>DeptGrowth!I10</f>
        <v>21</v>
      </c>
      <c r="D85" s="12">
        <f t="shared" si="41"/>
        <v>18</v>
      </c>
      <c r="E85" s="12">
        <f t="shared" si="42"/>
        <v>3240</v>
      </c>
      <c r="F85" s="12">
        <f t="shared" si="43"/>
        <v>3</v>
      </c>
      <c r="G85" s="12">
        <f t="shared" si="44"/>
        <v>300</v>
      </c>
      <c r="H85" s="12">
        <f>D85*300</f>
        <v>5400</v>
      </c>
    </row>
    <row r="86" spans="1:8" ht="15" thickTop="1" x14ac:dyDescent="0.35">
      <c r="A86" s="1"/>
      <c r="B86" s="7" t="s">
        <v>45</v>
      </c>
      <c r="C86" s="1">
        <f>SUM(C77:C85)</f>
        <v>787</v>
      </c>
      <c r="D86" s="1">
        <f t="shared" ref="D86" si="45">SUM(D77:D85)</f>
        <v>704</v>
      </c>
      <c r="E86" s="1">
        <f t="shared" ref="E86" si="46">SUM(E77:E85)</f>
        <v>126720</v>
      </c>
      <c r="F86" s="1">
        <f t="shared" ref="F86" si="47">SUM(F77:F85)</f>
        <v>83</v>
      </c>
      <c r="G86" s="1">
        <f t="shared" ref="G86" si="48">SUM(G77:G85)</f>
        <v>8300</v>
      </c>
      <c r="H86" s="1">
        <f t="shared" ref="H86" si="49">SUM(H77:H85)</f>
        <v>5400</v>
      </c>
    </row>
    <row r="87" spans="1:8" x14ac:dyDescent="0.35">
      <c r="A87" s="1"/>
      <c r="B87" s="1"/>
      <c r="C87" s="1"/>
      <c r="D87" s="1"/>
      <c r="E87" s="1"/>
      <c r="F87" s="1"/>
      <c r="G87" s="1"/>
      <c r="H87" s="1"/>
    </row>
    <row r="88" spans="1:8" x14ac:dyDescent="0.35">
      <c r="A88" s="1"/>
      <c r="B88" s="1"/>
      <c r="C88" s="1"/>
      <c r="D88" s="1"/>
      <c r="E88" s="7" t="s">
        <v>26</v>
      </c>
      <c r="F88" s="7">
        <f>C86</f>
        <v>787</v>
      </c>
      <c r="G88" s="1"/>
      <c r="H88" s="1"/>
    </row>
    <row r="89" spans="1:8" x14ac:dyDescent="0.35">
      <c r="A89" s="1"/>
      <c r="B89" s="1"/>
      <c r="C89" s="1"/>
      <c r="D89" s="1"/>
      <c r="E89" s="7" t="s">
        <v>46</v>
      </c>
      <c r="F89" s="7">
        <f>SUM(E86+G86+H86)</f>
        <v>140420</v>
      </c>
      <c r="G89" s="1"/>
      <c r="H89" s="1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3E7A-21EA-4285-8223-ECD9C8660C89}">
  <dimension ref="A1:B21"/>
  <sheetViews>
    <sheetView workbookViewId="0">
      <selection activeCell="A5" sqref="A5:B21"/>
    </sheetView>
  </sheetViews>
  <sheetFormatPr defaultRowHeight="14.5" x14ac:dyDescent="0.35"/>
  <cols>
    <col min="1" max="1" width="42.453125" bestFit="1" customWidth="1"/>
    <col min="2" max="2" width="10.26953125" customWidth="1"/>
  </cols>
  <sheetData>
    <row r="1" spans="1:2" x14ac:dyDescent="0.35">
      <c r="A1" s="13"/>
    </row>
    <row r="2" spans="1:2" x14ac:dyDescent="0.35">
      <c r="A2" s="14" t="s">
        <v>64</v>
      </c>
    </row>
    <row r="3" spans="1:2" x14ac:dyDescent="0.35">
      <c r="A3" s="14"/>
    </row>
    <row r="5" spans="1:2" x14ac:dyDescent="0.35">
      <c r="A5" s="13" t="s">
        <v>47</v>
      </c>
    </row>
    <row r="6" spans="1:2" x14ac:dyDescent="0.35">
      <c r="A6" s="14" t="s">
        <v>49</v>
      </c>
      <c r="B6">
        <v>6</v>
      </c>
    </row>
    <row r="7" spans="1:2" x14ac:dyDescent="0.35">
      <c r="A7" s="14" t="s">
        <v>48</v>
      </c>
      <c r="B7">
        <v>5</v>
      </c>
    </row>
    <row r="8" spans="1:2" x14ac:dyDescent="0.35">
      <c r="A8" s="14" t="s">
        <v>50</v>
      </c>
      <c r="B8">
        <v>30</v>
      </c>
    </row>
    <row r="9" spans="1:2" x14ac:dyDescent="0.35">
      <c r="A9" s="13" t="s">
        <v>51</v>
      </c>
    </row>
    <row r="10" spans="1:2" x14ac:dyDescent="0.35">
      <c r="A10" s="14" t="s">
        <v>52</v>
      </c>
      <c r="B10">
        <v>3</v>
      </c>
    </row>
    <row r="11" spans="1:2" x14ac:dyDescent="0.35">
      <c r="A11" s="14" t="s">
        <v>63</v>
      </c>
      <c r="B11" s="16">
        <v>3750</v>
      </c>
    </row>
    <row r="12" spans="1:2" x14ac:dyDescent="0.35">
      <c r="A12" s="14" t="s">
        <v>62</v>
      </c>
      <c r="B12" s="16">
        <f>B11-B8</f>
        <v>3720</v>
      </c>
    </row>
    <row r="13" spans="1:2" x14ac:dyDescent="0.35">
      <c r="A13" s="14" t="s">
        <v>61</v>
      </c>
      <c r="B13" s="16">
        <f>B11*B10</f>
        <v>11250</v>
      </c>
    </row>
    <row r="14" spans="1:2" x14ac:dyDescent="0.35">
      <c r="A14" s="15" t="s">
        <v>60</v>
      </c>
      <c r="B14" s="17">
        <f>(B12*B10)</f>
        <v>11160</v>
      </c>
    </row>
    <row r="15" spans="1:2" x14ac:dyDescent="0.35">
      <c r="A15" s="14" t="s">
        <v>53</v>
      </c>
      <c r="B15" s="16">
        <f>B14*0.3</f>
        <v>3348</v>
      </c>
    </row>
    <row r="16" spans="1:2" x14ac:dyDescent="0.35">
      <c r="A16" s="13" t="s">
        <v>54</v>
      </c>
    </row>
    <row r="17" spans="1:2" x14ac:dyDescent="0.35">
      <c r="A17" s="14" t="s">
        <v>55</v>
      </c>
      <c r="B17">
        <v>5</v>
      </c>
    </row>
    <row r="18" spans="1:2" x14ac:dyDescent="0.35">
      <c r="A18" s="14" t="s">
        <v>56</v>
      </c>
      <c r="B18">
        <f>B15*B17</f>
        <v>16740</v>
      </c>
    </row>
    <row r="19" spans="1:2" x14ac:dyDescent="0.35">
      <c r="A19" s="14" t="s">
        <v>57</v>
      </c>
      <c r="B19">
        <f>DepartmentSpace!F14</f>
        <v>62600</v>
      </c>
    </row>
    <row r="20" spans="1:2" x14ac:dyDescent="0.35">
      <c r="A20" s="14" t="s">
        <v>58</v>
      </c>
      <c r="B20" s="18">
        <f>(B14*B17)-B18</f>
        <v>39060</v>
      </c>
    </row>
    <row r="21" spans="1:2" x14ac:dyDescent="0.35">
      <c r="A21" s="14" t="s">
        <v>59</v>
      </c>
      <c r="B21" s="18">
        <f>B20-B19</f>
        <v>-23540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6D49-37C5-4DC5-B2CA-AD827FF4C1C9}">
  <dimension ref="A1:AD28"/>
  <sheetViews>
    <sheetView tabSelected="1" workbookViewId="0">
      <selection activeCell="D2" sqref="D2"/>
    </sheetView>
  </sheetViews>
  <sheetFormatPr defaultRowHeight="14.5" x14ac:dyDescent="0.35"/>
  <cols>
    <col min="2" max="2" width="16.453125" customWidth="1"/>
    <col min="3" max="3" width="21.1796875" customWidth="1"/>
    <col min="4" max="4" width="15.453125" bestFit="1" customWidth="1"/>
    <col min="5" max="5" width="13.6328125" customWidth="1"/>
    <col min="7" max="7" width="39.453125" bestFit="1" customWidth="1"/>
    <col min="8" max="8" width="12" bestFit="1" customWidth="1"/>
    <col min="10" max="10" width="7.1796875" customWidth="1"/>
    <col min="11" max="11" width="4.90625" customWidth="1"/>
    <col min="12" max="12" width="13.90625" customWidth="1"/>
    <col min="13" max="13" width="15.54296875" customWidth="1"/>
    <col min="14" max="14" width="14.08984375" customWidth="1"/>
    <col min="15" max="15" width="12.6328125" customWidth="1"/>
    <col min="16" max="16" width="15" customWidth="1"/>
    <col min="17" max="17" width="12.1796875" bestFit="1" customWidth="1"/>
    <col min="20" max="20" width="13" customWidth="1"/>
    <col min="21" max="21" width="9.26953125" customWidth="1"/>
    <col min="22" max="22" width="10.1796875" customWidth="1"/>
    <col min="23" max="23" width="14.81640625" customWidth="1"/>
    <col min="24" max="24" width="12.1796875" bestFit="1" customWidth="1"/>
    <col min="25" max="25" width="12.7265625" bestFit="1" customWidth="1"/>
    <col min="26" max="26" width="12.08984375" customWidth="1"/>
    <col min="27" max="27" width="12.1796875" bestFit="1" customWidth="1"/>
    <col min="29" max="29" width="18.6328125" bestFit="1" customWidth="1"/>
    <col min="30" max="30" width="12.08984375" bestFit="1" customWidth="1"/>
  </cols>
  <sheetData>
    <row r="1" spans="1:30" ht="29" x14ac:dyDescent="0.35">
      <c r="A1" t="s">
        <v>65</v>
      </c>
      <c r="B1" t="s">
        <v>66</v>
      </c>
      <c r="C1" t="s">
        <v>82</v>
      </c>
      <c r="D1" t="s">
        <v>84</v>
      </c>
      <c r="E1" t="s">
        <v>83</v>
      </c>
      <c r="G1" s="24" t="s">
        <v>89</v>
      </c>
      <c r="H1" s="24"/>
      <c r="I1" s="21"/>
      <c r="J1" s="6" t="s">
        <v>90</v>
      </c>
      <c r="K1" s="6" t="s">
        <v>91</v>
      </c>
      <c r="L1" s="6" t="s">
        <v>92</v>
      </c>
      <c r="M1" s="19" t="s">
        <v>93</v>
      </c>
      <c r="N1" s="19" t="s">
        <v>94</v>
      </c>
      <c r="O1" s="19" t="s">
        <v>95</v>
      </c>
      <c r="P1" s="19" t="s">
        <v>97</v>
      </c>
      <c r="Q1" s="19" t="s">
        <v>96</v>
      </c>
      <c r="S1" t="s">
        <v>65</v>
      </c>
      <c r="T1" t="s">
        <v>107</v>
      </c>
      <c r="U1" s="19" t="s">
        <v>108</v>
      </c>
      <c r="V1" s="19" t="s">
        <v>109</v>
      </c>
      <c r="W1" s="19" t="s">
        <v>112</v>
      </c>
      <c r="X1" t="s">
        <v>110</v>
      </c>
      <c r="Y1" t="s">
        <v>111</v>
      </c>
      <c r="Z1" s="19" t="s">
        <v>113</v>
      </c>
      <c r="AA1" t="s">
        <v>96</v>
      </c>
      <c r="AC1" t="s">
        <v>114</v>
      </c>
      <c r="AD1" t="s">
        <v>7</v>
      </c>
    </row>
    <row r="2" spans="1:30" x14ac:dyDescent="0.35">
      <c r="A2" t="s">
        <v>67</v>
      </c>
      <c r="B2">
        <v>92</v>
      </c>
      <c r="C2">
        <f>ROUNDUP((B2*1.17),0)</f>
        <v>108</v>
      </c>
      <c r="D2">
        <f>C2*45.07</f>
        <v>4867.5600000000004</v>
      </c>
      <c r="E2">
        <f>ROUNDUP((C2/24),0)</f>
        <v>5</v>
      </c>
      <c r="G2" s="25" t="s">
        <v>102</v>
      </c>
      <c r="H2" s="29">
        <v>5</v>
      </c>
      <c r="I2" s="21"/>
      <c r="J2" s="22" t="s">
        <v>11</v>
      </c>
      <c r="K2" s="22" t="s">
        <v>98</v>
      </c>
      <c r="L2">
        <v>225</v>
      </c>
      <c r="M2" s="19">
        <v>0</v>
      </c>
      <c r="N2" s="33">
        <v>15000</v>
      </c>
      <c r="O2" s="32">
        <f>(L2*$H$2) +($H$4*L2)</f>
        <v>23625</v>
      </c>
      <c r="P2" s="32">
        <f>(M2*$H$3) + (M2*$H$2)</f>
        <v>0</v>
      </c>
      <c r="Q2" s="32">
        <f>SUM(N2:P2)</f>
        <v>38625</v>
      </c>
      <c r="S2" t="s">
        <v>67</v>
      </c>
      <c r="T2">
        <f>Table25[[#This Row],[Ft of UTP Cable]]</f>
        <v>4867.5600000000004</v>
      </c>
      <c r="U2">
        <f>Table25[[#This Row],['# of Switches]] +1</f>
        <v>6</v>
      </c>
      <c r="V2">
        <v>1</v>
      </c>
      <c r="W2">
        <v>2</v>
      </c>
      <c r="X2" s="32">
        <f>(T2*$H$5)+(T2*$H$6)</f>
        <v>13629.168000000001</v>
      </c>
      <c r="Y2" s="32">
        <f>(U2*$H$11)+(V2*$H$10)</f>
        <v>10262</v>
      </c>
      <c r="Z2" s="32">
        <f>W2*$H$12</f>
        <v>868</v>
      </c>
      <c r="AA2" s="32">
        <f>SUM(X2:Z2)</f>
        <v>24759.168000000001</v>
      </c>
      <c r="AC2" t="s">
        <v>115</v>
      </c>
      <c r="AD2" s="32">
        <f>Table30[[#Totals],[Total Cost]]</f>
        <v>196148.67199999999</v>
      </c>
    </row>
    <row r="3" spans="1:30" x14ac:dyDescent="0.35">
      <c r="A3" t="s">
        <v>68</v>
      </c>
      <c r="B3">
        <v>97</v>
      </c>
      <c r="C3">
        <f t="shared" ref="C3:C16" si="0">ROUNDUP((B3*1.17),0)</f>
        <v>114</v>
      </c>
      <c r="D3">
        <f t="shared" ref="D3:D16" si="1">C3*45.07</f>
        <v>5137.9800000000005</v>
      </c>
      <c r="E3">
        <f t="shared" ref="E3:E16" si="2">ROUNDUP((C3/24),0)</f>
        <v>5</v>
      </c>
      <c r="G3" s="26" t="s">
        <v>103</v>
      </c>
      <c r="H3" s="30">
        <v>20</v>
      </c>
      <c r="I3" s="22"/>
      <c r="J3" s="22" t="s">
        <v>98</v>
      </c>
      <c r="K3" s="28" t="s">
        <v>99</v>
      </c>
      <c r="L3">
        <v>225</v>
      </c>
      <c r="M3">
        <v>0</v>
      </c>
      <c r="N3" s="33">
        <v>15000</v>
      </c>
      <c r="O3" s="32">
        <f t="shared" ref="O3:O6" si="3">(L3*$H$2) +($H$4*L3)</f>
        <v>23625</v>
      </c>
      <c r="P3" s="32">
        <f t="shared" ref="P3:P6" si="4">(M3*$H$3) + (M3*$H$2)</f>
        <v>0</v>
      </c>
      <c r="Q3" s="32">
        <f t="shared" ref="Q3:Q6" si="5">SUM(N3:P3)</f>
        <v>38625</v>
      </c>
      <c r="S3" t="s">
        <v>68</v>
      </c>
      <c r="T3">
        <f>Table25[[#This Row],[Ft of UTP Cable]]</f>
        <v>5137.9800000000005</v>
      </c>
      <c r="U3">
        <f>Table25[[#This Row],['# of Switches]] +1</f>
        <v>6</v>
      </c>
      <c r="V3">
        <v>0</v>
      </c>
      <c r="W3">
        <v>2</v>
      </c>
      <c r="X3" s="32">
        <f t="shared" ref="X3:X16" si="6">(T3*$H$5)+(T3*$H$6)</f>
        <v>14386.344000000001</v>
      </c>
      <c r="Y3" s="32">
        <f t="shared" ref="Y3:Y16" si="7">(U3*$H$11)+(V3*$H$10)</f>
        <v>1962</v>
      </c>
      <c r="Z3" s="32">
        <f t="shared" ref="Z3:Z16" si="8">W3*$H$12</f>
        <v>868</v>
      </c>
      <c r="AA3" s="32">
        <f t="shared" ref="AA3:AA16" si="9">SUM(X3:Z3)</f>
        <v>17216.344000000001</v>
      </c>
      <c r="AC3" t="s">
        <v>116</v>
      </c>
      <c r="AD3" s="32">
        <f>Table29[[#Totals],[Total Cost]]</f>
        <v>161625</v>
      </c>
    </row>
    <row r="4" spans="1:30" x14ac:dyDescent="0.35">
      <c r="A4" t="s">
        <v>69</v>
      </c>
      <c r="B4">
        <v>24</v>
      </c>
      <c r="C4">
        <f t="shared" si="0"/>
        <v>29</v>
      </c>
      <c r="D4">
        <f t="shared" si="1"/>
        <v>1307.03</v>
      </c>
      <c r="E4">
        <f t="shared" si="2"/>
        <v>2</v>
      </c>
      <c r="G4" s="27" t="s">
        <v>104</v>
      </c>
      <c r="H4" s="29">
        <v>100</v>
      </c>
      <c r="I4" s="21"/>
      <c r="J4" s="22" t="s">
        <v>99</v>
      </c>
      <c r="K4" s="22" t="s">
        <v>100</v>
      </c>
      <c r="L4">
        <v>200</v>
      </c>
      <c r="M4">
        <v>75</v>
      </c>
      <c r="N4" s="33">
        <v>0</v>
      </c>
      <c r="O4" s="32">
        <f t="shared" si="3"/>
        <v>21000</v>
      </c>
      <c r="P4" s="32">
        <f t="shared" si="4"/>
        <v>1875</v>
      </c>
      <c r="Q4" s="32">
        <f t="shared" si="5"/>
        <v>22875</v>
      </c>
      <c r="S4" t="s">
        <v>69</v>
      </c>
      <c r="T4">
        <f>Table25[[#This Row],[Ft of UTP Cable]]</f>
        <v>1307.03</v>
      </c>
      <c r="U4">
        <f>Table25[[#This Row],['# of Switches]] +1</f>
        <v>3</v>
      </c>
      <c r="V4">
        <v>0</v>
      </c>
      <c r="W4">
        <v>2</v>
      </c>
      <c r="X4" s="32">
        <f t="shared" si="6"/>
        <v>3659.6840000000002</v>
      </c>
      <c r="Y4" s="32">
        <f t="shared" si="7"/>
        <v>981</v>
      </c>
      <c r="Z4" s="32">
        <f t="shared" si="8"/>
        <v>868</v>
      </c>
      <c r="AA4" s="32">
        <f t="shared" si="9"/>
        <v>5508.6840000000002</v>
      </c>
      <c r="AC4" t="s">
        <v>7</v>
      </c>
      <c r="AD4" s="32">
        <f>SUBTOTAL(109,Table31[Total])</f>
        <v>357773.67200000002</v>
      </c>
    </row>
    <row r="5" spans="1:30" x14ac:dyDescent="0.35">
      <c r="A5" t="s">
        <v>70</v>
      </c>
      <c r="B5">
        <v>50</v>
      </c>
      <c r="C5">
        <f t="shared" si="0"/>
        <v>59</v>
      </c>
      <c r="D5">
        <f t="shared" si="1"/>
        <v>2659.13</v>
      </c>
      <c r="E5">
        <f t="shared" si="2"/>
        <v>3</v>
      </c>
      <c r="G5" s="24" t="s">
        <v>105</v>
      </c>
      <c r="H5" s="30">
        <v>0.8</v>
      </c>
      <c r="I5" s="22"/>
      <c r="J5" s="22" t="s">
        <v>100</v>
      </c>
      <c r="K5" s="28" t="s">
        <v>101</v>
      </c>
      <c r="L5">
        <v>200</v>
      </c>
      <c r="M5">
        <v>75</v>
      </c>
      <c r="N5" s="33">
        <v>0</v>
      </c>
      <c r="O5" s="32">
        <f t="shared" si="3"/>
        <v>21000</v>
      </c>
      <c r="P5" s="32">
        <f t="shared" si="4"/>
        <v>1875</v>
      </c>
      <c r="Q5" s="32">
        <f t="shared" si="5"/>
        <v>22875</v>
      </c>
      <c r="S5" t="s">
        <v>70</v>
      </c>
      <c r="T5">
        <f>Table25[[#This Row],[Ft of UTP Cable]]</f>
        <v>2659.13</v>
      </c>
      <c r="U5">
        <f>Table25[[#This Row],['# of Switches]] +1</f>
        <v>4</v>
      </c>
      <c r="V5">
        <v>1</v>
      </c>
      <c r="W5">
        <v>1</v>
      </c>
      <c r="X5" s="32">
        <f t="shared" si="6"/>
        <v>7445.5640000000003</v>
      </c>
      <c r="Y5" s="32">
        <f t="shared" si="7"/>
        <v>9608</v>
      </c>
      <c r="Z5" s="32">
        <f t="shared" si="8"/>
        <v>434</v>
      </c>
      <c r="AA5" s="32">
        <f t="shared" si="9"/>
        <v>17487.563999999998</v>
      </c>
    </row>
    <row r="6" spans="1:30" x14ac:dyDescent="0.35">
      <c r="A6" t="s">
        <v>71</v>
      </c>
      <c r="B6">
        <v>50</v>
      </c>
      <c r="C6">
        <f t="shared" si="0"/>
        <v>59</v>
      </c>
      <c r="D6">
        <f t="shared" si="1"/>
        <v>2659.13</v>
      </c>
      <c r="E6">
        <f t="shared" si="2"/>
        <v>3</v>
      </c>
      <c r="G6" s="27" t="s">
        <v>103</v>
      </c>
      <c r="H6" s="29">
        <v>2</v>
      </c>
      <c r="I6" s="21"/>
      <c r="J6" s="22" t="s">
        <v>101</v>
      </c>
      <c r="K6" s="22" t="s">
        <v>11</v>
      </c>
      <c r="L6">
        <v>225</v>
      </c>
      <c r="M6">
        <v>0</v>
      </c>
      <c r="N6" s="33">
        <v>15000</v>
      </c>
      <c r="O6" s="32">
        <f t="shared" si="3"/>
        <v>23625</v>
      </c>
      <c r="P6" s="32">
        <f t="shared" si="4"/>
        <v>0</v>
      </c>
      <c r="Q6" s="32">
        <f t="shared" si="5"/>
        <v>38625</v>
      </c>
      <c r="S6" t="s">
        <v>71</v>
      </c>
      <c r="T6">
        <f>Table25[[#This Row],[Ft of UTP Cable]]</f>
        <v>2659.13</v>
      </c>
      <c r="U6">
        <f>Table25[[#This Row],['# of Switches]] +1</f>
        <v>4</v>
      </c>
      <c r="V6">
        <v>0</v>
      </c>
      <c r="W6">
        <v>1</v>
      </c>
      <c r="X6" s="32">
        <f t="shared" si="6"/>
        <v>7445.5640000000003</v>
      </c>
      <c r="Y6" s="32">
        <f t="shared" si="7"/>
        <v>1308</v>
      </c>
      <c r="Z6" s="32">
        <f t="shared" si="8"/>
        <v>434</v>
      </c>
      <c r="AA6" s="32">
        <f t="shared" si="9"/>
        <v>9187.5640000000003</v>
      </c>
    </row>
    <row r="7" spans="1:30" x14ac:dyDescent="0.35">
      <c r="A7" t="s">
        <v>72</v>
      </c>
      <c r="B7">
        <v>50</v>
      </c>
      <c r="C7">
        <f t="shared" si="0"/>
        <v>59</v>
      </c>
      <c r="D7">
        <f t="shared" si="1"/>
        <v>2659.13</v>
      </c>
      <c r="E7">
        <f t="shared" si="2"/>
        <v>3</v>
      </c>
      <c r="G7" s="26" t="s">
        <v>104</v>
      </c>
      <c r="H7" s="30">
        <v>50</v>
      </c>
      <c r="I7" s="22"/>
      <c r="J7" s="22" t="s">
        <v>7</v>
      </c>
      <c r="K7" s="22"/>
      <c r="L7" s="35">
        <f>SUM(Table29[Underground Cable Length])</f>
        <v>1075</v>
      </c>
      <c r="M7" s="34">
        <f>SUM(Table29[Through Building Length])</f>
        <v>150</v>
      </c>
      <c r="N7" s="32">
        <f>SUM(Table29[Under Road Cost])</f>
        <v>45000</v>
      </c>
      <c r="O7" s="32">
        <f>SUM(Table29[Underground Cost])</f>
        <v>112875</v>
      </c>
      <c r="P7" s="32">
        <f>SUM(Table29[Through Building Cost])</f>
        <v>3750</v>
      </c>
      <c r="Q7" s="32">
        <f>SUM(Table29[Total Cost])</f>
        <v>161625</v>
      </c>
      <c r="S7" t="s">
        <v>72</v>
      </c>
      <c r="T7">
        <f>Table25[[#This Row],[Ft of UTP Cable]]</f>
        <v>2659.13</v>
      </c>
      <c r="U7">
        <f>Table25[[#This Row],['# of Switches]] +1</f>
        <v>4</v>
      </c>
      <c r="V7">
        <v>0</v>
      </c>
      <c r="W7">
        <v>1</v>
      </c>
      <c r="X7" s="32">
        <f t="shared" si="6"/>
        <v>7445.5640000000003</v>
      </c>
      <c r="Y7" s="32">
        <f t="shared" si="7"/>
        <v>1308</v>
      </c>
      <c r="Z7" s="32">
        <f t="shared" si="8"/>
        <v>434</v>
      </c>
      <c r="AA7" s="32">
        <f t="shared" si="9"/>
        <v>9187.5640000000003</v>
      </c>
    </row>
    <row r="8" spans="1:30" x14ac:dyDescent="0.35">
      <c r="A8" t="s">
        <v>73</v>
      </c>
      <c r="B8">
        <v>50</v>
      </c>
      <c r="C8">
        <f t="shared" si="0"/>
        <v>59</v>
      </c>
      <c r="D8">
        <f t="shared" si="1"/>
        <v>2659.13</v>
      </c>
      <c r="E8">
        <f t="shared" si="2"/>
        <v>3</v>
      </c>
      <c r="G8" s="27" t="s">
        <v>106</v>
      </c>
      <c r="H8" s="29">
        <v>15000</v>
      </c>
      <c r="I8" s="21"/>
      <c r="J8" s="22"/>
      <c r="S8" t="s">
        <v>73</v>
      </c>
      <c r="T8">
        <f>Table25[[#This Row],[Ft of UTP Cable]]</f>
        <v>2659.13</v>
      </c>
      <c r="U8">
        <f>Table25[[#This Row],['# of Switches]] +1</f>
        <v>4</v>
      </c>
      <c r="V8">
        <v>1</v>
      </c>
      <c r="W8">
        <v>1</v>
      </c>
      <c r="X8" s="32">
        <f t="shared" si="6"/>
        <v>7445.5640000000003</v>
      </c>
      <c r="Y8" s="32">
        <f t="shared" si="7"/>
        <v>9608</v>
      </c>
      <c r="Z8" s="32">
        <f t="shared" si="8"/>
        <v>434</v>
      </c>
      <c r="AA8" s="32">
        <f t="shared" si="9"/>
        <v>17487.563999999998</v>
      </c>
    </row>
    <row r="9" spans="1:30" x14ac:dyDescent="0.35">
      <c r="A9" t="s">
        <v>74</v>
      </c>
      <c r="B9">
        <v>50</v>
      </c>
      <c r="C9">
        <f t="shared" si="0"/>
        <v>59</v>
      </c>
      <c r="D9">
        <f t="shared" si="1"/>
        <v>2659.13</v>
      </c>
      <c r="E9">
        <f t="shared" si="2"/>
        <v>3</v>
      </c>
      <c r="G9" s="24" t="s">
        <v>85</v>
      </c>
      <c r="H9" s="31"/>
      <c r="I9" s="22"/>
      <c r="J9" s="21"/>
      <c r="K9" s="21"/>
      <c r="S9" t="s">
        <v>74</v>
      </c>
      <c r="T9">
        <f>Table25[[#This Row],[Ft of UTP Cable]]</f>
        <v>2659.13</v>
      </c>
      <c r="U9">
        <f>Table25[[#This Row],['# of Switches]] +1</f>
        <v>4</v>
      </c>
      <c r="V9">
        <v>0</v>
      </c>
      <c r="W9">
        <v>1</v>
      </c>
      <c r="X9" s="32">
        <f t="shared" si="6"/>
        <v>7445.5640000000003</v>
      </c>
      <c r="Y9" s="32">
        <f t="shared" si="7"/>
        <v>1308</v>
      </c>
      <c r="Z9" s="32">
        <f t="shared" si="8"/>
        <v>434</v>
      </c>
      <c r="AA9" s="32">
        <f t="shared" si="9"/>
        <v>9187.5640000000003</v>
      </c>
    </row>
    <row r="10" spans="1:30" x14ac:dyDescent="0.35">
      <c r="A10" t="s">
        <v>75</v>
      </c>
      <c r="B10">
        <v>50</v>
      </c>
      <c r="C10">
        <f t="shared" si="0"/>
        <v>59</v>
      </c>
      <c r="D10">
        <f t="shared" si="1"/>
        <v>2659.13</v>
      </c>
      <c r="E10">
        <f t="shared" si="2"/>
        <v>3</v>
      </c>
      <c r="G10" s="27" t="s">
        <v>86</v>
      </c>
      <c r="H10" s="29">
        <v>8300</v>
      </c>
      <c r="I10" s="21"/>
      <c r="J10" s="21"/>
      <c r="K10" s="21"/>
      <c r="S10" t="s">
        <v>75</v>
      </c>
      <c r="T10">
        <f>Table25[[#This Row],[Ft of UTP Cable]]</f>
        <v>2659.13</v>
      </c>
      <c r="U10">
        <f>Table25[[#This Row],['# of Switches]] +1</f>
        <v>4</v>
      </c>
      <c r="V10">
        <v>0</v>
      </c>
      <c r="W10">
        <v>1</v>
      </c>
      <c r="X10" s="32">
        <f t="shared" si="6"/>
        <v>7445.5640000000003</v>
      </c>
      <c r="Y10" s="32">
        <f t="shared" si="7"/>
        <v>1308</v>
      </c>
      <c r="Z10" s="32">
        <f t="shared" si="8"/>
        <v>434</v>
      </c>
      <c r="AA10" s="32">
        <f t="shared" si="9"/>
        <v>9187.5640000000003</v>
      </c>
    </row>
    <row r="11" spans="1:30" x14ac:dyDescent="0.35">
      <c r="A11" t="s">
        <v>76</v>
      </c>
      <c r="B11">
        <v>59</v>
      </c>
      <c r="C11">
        <f t="shared" si="0"/>
        <v>70</v>
      </c>
      <c r="D11">
        <f t="shared" si="1"/>
        <v>3154.9</v>
      </c>
      <c r="E11">
        <f t="shared" si="2"/>
        <v>3</v>
      </c>
      <c r="G11" s="26" t="s">
        <v>87</v>
      </c>
      <c r="H11" s="30">
        <v>327</v>
      </c>
      <c r="I11" s="22"/>
      <c r="J11" s="21"/>
      <c r="K11" s="21"/>
      <c r="S11" t="s">
        <v>76</v>
      </c>
      <c r="T11">
        <f>Table25[[#This Row],[Ft of UTP Cable]]</f>
        <v>3154.9</v>
      </c>
      <c r="U11">
        <f>Table25[[#This Row],['# of Switches]] +1</f>
        <v>4</v>
      </c>
      <c r="V11">
        <v>1</v>
      </c>
      <c r="W11">
        <v>2</v>
      </c>
      <c r="X11" s="32">
        <f t="shared" si="6"/>
        <v>8833.7200000000012</v>
      </c>
      <c r="Y11" s="32">
        <f t="shared" si="7"/>
        <v>9608</v>
      </c>
      <c r="Z11" s="32">
        <f t="shared" si="8"/>
        <v>868</v>
      </c>
      <c r="AA11" s="32">
        <f t="shared" si="9"/>
        <v>19309.72</v>
      </c>
    </row>
    <row r="12" spans="1:30" x14ac:dyDescent="0.35">
      <c r="A12" t="s">
        <v>77</v>
      </c>
      <c r="B12">
        <v>60</v>
      </c>
      <c r="C12">
        <f t="shared" si="0"/>
        <v>71</v>
      </c>
      <c r="D12">
        <f t="shared" si="1"/>
        <v>3199.97</v>
      </c>
      <c r="E12">
        <f t="shared" si="2"/>
        <v>3</v>
      </c>
      <c r="G12" s="27" t="s">
        <v>88</v>
      </c>
      <c r="H12" s="29">
        <v>434</v>
      </c>
      <c r="I12" s="21"/>
      <c r="J12" s="22"/>
      <c r="K12" s="23"/>
      <c r="S12" t="s">
        <v>77</v>
      </c>
      <c r="T12">
        <f>Table25[[#This Row],[Ft of UTP Cable]]</f>
        <v>3199.97</v>
      </c>
      <c r="U12">
        <f>Table25[[#This Row],['# of Switches]] +1</f>
        <v>4</v>
      </c>
      <c r="V12">
        <v>0</v>
      </c>
      <c r="W12">
        <v>2</v>
      </c>
      <c r="X12" s="32">
        <f t="shared" si="6"/>
        <v>8959.9159999999993</v>
      </c>
      <c r="Y12" s="32">
        <f t="shared" si="7"/>
        <v>1308</v>
      </c>
      <c r="Z12" s="32">
        <f t="shared" si="8"/>
        <v>868</v>
      </c>
      <c r="AA12" s="32">
        <f t="shared" si="9"/>
        <v>11135.915999999999</v>
      </c>
    </row>
    <row r="13" spans="1:30" x14ac:dyDescent="0.35">
      <c r="A13" t="s">
        <v>78</v>
      </c>
      <c r="B13">
        <v>60</v>
      </c>
      <c r="C13">
        <f t="shared" si="0"/>
        <v>71</v>
      </c>
      <c r="D13">
        <f t="shared" si="1"/>
        <v>3199.97</v>
      </c>
      <c r="E13">
        <f t="shared" si="2"/>
        <v>3</v>
      </c>
      <c r="J13" s="21"/>
      <c r="K13" s="21"/>
      <c r="S13" t="s">
        <v>78</v>
      </c>
      <c r="T13">
        <f>Table25[[#This Row],[Ft of UTP Cable]]</f>
        <v>3199.97</v>
      </c>
      <c r="U13">
        <f>Table25[[#This Row],['# of Switches]] +1</f>
        <v>4</v>
      </c>
      <c r="V13">
        <v>0</v>
      </c>
      <c r="W13">
        <v>2</v>
      </c>
      <c r="X13" s="32">
        <f t="shared" si="6"/>
        <v>8959.9159999999993</v>
      </c>
      <c r="Y13" s="32">
        <f t="shared" si="7"/>
        <v>1308</v>
      </c>
      <c r="Z13" s="32">
        <f t="shared" si="8"/>
        <v>868</v>
      </c>
      <c r="AA13" s="32">
        <f t="shared" si="9"/>
        <v>11135.915999999999</v>
      </c>
    </row>
    <row r="14" spans="1:30" x14ac:dyDescent="0.35">
      <c r="A14" t="s">
        <v>79</v>
      </c>
      <c r="B14">
        <v>23</v>
      </c>
      <c r="C14">
        <f t="shared" si="0"/>
        <v>27</v>
      </c>
      <c r="D14">
        <f t="shared" si="1"/>
        <v>1216.8900000000001</v>
      </c>
      <c r="E14">
        <f t="shared" si="2"/>
        <v>2</v>
      </c>
      <c r="S14" t="s">
        <v>79</v>
      </c>
      <c r="T14">
        <f>Table25[[#This Row],[Ft of UTP Cable]]</f>
        <v>1216.8900000000001</v>
      </c>
      <c r="U14">
        <f>Table25[[#This Row],['# of Switches]] +1</f>
        <v>3</v>
      </c>
      <c r="V14">
        <v>2</v>
      </c>
      <c r="W14">
        <v>1</v>
      </c>
      <c r="X14" s="32">
        <f t="shared" si="6"/>
        <v>3407.2920000000004</v>
      </c>
      <c r="Y14" s="32">
        <f t="shared" si="7"/>
        <v>17581</v>
      </c>
      <c r="Z14" s="32">
        <f t="shared" si="8"/>
        <v>434</v>
      </c>
      <c r="AA14" s="32">
        <f t="shared" si="9"/>
        <v>21422.292000000001</v>
      </c>
    </row>
    <row r="15" spans="1:30" x14ac:dyDescent="0.35">
      <c r="A15" t="s">
        <v>80</v>
      </c>
      <c r="B15">
        <v>40</v>
      </c>
      <c r="C15">
        <f t="shared" si="0"/>
        <v>47</v>
      </c>
      <c r="D15">
        <f t="shared" si="1"/>
        <v>2118.29</v>
      </c>
      <c r="E15">
        <f t="shared" si="2"/>
        <v>2</v>
      </c>
      <c r="S15" t="s">
        <v>80</v>
      </c>
      <c r="T15">
        <f>Table25[[#This Row],[Ft of UTP Cable]]</f>
        <v>2118.29</v>
      </c>
      <c r="U15">
        <f>Table25[[#This Row],['# of Switches]] +1</f>
        <v>3</v>
      </c>
      <c r="V15">
        <v>0</v>
      </c>
      <c r="W15">
        <v>1</v>
      </c>
      <c r="X15" s="32">
        <f t="shared" si="6"/>
        <v>5931.2119999999995</v>
      </c>
      <c r="Y15" s="32">
        <f t="shared" si="7"/>
        <v>981</v>
      </c>
      <c r="Z15" s="32">
        <f t="shared" si="8"/>
        <v>434</v>
      </c>
      <c r="AA15" s="32">
        <f t="shared" si="9"/>
        <v>7346.2119999999995</v>
      </c>
    </row>
    <row r="16" spans="1:30" x14ac:dyDescent="0.35">
      <c r="A16" t="s">
        <v>81</v>
      </c>
      <c r="B16">
        <v>35</v>
      </c>
      <c r="C16">
        <f t="shared" si="0"/>
        <v>41</v>
      </c>
      <c r="D16">
        <f t="shared" si="1"/>
        <v>1847.8700000000001</v>
      </c>
      <c r="E16">
        <f t="shared" si="2"/>
        <v>2</v>
      </c>
      <c r="S16" t="s">
        <v>81</v>
      </c>
      <c r="T16">
        <f>Table25[[#This Row],[Ft of UTP Cable]]</f>
        <v>1847.8700000000001</v>
      </c>
      <c r="U16">
        <f>Table25[[#This Row],['# of Switches]] +1</f>
        <v>3</v>
      </c>
      <c r="V16">
        <v>0</v>
      </c>
      <c r="W16">
        <v>1</v>
      </c>
      <c r="X16" s="32">
        <f t="shared" si="6"/>
        <v>5174.0360000000001</v>
      </c>
      <c r="Y16" s="32">
        <f t="shared" si="7"/>
        <v>981</v>
      </c>
      <c r="Z16" s="32">
        <f t="shared" si="8"/>
        <v>434</v>
      </c>
      <c r="AA16" s="32">
        <f t="shared" si="9"/>
        <v>6589.0360000000001</v>
      </c>
    </row>
    <row r="17" spans="1:27" x14ac:dyDescent="0.35">
      <c r="S17" t="s">
        <v>7</v>
      </c>
      <c r="T17">
        <f>SUM(Table30[UTP Needed])</f>
        <v>42005.240000000013</v>
      </c>
      <c r="U17">
        <f>SUM(Table30[Switches Needed])</f>
        <v>60</v>
      </c>
      <c r="V17">
        <f>SUM(Table30[Layer 3 Switches])</f>
        <v>6</v>
      </c>
      <c r="W17">
        <f>SUM(Table30[Access Points Needed])</f>
        <v>21</v>
      </c>
      <c r="X17" s="32">
        <f>SUM(Table30[UTP Cost])</f>
        <v>117614.67199999999</v>
      </c>
      <c r="Y17" s="32">
        <f>SUM(Table30[Switch Cost])</f>
        <v>69420</v>
      </c>
      <c r="Z17" s="32">
        <f>SUM(Table30[Access Point Cost])</f>
        <v>9114</v>
      </c>
      <c r="AA17" s="32">
        <f>SUM(Table30[Total Cost])</f>
        <v>196148.67199999999</v>
      </c>
    </row>
    <row r="18" spans="1:27" x14ac:dyDescent="0.35">
      <c r="A18" s="1"/>
      <c r="B18" s="1"/>
      <c r="C18" s="6"/>
    </row>
    <row r="22" spans="1:27" x14ac:dyDescent="0.35">
      <c r="A22" s="20"/>
      <c r="B22" s="20"/>
      <c r="C22" s="20"/>
      <c r="D22" s="20"/>
    </row>
    <row r="28" spans="1:27" x14ac:dyDescent="0.35">
      <c r="E28" s="23"/>
    </row>
  </sheetData>
  <mergeCells count="1">
    <mergeCell ref="A22:D2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TotalEmployeeGrowth</vt:lpstr>
      <vt:lpstr>DeptGrowth</vt:lpstr>
      <vt:lpstr>HostGrowth</vt:lpstr>
      <vt:lpstr>Throughput</vt:lpstr>
      <vt:lpstr>InterdepartmentalThroughput</vt:lpstr>
      <vt:lpstr>DepartmentSpace</vt:lpstr>
      <vt:lpstr>UsableSpace</vt:lpstr>
      <vt:lpstr>HardwareCosts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Dominguez</dc:creator>
  <cp:lastModifiedBy>Diego Dominguez</cp:lastModifiedBy>
  <dcterms:created xsi:type="dcterms:W3CDTF">2018-12-04T23:18:43Z</dcterms:created>
  <dcterms:modified xsi:type="dcterms:W3CDTF">2018-12-06T08:22:55Z</dcterms:modified>
</cp:coreProperties>
</file>