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Codes\PICs\Data\"/>
    </mc:Choice>
  </mc:AlternateContent>
  <xr:revisionPtr revIDLastSave="0" documentId="13_ncr:1_{CE9C7C52-2691-43BE-AFDE-60EA8DBE3FA2}" xr6:coauthVersionLast="47" xr6:coauthVersionMax="47" xr10:uidLastSave="{00000000-0000-0000-0000-000000000000}"/>
  <bookViews>
    <workbookView xWindow="-120" yWindow="-120" windowWidth="29040" windowHeight="15840" tabRatio="444" activeTab="1" xr2:uid="{49DD3107-0B2E-4CE4-9F57-56585514062A}"/>
  </bookViews>
  <sheets>
    <sheet name="Compact" sheetId="3" r:id="rId1"/>
    <sheet name="Main" sheetId="2" r:id="rId2"/>
    <sheet name="Renewables for final demand" sheetId="4" r:id="rId3"/>
    <sheet name="Geothermal potentials" sheetId="5" r:id="rId4"/>
    <sheet name="Wt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23" i="2" s="1"/>
  <c r="G10" i="2"/>
  <c r="G37" i="2" s="1"/>
  <c r="G38" i="2" s="1"/>
  <c r="G39" i="2" s="1"/>
  <c r="H10" i="2"/>
  <c r="H37" i="2" s="1"/>
  <c r="H38" i="2" s="1"/>
  <c r="H39" i="2" s="1"/>
  <c r="I10" i="2"/>
  <c r="I37" i="2" s="1"/>
  <c r="I38" i="2" s="1"/>
  <c r="I39" i="2" s="1"/>
  <c r="J10" i="2"/>
  <c r="J37" i="2" s="1"/>
  <c r="J38" i="2" s="1"/>
  <c r="J39" i="2" s="1"/>
  <c r="K10" i="2"/>
  <c r="K23" i="2" s="1"/>
  <c r="L10" i="2"/>
  <c r="L37" i="2" s="1"/>
  <c r="L38" i="2" s="1"/>
  <c r="L39" i="2" s="1"/>
  <c r="M10" i="2"/>
  <c r="M23" i="2" s="1"/>
  <c r="N10" i="2"/>
  <c r="N23" i="2" s="1"/>
  <c r="O10" i="2"/>
  <c r="O37" i="2" s="1"/>
  <c r="O38" i="2" s="1"/>
  <c r="O39" i="2" s="1"/>
  <c r="P10" i="2"/>
  <c r="P37" i="2" s="1"/>
  <c r="P38" i="2" s="1"/>
  <c r="P39" i="2" s="1"/>
  <c r="Q10" i="2"/>
  <c r="Q37" i="2" s="1"/>
  <c r="Q38" i="2" s="1"/>
  <c r="Q39" i="2" s="1"/>
  <c r="R10" i="2"/>
  <c r="R23" i="2" s="1"/>
  <c r="S10" i="2"/>
  <c r="S37" i="2" s="1"/>
  <c r="S38" i="2" s="1"/>
  <c r="S39" i="2" s="1"/>
  <c r="E10" i="2"/>
  <c r="E23" i="2" s="1"/>
  <c r="P23" i="2"/>
  <c r="T23" i="2"/>
  <c r="U23" i="2"/>
  <c r="V23" i="2"/>
  <c r="F8" i="2"/>
  <c r="G8" i="2"/>
  <c r="H8" i="2"/>
  <c r="I8" i="2"/>
  <c r="J8" i="2"/>
  <c r="K8" i="2"/>
  <c r="L8" i="2"/>
  <c r="M8" i="2"/>
  <c r="N8" i="2"/>
  <c r="O8" i="2"/>
  <c r="P8" i="2"/>
  <c r="Q8" i="2"/>
  <c r="R8" i="2"/>
  <c r="S8" i="2"/>
  <c r="E8" i="2"/>
  <c r="F6" i="2"/>
  <c r="G6" i="2"/>
  <c r="H6" i="2"/>
  <c r="I6" i="2"/>
  <c r="J6" i="2"/>
  <c r="K6" i="2"/>
  <c r="L6" i="2"/>
  <c r="M6" i="2"/>
  <c r="N6" i="2"/>
  <c r="O6" i="2"/>
  <c r="P6" i="2"/>
  <c r="Q6" i="2"/>
  <c r="R6" i="2"/>
  <c r="S6" i="2"/>
  <c r="E6" i="2"/>
  <c r="F4" i="2"/>
  <c r="G4" i="2"/>
  <c r="H4" i="2"/>
  <c r="I4" i="2"/>
  <c r="J4" i="2"/>
  <c r="K4" i="2"/>
  <c r="L4" i="2"/>
  <c r="M4" i="2"/>
  <c r="N4" i="2"/>
  <c r="O4" i="2"/>
  <c r="P4" i="2"/>
  <c r="Q4" i="2"/>
  <c r="R4" i="2"/>
  <c r="S4" i="2"/>
  <c r="E4" i="2"/>
  <c r="L23" i="2"/>
  <c r="Q23" i="2"/>
  <c r="H23" i="2" l="1"/>
  <c r="I23" i="2"/>
  <c r="G23" i="2"/>
  <c r="F37" i="2"/>
  <c r="F38" i="2" s="1"/>
  <c r="F39" i="2" s="1"/>
  <c r="O23" i="2"/>
  <c r="N37" i="2"/>
  <c r="N38" i="2" s="1"/>
  <c r="N39" i="2" s="1"/>
  <c r="J23" i="2"/>
  <c r="M37" i="2"/>
  <c r="M38" i="2" s="1"/>
  <c r="M39" i="2" s="1"/>
  <c r="R37" i="2"/>
  <c r="R38" i="2" s="1"/>
  <c r="R39" i="2" s="1"/>
  <c r="S23" i="2"/>
  <c r="K37" i="2"/>
  <c r="K38" i="2" s="1"/>
  <c r="K39" i="2" s="1"/>
  <c r="E37" i="2"/>
  <c r="E38" i="2" s="1"/>
  <c r="E39" i="2" s="1"/>
  <c r="D3" i="6" l="1"/>
  <c r="D2" i="6"/>
  <c r="T28" i="2"/>
  <c r="K6" i="5" l="1"/>
  <c r="K7" i="5"/>
  <c r="K8" i="5"/>
  <c r="K5" i="5"/>
  <c r="J6" i="5"/>
  <c r="J7" i="5"/>
  <c r="J8" i="5"/>
  <c r="J5" i="5"/>
  <c r="S33" i="2"/>
  <c r="S20" i="2"/>
  <c r="O3" i="3"/>
  <c r="N3" i="3"/>
  <c r="M3" i="3"/>
  <c r="L3" i="3"/>
  <c r="K3" i="3"/>
  <c r="J3" i="3"/>
  <c r="I3" i="3"/>
  <c r="H3" i="3"/>
  <c r="G3" i="3"/>
  <c r="F3" i="3"/>
  <c r="E3" i="3"/>
  <c r="D3" i="3"/>
  <c r="C3" i="3"/>
  <c r="B3" i="3"/>
  <c r="S21" i="3"/>
  <c r="R21" i="3"/>
  <c r="Q21" i="3"/>
  <c r="Q22" i="3" s="1"/>
  <c r="Q23" i="3" s="1"/>
  <c r="O21" i="3"/>
  <c r="N21" i="3"/>
  <c r="M21" i="3"/>
  <c r="L21" i="3"/>
  <c r="K21" i="3"/>
  <c r="J21" i="3"/>
  <c r="I21" i="3"/>
  <c r="H21" i="3"/>
  <c r="G21" i="3"/>
  <c r="F21" i="3"/>
  <c r="E21" i="3"/>
  <c r="D21" i="3"/>
  <c r="C21" i="3"/>
  <c r="B21" i="3"/>
  <c r="T18" i="3"/>
  <c r="S18" i="3"/>
  <c r="Q18" i="3"/>
  <c r="T17" i="3"/>
  <c r="S17" i="3"/>
  <c r="Q17" i="3"/>
  <c r="S7" i="3"/>
  <c r="R7" i="3"/>
  <c r="O7" i="3"/>
  <c r="N7" i="3"/>
  <c r="M7" i="3"/>
  <c r="L7" i="3"/>
  <c r="K7" i="3"/>
  <c r="J7" i="3"/>
  <c r="I7" i="3"/>
  <c r="H7" i="3"/>
  <c r="G7" i="3"/>
  <c r="F7" i="3"/>
  <c r="E7" i="3"/>
  <c r="D7" i="3"/>
  <c r="C7" i="3"/>
  <c r="B7" i="3"/>
  <c r="S5" i="3"/>
  <c r="R5" i="3"/>
  <c r="R16" i="3" s="1"/>
  <c r="O5" i="3"/>
  <c r="N5" i="3"/>
  <c r="N16" i="3" s="1"/>
  <c r="M5" i="3"/>
  <c r="L5" i="3"/>
  <c r="K5" i="3"/>
  <c r="J5" i="3"/>
  <c r="J16" i="3" s="1"/>
  <c r="I5" i="3"/>
  <c r="I16" i="3" s="1"/>
  <c r="H5" i="3"/>
  <c r="H16" i="3" s="1"/>
  <c r="G5" i="3"/>
  <c r="G16" i="3" s="1"/>
  <c r="F5" i="3"/>
  <c r="F16" i="3" s="1"/>
  <c r="F18" i="3" s="1"/>
  <c r="E5" i="3"/>
  <c r="E16" i="3" s="1"/>
  <c r="D5" i="3"/>
  <c r="D16" i="3" s="1"/>
  <c r="D17" i="3" s="1"/>
  <c r="C5" i="3"/>
  <c r="B5" i="3"/>
  <c r="S3" i="3"/>
  <c r="R3" i="3"/>
  <c r="T25" i="2"/>
  <c r="V25" i="2"/>
  <c r="W25" i="2"/>
  <c r="T26" i="2"/>
  <c r="V26" i="2"/>
  <c r="W26" i="2"/>
  <c r="W20" i="2"/>
  <c r="T20" i="2"/>
  <c r="T33" i="2"/>
  <c r="T36" i="2" s="1"/>
  <c r="T40" i="2" s="1"/>
  <c r="T41" i="2" s="1"/>
  <c r="V20" i="2"/>
  <c r="R33" i="2"/>
  <c r="V8" i="2"/>
  <c r="V6" i="2"/>
  <c r="R24" i="2"/>
  <c r="V4" i="2"/>
  <c r="R20" i="2"/>
  <c r="V33" i="2"/>
  <c r="Q33" i="2"/>
  <c r="Q20" i="2"/>
  <c r="P33" i="2"/>
  <c r="F20" i="2"/>
  <c r="G20" i="2"/>
  <c r="H20" i="2"/>
  <c r="I20" i="2"/>
  <c r="J20" i="2"/>
  <c r="K20" i="2"/>
  <c r="L20" i="2"/>
  <c r="M20" i="2"/>
  <c r="U20" i="2"/>
  <c r="N20" i="2"/>
  <c r="O20" i="2"/>
  <c r="P20" i="2"/>
  <c r="E20" i="2"/>
  <c r="O33" i="2"/>
  <c r="O24" i="2"/>
  <c r="N33" i="2"/>
  <c r="N24" i="2"/>
  <c r="U4" i="2"/>
  <c r="U33" i="2"/>
  <c r="U8" i="2"/>
  <c r="U6" i="2"/>
  <c r="U24" i="2" s="1"/>
  <c r="M33" i="2"/>
  <c r="L33" i="2"/>
  <c r="L24" i="2"/>
  <c r="K33" i="2"/>
  <c r="K24" i="2"/>
  <c r="J33" i="2"/>
  <c r="J24" i="2"/>
  <c r="I33" i="2"/>
  <c r="I24" i="2"/>
  <c r="H33" i="2"/>
  <c r="H24" i="2"/>
  <c r="G33" i="2"/>
  <c r="F33" i="2"/>
  <c r="E33" i="2"/>
  <c r="E24" i="2"/>
  <c r="J27" i="2" l="1"/>
  <c r="J29" i="2" s="1"/>
  <c r="J28" i="2"/>
  <c r="J30" i="2" s="1"/>
  <c r="I27" i="2"/>
  <c r="I29" i="2" s="1"/>
  <c r="I28" i="2"/>
  <c r="I30" i="2" s="1"/>
  <c r="K27" i="2"/>
  <c r="K29" i="2" s="1"/>
  <c r="K28" i="2"/>
  <c r="K30" i="2" s="1"/>
  <c r="N27" i="2"/>
  <c r="N29" i="2" s="1"/>
  <c r="N28" i="2"/>
  <c r="N30" i="2" s="1"/>
  <c r="H27" i="2"/>
  <c r="H29" i="2" s="1"/>
  <c r="H28" i="2"/>
  <c r="H30" i="2" s="1"/>
  <c r="R27" i="2"/>
  <c r="R29" i="2" s="1"/>
  <c r="R28" i="2"/>
  <c r="R30" i="2" s="1"/>
  <c r="E27" i="2"/>
  <c r="E29" i="2" s="1"/>
  <c r="E28" i="2"/>
  <c r="E30" i="2" s="1"/>
  <c r="L27" i="2"/>
  <c r="L29" i="2" s="1"/>
  <c r="L28" i="2"/>
  <c r="L30" i="2" s="1"/>
  <c r="U27" i="2"/>
  <c r="U29" i="2" s="1"/>
  <c r="U28" i="2"/>
  <c r="O27" i="2"/>
  <c r="O29" i="2" s="1"/>
  <c r="O28" i="2"/>
  <c r="O30" i="2" s="1"/>
  <c r="S36" i="2"/>
  <c r="S40" i="2" s="1"/>
  <c r="S41" i="2" s="1"/>
  <c r="T39" i="2"/>
  <c r="S24" i="2"/>
  <c r="T38" i="2"/>
  <c r="Q24" i="3"/>
  <c r="L22" i="3"/>
  <c r="M22" i="3"/>
  <c r="D22" i="3"/>
  <c r="F22" i="3"/>
  <c r="F23" i="3" s="1"/>
  <c r="O22" i="3"/>
  <c r="B22" i="3"/>
  <c r="C22" i="3"/>
  <c r="N22" i="3"/>
  <c r="R17" i="3"/>
  <c r="R19" i="3"/>
  <c r="R18" i="3"/>
  <c r="E19" i="3"/>
  <c r="E18" i="3"/>
  <c r="B16" i="3"/>
  <c r="B17" i="3" s="1"/>
  <c r="C16" i="3"/>
  <c r="D19" i="3"/>
  <c r="R22" i="3"/>
  <c r="R23" i="3" s="1"/>
  <c r="K22" i="3"/>
  <c r="K23" i="3" s="1"/>
  <c r="E22" i="3"/>
  <c r="E23" i="3" s="1"/>
  <c r="D18" i="3"/>
  <c r="H18" i="3"/>
  <c r="H17" i="3"/>
  <c r="H19" i="3"/>
  <c r="I17" i="3"/>
  <c r="I18" i="3"/>
  <c r="I19" i="3"/>
  <c r="J19" i="3"/>
  <c r="J17" i="3"/>
  <c r="J18" i="3"/>
  <c r="G17" i="3"/>
  <c r="G19" i="3"/>
  <c r="G18" i="3"/>
  <c r="N19" i="3"/>
  <c r="N18" i="3"/>
  <c r="N17" i="3"/>
  <c r="E17" i="3"/>
  <c r="F17" i="3"/>
  <c r="F19" i="3"/>
  <c r="H22" i="3"/>
  <c r="H23" i="3" s="1"/>
  <c r="K16" i="3"/>
  <c r="I22" i="3"/>
  <c r="I23" i="3" s="1"/>
  <c r="L16" i="3"/>
  <c r="J22" i="3"/>
  <c r="J23" i="3" s="1"/>
  <c r="M16" i="3"/>
  <c r="O16" i="3"/>
  <c r="G22" i="3"/>
  <c r="G23" i="3" s="1"/>
  <c r="E25" i="2"/>
  <c r="U25" i="2"/>
  <c r="N25" i="2"/>
  <c r="R25" i="2"/>
  <c r="O25" i="2"/>
  <c r="U26" i="2"/>
  <c r="L25" i="2"/>
  <c r="K25" i="2"/>
  <c r="R26" i="2"/>
  <c r="J25" i="2"/>
  <c r="K26" i="2"/>
  <c r="I25" i="2"/>
  <c r="H26" i="2"/>
  <c r="H25" i="2"/>
  <c r="O26" i="2"/>
  <c r="N26" i="2"/>
  <c r="L26" i="2"/>
  <c r="J26" i="2"/>
  <c r="I26" i="2"/>
  <c r="E26" i="2"/>
  <c r="O36" i="2"/>
  <c r="G36" i="2"/>
  <c r="P36" i="2"/>
  <c r="F36" i="2"/>
  <c r="I36" i="2"/>
  <c r="H36" i="2"/>
  <c r="L36" i="2"/>
  <c r="J36" i="2"/>
  <c r="E36" i="2"/>
  <c r="M36" i="2"/>
  <c r="P24" i="2"/>
  <c r="R36" i="2"/>
  <c r="Q36" i="2"/>
  <c r="G24" i="2"/>
  <c r="M24" i="2"/>
  <c r="K36" i="2"/>
  <c r="Q24" i="2"/>
  <c r="U36" i="2"/>
  <c r="N36" i="2"/>
  <c r="F24" i="2"/>
  <c r="P25" i="2" l="1"/>
  <c r="P28" i="2"/>
  <c r="P30" i="2" s="1"/>
  <c r="M25" i="2"/>
  <c r="M28" i="2"/>
  <c r="M30" i="2" s="1"/>
  <c r="F25" i="2"/>
  <c r="F28" i="2"/>
  <c r="F30" i="2" s="1"/>
  <c r="S26" i="2"/>
  <c r="S28" i="2"/>
  <c r="S30" i="2" s="1"/>
  <c r="Q25" i="2"/>
  <c r="Q28" i="2"/>
  <c r="Q30" i="2" s="1"/>
  <c r="G25" i="2"/>
  <c r="G28" i="2"/>
  <c r="G30" i="2" s="1"/>
  <c r="S25" i="2"/>
  <c r="S27" i="2"/>
  <c r="S29" i="2" s="1"/>
  <c r="J40" i="2"/>
  <c r="J41" i="2" s="1"/>
  <c r="F40" i="2"/>
  <c r="F41" i="2" s="1"/>
  <c r="N40" i="2"/>
  <c r="N41" i="2" s="1"/>
  <c r="U40" i="2"/>
  <c r="U41" i="2" s="1"/>
  <c r="U39" i="2"/>
  <c r="U38" i="2"/>
  <c r="K40" i="2"/>
  <c r="K41" i="2" s="1"/>
  <c r="E40" i="2"/>
  <c r="E41" i="2" s="1"/>
  <c r="L40" i="2"/>
  <c r="L41" i="2" s="1"/>
  <c r="H40" i="2"/>
  <c r="H41" i="2" s="1"/>
  <c r="O40" i="2"/>
  <c r="O41" i="2" s="1"/>
  <c r="Q40" i="2"/>
  <c r="Q41" i="2" s="1"/>
  <c r="N23" i="3"/>
  <c r="N24" i="3" s="1"/>
  <c r="C23" i="3"/>
  <c r="C24" i="3" s="1"/>
  <c r="B23" i="3"/>
  <c r="B24" i="3" s="1"/>
  <c r="D23" i="3"/>
  <c r="D24" i="3" s="1"/>
  <c r="O23" i="3"/>
  <c r="O24" i="3" s="1"/>
  <c r="M23" i="3"/>
  <c r="M24" i="3" s="1"/>
  <c r="L23" i="3"/>
  <c r="L24" i="3" s="1"/>
  <c r="K24" i="3"/>
  <c r="F24" i="3"/>
  <c r="R24" i="3"/>
  <c r="E24" i="3"/>
  <c r="C17" i="3"/>
  <c r="C18" i="3"/>
  <c r="C19" i="3"/>
  <c r="B18" i="3"/>
  <c r="B19" i="3"/>
  <c r="K17" i="3"/>
  <c r="K19" i="3"/>
  <c r="K18" i="3"/>
  <c r="I24" i="3"/>
  <c r="H24" i="3"/>
  <c r="G24" i="3"/>
  <c r="O19" i="3"/>
  <c r="O18" i="3"/>
  <c r="O17" i="3"/>
  <c r="M19" i="3"/>
  <c r="M18" i="3"/>
  <c r="M17" i="3"/>
  <c r="J24" i="3"/>
  <c r="L19" i="3"/>
  <c r="L18" i="3"/>
  <c r="L17" i="3"/>
  <c r="R40" i="2"/>
  <c r="R41" i="2" s="1"/>
  <c r="P40" i="2"/>
  <c r="P41" i="2" s="1"/>
  <c r="M40" i="2"/>
  <c r="M41" i="2" s="1"/>
  <c r="I40" i="2"/>
  <c r="I41" i="2" s="1"/>
  <c r="G40" i="2"/>
  <c r="G41" i="2" s="1"/>
  <c r="M27" i="2"/>
  <c r="M29" i="2" s="1"/>
  <c r="M26" i="2"/>
  <c r="P27" i="2"/>
  <c r="P29" i="2" s="1"/>
  <c r="P26" i="2"/>
  <c r="G27" i="2"/>
  <c r="G29" i="2" s="1"/>
  <c r="G26" i="2"/>
  <c r="F27" i="2"/>
  <c r="F29" i="2" s="1"/>
  <c r="F26" i="2"/>
  <c r="Q27" i="2"/>
  <c r="Q29" i="2" s="1"/>
  <c r="Q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tc={F567D31E-770D-493C-8AB4-71FBE8FE927E}</author>
    <author>tc={1EDCE9AD-3B77-43EA-B014-66B2350FA723}</author>
    <author>tc={3AD9D3C7-0E7D-4408-9360-26F25C808754}</author>
    <author>tc={62783F04-42D8-4173-B135-8D78329227AB}</author>
    <author>tc={6D8D0F80-AAF2-4DB8-8632-AE73EB4C522B}</author>
    <author>tc={4332D81C-2F31-46A9-AD1B-AB23F87A3B02}</author>
  </authors>
  <commentList>
    <comment ref="R4" authorId="0" shapeId="0" xr:uid="{F567D31E-770D-493C-8AB4-71FBE8FE927E}">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R6" authorId="1" shapeId="0" xr:uid="{1EDCE9AD-3B77-43EA-B014-66B2350FA723}">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R15" authorId="2" shapeId="0" xr:uid="{3AD9D3C7-0E7D-4408-9360-26F25C808754}">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F20" authorId="3" shapeId="0" xr:uid="{62783F04-42D8-4173-B135-8D78329227AB}">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G20" authorId="4" shapeId="0" xr:uid="{6D8D0F80-AAF2-4DB8-8632-AE73EB4C522B}">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L20" authorId="5" shapeId="0" xr:uid="{4332D81C-2F31-46A9-AD1B-AB23F87A3B02}">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tc={9E1A07E4-9099-4514-86DA-84010BACB242}</author>
    <author>tc={12CC9BFF-22E5-48A6-A172-12A92E5881BD}</author>
    <author>tc={291BCB6A-7F63-4FC1-9DDE-75B0A079B168}</author>
    <author>tc={B9FDE7A5-9672-4F6E-B426-5B1DB9231D21}</author>
    <author>tc={DBE5DBB5-104E-444B-8907-5706F9366BFC}</author>
    <author>tc={603DEF3A-8F98-4E0B-9B42-7A42C9098BCE}</author>
  </authors>
  <commentList>
    <comment ref="U5" authorId="0" shapeId="0" xr:uid="{9E1A07E4-9099-4514-86DA-84010BACB242}">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U7" authorId="1" shapeId="0" xr:uid="{12CC9BFF-22E5-48A6-A172-12A92E5881BD}">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U22" authorId="2" shapeId="0" xr:uid="{291BCB6A-7F63-4FC1-9DDE-75B0A079B168}">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I32" authorId="3" shapeId="0" xr:uid="{B9FDE7A5-9672-4F6E-B426-5B1DB9231D21}">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J32" authorId="4" shapeId="0" xr:uid="{DBE5DBB5-104E-444B-8907-5706F9366BFC}">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O32" authorId="5" shapeId="0" xr:uid="{603DEF3A-8F98-4E0B-9B42-7A42C9098BCE}">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sharedStrings.xml><?xml version="1.0" encoding="utf-8"?>
<sst xmlns="http://schemas.openxmlformats.org/spreadsheetml/2006/main" count="201" uniqueCount="122">
  <si>
    <t>Wind</t>
  </si>
  <si>
    <t>Guam</t>
  </si>
  <si>
    <t>Papua New Guinea</t>
  </si>
  <si>
    <t>Northern Mariana Islands</t>
  </si>
  <si>
    <t>Tuvalu</t>
  </si>
  <si>
    <t>Niue</t>
  </si>
  <si>
    <t>Micronesia</t>
  </si>
  <si>
    <t>French Polynesia</t>
  </si>
  <si>
    <t>American Samoa</t>
  </si>
  <si>
    <t>New Caledonia</t>
  </si>
  <si>
    <t>Tonga</t>
  </si>
  <si>
    <t>Solomon Islands</t>
  </si>
  <si>
    <t>Cook Islands</t>
  </si>
  <si>
    <t>Kiribati</t>
  </si>
  <si>
    <t>Palau</t>
  </si>
  <si>
    <t>Vanuatu</t>
  </si>
  <si>
    <t>Nauru</t>
  </si>
  <si>
    <t>Samoa</t>
  </si>
  <si>
    <t>Marshall Islands</t>
  </si>
  <si>
    <t>GWh/year</t>
  </si>
  <si>
    <t>MW</t>
  </si>
  <si>
    <t xml:space="preserve">Av.PV gen </t>
  </si>
  <si>
    <t>GWh/MW/year</t>
  </si>
  <si>
    <t>km2</t>
  </si>
  <si>
    <t>units</t>
  </si>
  <si>
    <t>indicator</t>
  </si>
  <si>
    <t>TJ/year</t>
  </si>
  <si>
    <t>Approx area (0.15kW/m2)</t>
  </si>
  <si>
    <t>PV</t>
  </si>
  <si>
    <t>Energy</t>
  </si>
  <si>
    <t>Av. Capacity factor class III</t>
  </si>
  <si>
    <t>%</t>
  </si>
  <si>
    <t>Av. Wind gen</t>
  </si>
  <si>
    <t>Land</t>
  </si>
  <si>
    <t>arable</t>
  </si>
  <si>
    <t>forested</t>
  </si>
  <si>
    <t>crops</t>
  </si>
  <si>
    <t>pasture</t>
  </si>
  <si>
    <t>other</t>
  </si>
  <si>
    <t>coastline</t>
  </si>
  <si>
    <t>km</t>
  </si>
  <si>
    <t>area - land</t>
  </si>
  <si>
    <t>area - water</t>
  </si>
  <si>
    <t xml:space="preserve">total final energy demand </t>
  </si>
  <si>
    <t>total energy imports</t>
  </si>
  <si>
    <t>PV for final demand (20% losses)</t>
  </si>
  <si>
    <t>Wind  for final demand (20% losses)</t>
  </si>
  <si>
    <t>renewables</t>
  </si>
  <si>
    <t>% total land area</t>
  </si>
  <si>
    <t>approx coast line (1.5MW /250m)</t>
  </si>
  <si>
    <t xml:space="preserve">Total </t>
  </si>
  <si>
    <t>Reference</t>
  </si>
  <si>
    <t>Unstats</t>
  </si>
  <si>
    <t>OurworldinData</t>
  </si>
  <si>
    <t>SolarAtlas</t>
  </si>
  <si>
    <t>WindAtlas</t>
  </si>
  <si>
    <t>No reference for imports and consumption</t>
  </si>
  <si>
    <t>Dummy</t>
  </si>
  <si>
    <t>Dummy2</t>
  </si>
  <si>
    <t>Av.PV gen (GWh/MW/year)</t>
  </si>
  <si>
    <t>Av. Capacity factor for wind turbine class III (%)</t>
  </si>
  <si>
    <t>Av. Wind gen (GWh/MW/year)</t>
  </si>
  <si>
    <t>Wind  for final demand considering 20% losses (MW)</t>
  </si>
  <si>
    <t>PV for final demand considering 20% losses (MW)</t>
  </si>
  <si>
    <t>Coastline for wind turbine (km)</t>
  </si>
  <si>
    <t>Indicator</t>
  </si>
  <si>
    <t>Total energy imports (GWh/year)</t>
  </si>
  <si>
    <t>Total final energy demand (GWh/year)</t>
  </si>
  <si>
    <t>Renewables (GWh/year)</t>
  </si>
  <si>
    <t>Area - land (km2)</t>
  </si>
  <si>
    <t>Area - water (km2)</t>
  </si>
  <si>
    <t>Coastline (km)</t>
  </si>
  <si>
    <t>Arable (%)</t>
  </si>
  <si>
    <t>Crops (%)</t>
  </si>
  <si>
    <t>Pasture (%)</t>
  </si>
  <si>
    <t>Forested (%)</t>
  </si>
  <si>
    <t>Area for PV considering  0.15kW/m2 (km2)</t>
  </si>
  <si>
    <t>Country</t>
  </si>
  <si>
    <t>Arable</t>
  </si>
  <si>
    <t>Crops</t>
  </si>
  <si>
    <t>Pasture</t>
  </si>
  <si>
    <t>Forested</t>
  </si>
  <si>
    <t>Other</t>
  </si>
  <si>
    <t>PV for Final demand (MW)</t>
  </si>
  <si>
    <t>Wind for Final demand (MW)</t>
  </si>
  <si>
    <t>Fiji</t>
  </si>
  <si>
    <t xml:space="preserve">red </t>
  </si>
  <si>
    <t>Islam Mamnun et al</t>
  </si>
  <si>
    <t>step change. Averages here based on https://www.tectuvalu.tv/residential/</t>
  </si>
  <si>
    <t>Biomass</t>
  </si>
  <si>
    <t>??</t>
  </si>
  <si>
    <t>primary biofuels/waste</t>
  </si>
  <si>
    <t>https://unstats.un.org/unsd/energystats/pubs/balance/</t>
  </si>
  <si>
    <t>Geothermal</t>
  </si>
  <si>
    <t>Biomass installed capacity (MW)</t>
  </si>
  <si>
    <t>GWh</t>
  </si>
  <si>
    <t>Biomass electricity generation 2019 (GWh)</t>
  </si>
  <si>
    <t>CF from paper</t>
  </si>
  <si>
    <t>PNG</t>
  </si>
  <si>
    <t>Potential (GWh/year)</t>
  </si>
  <si>
    <t>Imports</t>
  </si>
  <si>
    <t>Final consumption</t>
  </si>
  <si>
    <t>Geothermal to imports</t>
  </si>
  <si>
    <t>Geothermal to final demand</t>
  </si>
  <si>
    <t>Approx area (0.1kW/m2)</t>
  </si>
  <si>
    <t>(0.15kW/m2)</t>
  </si>
  <si>
    <t>(0.1kW/m2)</t>
  </si>
  <si>
    <t>WtE Potential</t>
  </si>
  <si>
    <t>Final demand</t>
  </si>
  <si>
    <t>Total imports</t>
  </si>
  <si>
    <t>Non RE Transformation</t>
  </si>
  <si>
    <t>PV to replace non-RE electricity generated through  transformation</t>
  </si>
  <si>
    <t>Wind to replace non-RE electricity generated through  transformation</t>
  </si>
  <si>
    <t>PV for non-RE electricity generation (MW)</t>
  </si>
  <si>
    <t>Wind for non-RE electricity generation (MW)</t>
  </si>
  <si>
    <t>Based on 2018 data</t>
  </si>
  <si>
    <t>approx coast line (1.5MW /250m) for final demand</t>
  </si>
  <si>
    <t>Coastline for final demand</t>
  </si>
  <si>
    <t>approx coast line (1.5MW /250m) for non-RE electricity</t>
  </si>
  <si>
    <t>Coastline for non-RE electricity</t>
  </si>
  <si>
    <t>Proportion of coastline to meet final demand</t>
  </si>
  <si>
    <t>Proportion of coastline to meet non-RE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</si>
</sst>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20" x14ac:knownFonts="1">
    <font>
      <sz val="12"/>
      <color theme="1"/>
      <name val="Calibri"/>
      <family val="2"/>
      <scheme val="minor"/>
    </font>
    <font>
      <b/>
      <sz val="12"/>
      <color theme="1"/>
      <name val="Calibri"/>
      <family val="2"/>
      <scheme val="minor"/>
    </font>
    <font>
      <u/>
      <sz val="12"/>
      <color theme="10"/>
      <name val="Calibri"/>
      <family val="2"/>
      <scheme val="minor"/>
    </font>
    <font>
      <sz val="18"/>
      <color theme="1"/>
      <name val="Calibri"/>
      <family val="2"/>
      <scheme val="minor"/>
    </font>
    <font>
      <u/>
      <sz val="18"/>
      <color theme="10"/>
      <name val="Calibri"/>
      <family val="2"/>
      <scheme val="minor"/>
    </font>
    <font>
      <b/>
      <sz val="18"/>
      <color theme="1"/>
      <name val="Calibri"/>
      <family val="2"/>
      <scheme val="minor"/>
    </font>
    <font>
      <b/>
      <sz val="26"/>
      <color theme="1"/>
      <name val="Calibri"/>
      <family val="2"/>
      <scheme val="minor"/>
    </font>
    <font>
      <b/>
      <sz val="30"/>
      <color theme="1"/>
      <name val="Calibri"/>
      <family val="2"/>
      <scheme val="minor"/>
    </font>
    <font>
      <sz val="20"/>
      <color theme="1"/>
      <name val="Calibri"/>
      <family val="2"/>
      <scheme val="minor"/>
    </font>
    <font>
      <b/>
      <sz val="20"/>
      <color theme="1"/>
      <name val="Calibri"/>
      <family val="2"/>
      <scheme val="minor"/>
    </font>
    <font>
      <u/>
      <sz val="24"/>
      <color theme="10"/>
      <name val="Calibri"/>
      <family val="2"/>
      <scheme val="minor"/>
    </font>
    <font>
      <u/>
      <sz val="26"/>
      <color theme="10"/>
      <name val="Calibri"/>
      <family val="2"/>
      <scheme val="minor"/>
    </font>
    <font>
      <u/>
      <sz val="48"/>
      <color theme="10"/>
      <name val="Calibri"/>
      <family val="2"/>
      <scheme val="minor"/>
    </font>
    <font>
      <sz val="48"/>
      <color theme="1"/>
      <name val="Calibri"/>
      <family val="2"/>
      <scheme val="minor"/>
    </font>
    <font>
      <b/>
      <sz val="10"/>
      <color theme="1"/>
      <name val="Calibri"/>
      <family val="2"/>
      <scheme val="minor"/>
    </font>
    <font>
      <sz val="10"/>
      <color theme="1"/>
      <name val="Calibri"/>
      <family val="2"/>
      <scheme val="minor"/>
    </font>
    <font>
      <sz val="10"/>
      <color theme="1"/>
      <name val="Palatino Linotype"/>
      <family val="1"/>
    </font>
    <font>
      <b/>
      <sz val="10"/>
      <color theme="1"/>
      <name val="Palatino Linotype"/>
      <family val="1"/>
    </font>
    <font>
      <sz val="10"/>
      <color rgb="FFFF0000"/>
      <name val="Calibri"/>
      <family val="2"/>
      <scheme val="minor"/>
    </font>
    <font>
      <sz val="22"/>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1" fillId="0" borderId="0" xfId="0" applyFont="1"/>
    <xf numFmtId="0" fontId="3" fillId="0" borderId="0" xfId="0" applyFont="1"/>
    <xf numFmtId="0" fontId="3" fillId="0" borderId="0" xfId="0" applyFont="1" applyAlignment="1">
      <alignment wrapText="1"/>
    </xf>
    <xf numFmtId="0" fontId="4" fillId="0" borderId="0" xfId="1" applyFont="1" applyAlignment="1">
      <alignment wrapText="1"/>
    </xf>
    <xf numFmtId="0" fontId="3" fillId="2" borderId="0" xfId="0" applyFont="1" applyFill="1"/>
    <xf numFmtId="0" fontId="5" fillId="2" borderId="0" xfId="0" applyFont="1" applyFill="1"/>
    <xf numFmtId="0" fontId="5" fillId="0" borderId="0" xfId="0" applyFont="1"/>
    <xf numFmtId="0" fontId="6" fillId="0" borderId="0" xfId="0" applyFont="1" applyAlignment="1">
      <alignment horizontal="center" vertical="center" wrapText="1"/>
    </xf>
    <xf numFmtId="0" fontId="3" fillId="0" borderId="2" xfId="0" applyFont="1" applyBorder="1"/>
    <xf numFmtId="0" fontId="3" fillId="2" borderId="0" xfId="0" applyFont="1" applyFill="1" applyBorder="1"/>
    <xf numFmtId="0" fontId="3" fillId="2" borderId="5" xfId="0" applyFont="1" applyFill="1" applyBorder="1"/>
    <xf numFmtId="0" fontId="3" fillId="0" borderId="0" xfId="0" applyFont="1" applyBorder="1"/>
    <xf numFmtId="1" fontId="3" fillId="0" borderId="0" xfId="0" applyNumberFormat="1" applyFont="1" applyBorder="1"/>
    <xf numFmtId="0" fontId="3" fillId="3" borderId="6" xfId="0" applyFont="1" applyFill="1" applyBorder="1"/>
    <xf numFmtId="0" fontId="3" fillId="3" borderId="7" xfId="0" applyFont="1" applyFill="1" applyBorder="1"/>
    <xf numFmtId="1" fontId="3" fillId="3" borderId="7" xfId="0" applyNumberFormat="1" applyFont="1" applyFill="1" applyBorder="1"/>
    <xf numFmtId="0" fontId="3" fillId="0" borderId="5" xfId="0" applyFont="1" applyBorder="1"/>
    <xf numFmtId="0" fontId="3" fillId="3" borderId="0" xfId="0" applyFont="1" applyFill="1" applyBorder="1"/>
    <xf numFmtId="164" fontId="3" fillId="3" borderId="0" xfId="0" applyNumberFormat="1" applyFont="1" applyFill="1" applyBorder="1"/>
    <xf numFmtId="2" fontId="3" fillId="3" borderId="7" xfId="0" applyNumberFormat="1" applyFont="1" applyFill="1" applyBorder="1"/>
    <xf numFmtId="0" fontId="5" fillId="0" borderId="4" xfId="0" applyFont="1" applyBorder="1"/>
    <xf numFmtId="0" fontId="3" fillId="2" borderId="7" xfId="0" applyFont="1" applyFill="1" applyBorder="1"/>
    <xf numFmtId="0" fontId="7" fillId="4" borderId="1" xfId="0" applyFont="1" applyFill="1" applyBorder="1"/>
    <xf numFmtId="0" fontId="8" fillId="0" borderId="4" xfId="0" applyFont="1" applyBorder="1" applyAlignment="1">
      <alignment wrapText="1"/>
    </xf>
    <xf numFmtId="0" fontId="8" fillId="3" borderId="4" xfId="0" applyFont="1" applyFill="1" applyBorder="1" applyAlignment="1">
      <alignment wrapText="1"/>
    </xf>
    <xf numFmtId="0" fontId="8" fillId="3" borderId="6" xfId="0" applyFont="1" applyFill="1" applyBorder="1" applyAlignment="1">
      <alignment wrapText="1"/>
    </xf>
    <xf numFmtId="0" fontId="8" fillId="2" borderId="4" xfId="0" applyFont="1" applyFill="1" applyBorder="1"/>
    <xf numFmtId="0" fontId="8" fillId="0" borderId="4" xfId="0" applyFont="1" applyBorder="1"/>
    <xf numFmtId="0" fontId="9" fillId="0" borderId="4" xfId="0" applyFont="1" applyBorder="1"/>
    <xf numFmtId="0" fontId="8" fillId="2" borderId="6" xfId="0" applyFont="1" applyFill="1" applyBorder="1"/>
    <xf numFmtId="0" fontId="1" fillId="0" borderId="2" xfId="0" applyFont="1" applyBorder="1"/>
    <xf numFmtId="0" fontId="2" fillId="0" borderId="2" xfId="1" applyBorder="1" applyAlignment="1">
      <alignment vertical="center" wrapText="1"/>
    </xf>
    <xf numFmtId="0" fontId="1" fillId="0" borderId="2" xfId="0" applyFont="1" applyBorder="1" applyAlignment="1">
      <alignment wrapText="1"/>
    </xf>
    <xf numFmtId="0" fontId="1" fillId="0" borderId="3" xfId="0" applyFont="1" applyBorder="1"/>
    <xf numFmtId="0" fontId="5" fillId="2" borderId="0" xfId="0" applyFont="1" applyFill="1" applyBorder="1"/>
    <xf numFmtId="1" fontId="5" fillId="2" borderId="0" xfId="0" applyNumberFormat="1" applyFont="1" applyFill="1" applyBorder="1"/>
    <xf numFmtId="1" fontId="3" fillId="2" borderId="0" xfId="0" applyNumberFormat="1" applyFont="1" applyFill="1" applyBorder="1"/>
    <xf numFmtId="0" fontId="5" fillId="0" borderId="0" xfId="0" applyFont="1" applyBorder="1"/>
    <xf numFmtId="1" fontId="5" fillId="0" borderId="0" xfId="0" applyNumberFormat="1" applyFont="1" applyBorder="1"/>
    <xf numFmtId="0" fontId="10" fillId="0" borderId="2" xfId="1" applyFont="1" applyBorder="1"/>
    <xf numFmtId="0" fontId="11" fillId="0" borderId="2" xfId="1" applyFont="1" applyBorder="1"/>
    <xf numFmtId="0" fontId="10" fillId="0" borderId="2" xfId="1" applyFont="1" applyBorder="1" applyAlignment="1">
      <alignment wrapText="1"/>
    </xf>
    <xf numFmtId="0" fontId="4" fillId="0" borderId="0" xfId="1" applyFont="1" applyAlignment="1">
      <alignment vertical="center" wrapText="1"/>
    </xf>
    <xf numFmtId="0" fontId="3" fillId="3" borderId="7" xfId="0" applyFont="1" applyFill="1" applyBorder="1" applyAlignment="1">
      <alignment wrapText="1"/>
    </xf>
    <xf numFmtId="0" fontId="8" fillId="2" borderId="4" xfId="0" applyFont="1" applyFill="1" applyBorder="1" applyAlignment="1">
      <alignment wrapText="1"/>
    </xf>
    <xf numFmtId="0" fontId="5" fillId="2" borderId="5" xfId="0" applyFont="1" applyFill="1" applyBorder="1"/>
    <xf numFmtId="0" fontId="5" fillId="0" borderId="5" xfId="0" applyFont="1" applyBorder="1"/>
    <xf numFmtId="0" fontId="12" fillId="4" borderId="0" xfId="1" applyFont="1" applyFill="1"/>
    <xf numFmtId="0" fontId="13" fillId="0" borderId="0" xfId="0" applyFont="1" applyFill="1"/>
    <xf numFmtId="2" fontId="3" fillId="0" borderId="0" xfId="0" applyNumberFormat="1" applyFont="1" applyBorder="1"/>
    <xf numFmtId="164" fontId="3" fillId="3" borderId="7" xfId="0" applyNumberFormat="1" applyFont="1" applyFill="1" applyBorder="1"/>
    <xf numFmtId="0" fontId="6" fillId="0" borderId="8" xfId="0" applyFont="1" applyBorder="1" applyAlignment="1">
      <alignment horizontal="center" vertical="center" wrapText="1"/>
    </xf>
    <xf numFmtId="0" fontId="8" fillId="2" borderId="8" xfId="0" applyFont="1" applyFill="1" applyBorder="1"/>
    <xf numFmtId="0" fontId="5" fillId="2" borderId="8" xfId="0" applyFont="1" applyFill="1" applyBorder="1"/>
    <xf numFmtId="0" fontId="3" fillId="2" borderId="8" xfId="0" applyFont="1" applyFill="1" applyBorder="1"/>
    <xf numFmtId="1" fontId="5" fillId="2" borderId="8" xfId="0" applyNumberFormat="1" applyFont="1" applyFill="1" applyBorder="1"/>
    <xf numFmtId="1" fontId="3" fillId="2" borderId="8" xfId="0" applyNumberFormat="1" applyFont="1" applyFill="1" applyBorder="1"/>
    <xf numFmtId="0" fontId="5" fillId="0" borderId="8" xfId="0" applyFont="1" applyBorder="1"/>
    <xf numFmtId="0" fontId="3" fillId="0" borderId="8" xfId="0" applyFont="1" applyBorder="1"/>
    <xf numFmtId="1" fontId="5" fillId="0" borderId="8" xfId="0" applyNumberFormat="1" applyFont="1" applyBorder="1"/>
    <xf numFmtId="0" fontId="8" fillId="2" borderId="8" xfId="0" applyFont="1" applyFill="1" applyBorder="1" applyAlignment="1">
      <alignment wrapText="1"/>
    </xf>
    <xf numFmtId="1" fontId="3" fillId="0" borderId="8" xfId="0" applyNumberFormat="1" applyFont="1" applyBorder="1"/>
    <xf numFmtId="0" fontId="8" fillId="0" borderId="8" xfId="0" applyFont="1" applyBorder="1" applyAlignment="1">
      <alignment wrapText="1"/>
    </xf>
    <xf numFmtId="2" fontId="3" fillId="0" borderId="8" xfId="0" applyNumberFormat="1" applyFont="1" applyBorder="1"/>
    <xf numFmtId="0" fontId="8" fillId="3" borderId="8" xfId="0" applyFont="1" applyFill="1" applyBorder="1" applyAlignment="1">
      <alignment wrapText="1"/>
    </xf>
    <xf numFmtId="0" fontId="3" fillId="3" borderId="8" xfId="0" applyFont="1" applyFill="1" applyBorder="1"/>
    <xf numFmtId="164" fontId="3" fillId="3" borderId="8" xfId="0" applyNumberFormat="1" applyFont="1" applyFill="1" applyBorder="1"/>
    <xf numFmtId="1" fontId="3" fillId="3" borderId="8" xfId="0" applyNumberFormat="1" applyFont="1" applyFill="1" applyBorder="1"/>
    <xf numFmtId="0" fontId="9" fillId="0" borderId="8" xfId="0" applyFont="1" applyBorder="1" applyAlignment="1">
      <alignment wrapText="1"/>
    </xf>
    <xf numFmtId="166" fontId="3" fillId="3" borderId="7" xfId="0" applyNumberFormat="1" applyFont="1" applyFill="1" applyBorder="1"/>
    <xf numFmtId="167" fontId="3" fillId="3" borderId="7" xfId="0" applyNumberFormat="1" applyFont="1" applyFill="1" applyBorder="1"/>
    <xf numFmtId="164" fontId="3" fillId="0" borderId="0" xfId="0" applyNumberFormat="1" applyFont="1" applyBorder="1"/>
    <xf numFmtId="165" fontId="3" fillId="0" borderId="0" xfId="0" applyNumberFormat="1" applyFont="1" applyBorder="1"/>
    <xf numFmtId="0" fontId="14" fillId="0" borderId="0" xfId="0" applyFont="1" applyAlignment="1">
      <alignment horizontal="center" vertical="center" wrapText="1"/>
    </xf>
    <xf numFmtId="0" fontId="15" fillId="0" borderId="0" xfId="0" applyFont="1" applyAlignment="1">
      <alignment wrapText="1"/>
    </xf>
    <xf numFmtId="1" fontId="15" fillId="0" borderId="0" xfId="0" applyNumberFormat="1" applyFont="1" applyAlignment="1">
      <alignment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3" fontId="16" fillId="0" borderId="0" xfId="0" applyNumberFormat="1" applyFont="1" applyAlignment="1">
      <alignment horizontal="center" vertical="center" wrapText="1"/>
    </xf>
    <xf numFmtId="0" fontId="2" fillId="0" borderId="0" xfId="1" applyAlignment="1">
      <alignment wrapText="1"/>
    </xf>
    <xf numFmtId="0" fontId="18" fillId="0" borderId="0" xfId="0" applyFont="1" applyAlignment="1">
      <alignment wrapText="1"/>
    </xf>
    <xf numFmtId="0" fontId="8" fillId="0" borderId="4" xfId="0" applyFont="1" applyFill="1" applyBorder="1" applyAlignment="1">
      <alignment wrapText="1"/>
    </xf>
    <xf numFmtId="0" fontId="8" fillId="0" borderId="0" xfId="0" applyFont="1" applyFill="1" applyBorder="1" applyAlignment="1">
      <alignment wrapText="1"/>
    </xf>
    <xf numFmtId="0" fontId="0" fillId="0" borderId="0" xfId="0"/>
    <xf numFmtId="0" fontId="1" fillId="0" borderId="0" xfId="0" applyFont="1"/>
    <xf numFmtId="0" fontId="2" fillId="0" borderId="0" xfId="1" applyAlignment="1">
      <alignment vertical="center"/>
    </xf>
    <xf numFmtId="0" fontId="0" fillId="0" borderId="0" xfId="0" applyAlignment="1">
      <alignment wrapText="1"/>
    </xf>
    <xf numFmtId="0" fontId="0" fillId="0" borderId="0" xfId="0" applyAlignment="1">
      <alignment horizontal="center" vertical="center" wrapText="1"/>
    </xf>
    <xf numFmtId="0" fontId="3" fillId="3" borderId="4" xfId="0" applyFont="1" applyFill="1" applyBorder="1"/>
    <xf numFmtId="0" fontId="3" fillId="3" borderId="0" xfId="0" applyFont="1" applyFill="1" applyBorder="1" applyAlignment="1">
      <alignment wrapText="1"/>
    </xf>
    <xf numFmtId="1" fontId="3" fillId="3" borderId="0" xfId="0" applyNumberFormat="1" applyFont="1" applyFill="1" applyBorder="1"/>
    <xf numFmtId="0" fontId="8" fillId="4" borderId="4" xfId="0" applyFont="1" applyFill="1" applyBorder="1"/>
    <xf numFmtId="0" fontId="3" fillId="4" borderId="0" xfId="0" applyFont="1" applyFill="1" applyBorder="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Compact!$B$1:$N$1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Compact!$B$7:$O$7</c15:sqref>
                  </c15:fullRef>
                </c:ext>
              </c:extLst>
              <c:f>Compact!$B$7:$N$7</c:f>
              <c:numCache>
                <c:formatCode>0</c:formatCode>
                <c:ptCount val="13"/>
                <c:pt idx="0">
                  <c:v>193.60730593607306</c:v>
                </c:pt>
                <c:pt idx="1">
                  <c:v>0.45662100456621008</c:v>
                </c:pt>
                <c:pt idx="2">
                  <c:v>105.02283105022832</c:v>
                </c:pt>
                <c:pt idx="3">
                  <c:v>0.11415525114155252</c:v>
                </c:pt>
                <c:pt idx="4">
                  <c:v>63.926940639269411</c:v>
                </c:pt>
                <c:pt idx="5">
                  <c:v>4.3378995433789953</c:v>
                </c:pt>
                <c:pt idx="6">
                  <c:v>378.88127853881281</c:v>
                </c:pt>
                <c:pt idx="7">
                  <c:v>3.8812785388127855</c:v>
                </c:pt>
                <c:pt idx="8">
                  <c:v>27.739726027397261</c:v>
                </c:pt>
                <c:pt idx="9">
                  <c:v>87.44292237442923</c:v>
                </c:pt>
                <c:pt idx="10">
                  <c:v>4.4520547945205484</c:v>
                </c:pt>
                <c:pt idx="11">
                  <c:v>0.22831050228310504</c:v>
                </c:pt>
                <c:pt idx="12">
                  <c:v>0.79908675799086759</c:v>
                </c:pt>
              </c:numCache>
            </c:numRef>
          </c:val>
          <c:extLst>
            <c:ext xmlns:c16="http://schemas.microsoft.com/office/drawing/2014/chart" uri="{C3380CC4-5D6E-409C-BE32-E72D297353CC}">
              <c16:uniqueId val="{00000000-C6BF-47A3-9D07-DAA9290FB99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Palatino Linotype" panose="02040502050505030304" pitchFamily="18" charset="0"/>
                <a:ea typeface="+mn-ea"/>
                <a:cs typeface="+mn-cs"/>
              </a:defRPr>
            </a:pPr>
            <a:r>
              <a:rPr lang="en-AU">
                <a:solidFill>
                  <a:sysClr val="windowText" lastClr="000000"/>
                </a:solidFill>
              </a:rPr>
              <a:t>Breakdown of the land</a:t>
            </a:r>
            <a:r>
              <a:rPr lang="en-AU" baseline="0">
                <a:solidFill>
                  <a:sysClr val="windowText" lastClr="000000"/>
                </a:solidFill>
              </a:rPr>
              <a:t> and the required proportion of land for PV installation </a:t>
            </a:r>
            <a:endParaRPr lang="en-AU">
              <a:solidFill>
                <a:sysClr val="windowText" lastClr="000000"/>
              </a:solidFill>
            </a:endParaRPr>
          </a:p>
        </c:rich>
      </c:tx>
      <c:overlay val="0"/>
      <c:spPr>
        <a:noFill/>
        <a:ln>
          <a:noFill/>
        </a:ln>
        <a:effectLst/>
      </c:spPr>
    </c:title>
    <c:autoTitleDeleted val="0"/>
    <c:plotArea>
      <c:layout/>
      <c:barChart>
        <c:barDir val="col"/>
        <c:grouping val="stacked"/>
        <c:varyColors val="0"/>
        <c:ser>
          <c:idx val="0"/>
          <c:order val="0"/>
          <c:tx>
            <c:strRef>
              <c:f>Main!$D$15</c:f>
              <c:strCache>
                <c:ptCount val="1"/>
                <c:pt idx="0">
                  <c:v>Arable</c:v>
                </c:pt>
              </c:strCache>
            </c:strRef>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Main!$E$15:$S$15</c:f>
              <c:numCache>
                <c:formatCode>General</c:formatCode>
                <c:ptCount val="15"/>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pt idx="14">
                  <c:v>9</c:v>
                </c:pt>
              </c:numCache>
            </c:numRef>
          </c:val>
          <c:extLst>
            <c:ext xmlns:c16="http://schemas.microsoft.com/office/drawing/2014/chart" uri="{C3380CC4-5D6E-409C-BE32-E72D297353CC}">
              <c16:uniqueId val="{00000014-3472-425E-985B-F72D1256667E}"/>
            </c:ext>
          </c:extLst>
        </c:ser>
        <c:ser>
          <c:idx val="1"/>
          <c:order val="1"/>
          <c:tx>
            <c:strRef>
              <c:f>Main!$D$16</c:f>
              <c:strCache>
                <c:ptCount val="1"/>
                <c:pt idx="0">
                  <c:v>Crops</c:v>
                </c:pt>
              </c:strCache>
            </c:strRef>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Main!$E$16:$S$16</c:f>
              <c:numCache>
                <c:formatCode>General</c:formatCode>
                <c:ptCount val="15"/>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pt idx="14">
                  <c:v>4.7</c:v>
                </c:pt>
              </c:numCache>
            </c:numRef>
          </c:val>
          <c:extLst>
            <c:ext xmlns:c16="http://schemas.microsoft.com/office/drawing/2014/chart" uri="{C3380CC4-5D6E-409C-BE32-E72D297353CC}">
              <c16:uniqueId val="{00000016-3472-425E-985B-F72D1256667E}"/>
            </c:ext>
          </c:extLst>
        </c:ser>
        <c:ser>
          <c:idx val="2"/>
          <c:order val="2"/>
          <c:tx>
            <c:strRef>
              <c:f>Main!$D$17</c:f>
              <c:strCache>
                <c:ptCount val="1"/>
                <c:pt idx="0">
                  <c:v>Pasture</c:v>
                </c:pt>
              </c:strCache>
            </c:strRef>
          </c:tx>
          <c:spPr>
            <a:solidFill>
              <a:schemeClr val="accent6">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Main!$E$17:$S$17</c:f>
              <c:numCache>
                <c:formatCode>General</c:formatCode>
                <c:ptCount val="15"/>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pt idx="14">
                  <c:v>9.6</c:v>
                </c:pt>
              </c:numCache>
            </c:numRef>
          </c:val>
          <c:extLst>
            <c:ext xmlns:c16="http://schemas.microsoft.com/office/drawing/2014/chart" uri="{C3380CC4-5D6E-409C-BE32-E72D297353CC}">
              <c16:uniqueId val="{00000018-3472-425E-985B-F72D1256667E}"/>
            </c:ext>
          </c:extLst>
        </c:ser>
        <c:ser>
          <c:idx val="3"/>
          <c:order val="3"/>
          <c:tx>
            <c:strRef>
              <c:f>Main!$D$18</c:f>
              <c:strCache>
                <c:ptCount val="1"/>
                <c:pt idx="0">
                  <c:v>Forested</c:v>
                </c:pt>
              </c:strCache>
            </c:strRef>
          </c:tx>
          <c:spPr>
            <a:solidFill>
              <a:schemeClr val="accent4"/>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Main!$E$18:$S$18</c:f>
              <c:numCache>
                <c:formatCode>General</c:formatCode>
                <c:ptCount val="15"/>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pt idx="14">
                  <c:v>55.7</c:v>
                </c:pt>
              </c:numCache>
            </c:numRef>
          </c:val>
          <c:extLst>
            <c:ext xmlns:c16="http://schemas.microsoft.com/office/drawing/2014/chart" uri="{C3380CC4-5D6E-409C-BE32-E72D297353CC}">
              <c16:uniqueId val="{0000001A-3472-425E-985B-F72D1256667E}"/>
            </c:ext>
          </c:extLst>
        </c:ser>
        <c:ser>
          <c:idx val="4"/>
          <c:order val="4"/>
          <c:tx>
            <c:strRef>
              <c:f>Main!$D$19</c:f>
              <c:strCache>
                <c:ptCount val="1"/>
                <c:pt idx="0">
                  <c:v>Other</c:v>
                </c:pt>
              </c:strCache>
            </c:strRef>
          </c:tx>
          <c:spPr>
            <a:pattFill prst="pct25">
              <a:fgClr>
                <a:schemeClr val="tx1"/>
              </a:fgClr>
              <a:bgClr>
                <a:schemeClr val="bg1"/>
              </a:bgClr>
            </a:patt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Main!$E$19:$S$19</c:f>
              <c:numCache>
                <c:formatCode>General</c:formatCode>
                <c:ptCount val="15"/>
                <c:pt idx="0">
                  <c:v>0</c:v>
                </c:pt>
                <c:pt idx="1">
                  <c:v>80</c:v>
                </c:pt>
                <c:pt idx="2">
                  <c:v>48.6</c:v>
                </c:pt>
                <c:pt idx="3">
                  <c:v>1.6</c:v>
                </c:pt>
                <c:pt idx="4">
                  <c:v>43</c:v>
                </c:pt>
                <c:pt idx="5">
                  <c:v>27</c:v>
                </c:pt>
                <c:pt idx="6">
                  <c:v>17.2</c:v>
                </c:pt>
                <c:pt idx="7">
                  <c:v>44.4</c:v>
                </c:pt>
                <c:pt idx="8">
                  <c:v>43.7</c:v>
                </c:pt>
                <c:pt idx="9">
                  <c:v>43.8</c:v>
                </c:pt>
                <c:pt idx="10">
                  <c:v>0</c:v>
                </c:pt>
                <c:pt idx="11">
                  <c:v>9.6999999999999993</c:v>
                </c:pt>
                <c:pt idx="12">
                  <c:v>6.7</c:v>
                </c:pt>
                <c:pt idx="13">
                  <c:v>34.299999999999997</c:v>
                </c:pt>
                <c:pt idx="14">
                  <c:v>21</c:v>
                </c:pt>
              </c:numCache>
            </c:numRef>
          </c:val>
          <c:extLst>
            <c:ext xmlns:c16="http://schemas.microsoft.com/office/drawing/2014/chart" uri="{C3380CC4-5D6E-409C-BE32-E72D297353CC}">
              <c16:uniqueId val="{0000001C-3472-425E-985B-F72D1256667E}"/>
            </c:ext>
          </c:extLst>
        </c:ser>
        <c:dLbls>
          <c:showLegendKey val="0"/>
          <c:showVal val="0"/>
          <c:showCatName val="0"/>
          <c:showSerName val="0"/>
          <c:showPercent val="0"/>
          <c:showBubbleSize val="0"/>
        </c:dLbls>
        <c:gapWidth val="150"/>
        <c:overlap val="100"/>
        <c:axId val="96842687"/>
        <c:axId val="96851423"/>
      </c:barChart>
      <c:lineChart>
        <c:grouping val="standard"/>
        <c:varyColors val="0"/>
        <c:ser>
          <c:idx val="5"/>
          <c:order val="5"/>
          <c:tx>
            <c:v>Required PV for final demand</c:v>
          </c:tx>
          <c:spPr>
            <a:ln w="31750">
              <a:solidFill>
                <a:srgbClr val="FF0000"/>
              </a:solidFill>
            </a:ln>
          </c:spPr>
          <c:marker>
            <c:symbol val="diamond"/>
            <c:size val="5"/>
            <c:spPr>
              <a:solidFill>
                <a:schemeClr val="accent1"/>
              </a:solidFill>
              <a:ln w="19050">
                <a:solidFill>
                  <a:srgbClr val="FF0000"/>
                </a:solidFill>
              </a:ln>
            </c:spPr>
          </c:marker>
          <c:val>
            <c:numRef>
              <c:f>Main!$E$30:$S$30</c:f>
              <c:numCache>
                <c:formatCode>0.00</c:formatCode>
                <c:ptCount val="15"/>
                <c:pt idx="0">
                  <c:v>4.1996438464582511</c:v>
                </c:pt>
                <c:pt idx="1">
                  <c:v>4.5148757060114395</c:v>
                </c:pt>
                <c:pt idx="2">
                  <c:v>5.7572761175232766E-2</c:v>
                </c:pt>
                <c:pt idx="3">
                  <c:v>1.0580333526041237</c:v>
                </c:pt>
                <c:pt idx="4">
                  <c:v>0.31994489971784817</c:v>
                </c:pt>
                <c:pt idx="5">
                  <c:v>0.74827456688107408</c:v>
                </c:pt>
                <c:pt idx="6">
                  <c:v>5.6885811892321878E-2</c:v>
                </c:pt>
                <c:pt idx="7">
                  <c:v>0.47010280601305071</c:v>
                </c:pt>
                <c:pt idx="8">
                  <c:v>0.43337211197047265</c:v>
                </c:pt>
                <c:pt idx="9">
                  <c:v>0.51299014800075571</c:v>
                </c:pt>
                <c:pt idx="10">
                  <c:v>0.45229178861808528</c:v>
                </c:pt>
                <c:pt idx="11">
                  <c:v>6.9404279930595725E-2</c:v>
                </c:pt>
                <c:pt idx="12">
                  <c:v>0.51992329000639248</c:v>
                </c:pt>
                <c:pt idx="13">
                  <c:v>6.3867402044231539E-2</c:v>
                </c:pt>
                <c:pt idx="14">
                  <c:v>0.26619719462766983</c:v>
                </c:pt>
              </c:numCache>
            </c:numRef>
          </c:val>
          <c:smooth val="0"/>
          <c:extLst>
            <c:ext xmlns:c16="http://schemas.microsoft.com/office/drawing/2014/chart" uri="{C3380CC4-5D6E-409C-BE32-E72D297353CC}">
              <c16:uniqueId val="{0000001E-3472-425E-985B-F72D1256667E}"/>
            </c:ext>
          </c:extLst>
        </c:ser>
        <c:dLbls>
          <c:showLegendKey val="0"/>
          <c:showVal val="0"/>
          <c:showCatName val="0"/>
          <c:showSerName val="0"/>
          <c:showPercent val="0"/>
          <c:showBubbleSize val="0"/>
        </c:dLbls>
        <c:marker val="1"/>
        <c:smooth val="0"/>
        <c:axId val="96842687"/>
        <c:axId val="96851423"/>
      </c:lineChart>
      <c:catAx>
        <c:axId val="968426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96851423"/>
        <c:crosses val="autoZero"/>
        <c:auto val="1"/>
        <c:lblAlgn val="ctr"/>
        <c:lblOffset val="100"/>
        <c:noMultiLvlLbl val="0"/>
      </c:catAx>
      <c:valAx>
        <c:axId val="96851423"/>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Palatino Linotype" panose="02040502050505030304" pitchFamily="18" charset="0"/>
                    <a:ea typeface="+mn-ea"/>
                    <a:cs typeface="+mn-cs"/>
                  </a:defRPr>
                </a:pPr>
                <a:r>
                  <a:rPr lang="en-AU" b="1">
                    <a:solidFill>
                      <a:sysClr val="windowText" lastClr="000000"/>
                    </a:solidFill>
                  </a:rPr>
                  <a:t>% of land</a:t>
                </a:r>
              </a:p>
            </c:rich>
          </c:tx>
          <c:overlay val="0"/>
          <c:spPr>
            <a:noFill/>
            <a:ln>
              <a:noFill/>
            </a:ln>
            <a:effectLst/>
          </c:sp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96842687"/>
        <c:crosses val="autoZero"/>
        <c:crossBetween val="between"/>
      </c:valAx>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extLst/>
  </c:chart>
  <c:txPr>
    <a:bodyPr/>
    <a:lstStyle/>
    <a:p>
      <a:pPr>
        <a:defRPr sz="1400">
          <a:latin typeface="Palatino Linotype" panose="0204050205050503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r>
              <a:rPr lang="en-AU"/>
              <a:t>Area required for PV power</a:t>
            </a:r>
            <a:r>
              <a:rPr lang="en-AU" baseline="0"/>
              <a:t> plant as a proportion of total land</a:t>
            </a:r>
            <a:endParaRPr lang="en-AU"/>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v>0.15 kW/m2</c:v>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Main!$E$29:$S$29</c:f>
              <c:numCache>
                <c:formatCode>0.00</c:formatCode>
                <c:ptCount val="15"/>
                <c:pt idx="0">
                  <c:v>2.7997625643055004</c:v>
                </c:pt>
                <c:pt idx="1">
                  <c:v>3.0099171373409597</c:v>
                </c:pt>
                <c:pt idx="2">
                  <c:v>3.8381840783488518E-2</c:v>
                </c:pt>
                <c:pt idx="3">
                  <c:v>0.70535556840274916</c:v>
                </c:pt>
                <c:pt idx="4">
                  <c:v>0.2132965998118988</c:v>
                </c:pt>
                <c:pt idx="5">
                  <c:v>0.49884971125404942</c:v>
                </c:pt>
                <c:pt idx="6">
                  <c:v>3.7923874594881252E-2</c:v>
                </c:pt>
                <c:pt idx="7">
                  <c:v>0.31340187067536712</c:v>
                </c:pt>
                <c:pt idx="8">
                  <c:v>0.28891474131364842</c:v>
                </c:pt>
                <c:pt idx="9">
                  <c:v>0.34199343200050369</c:v>
                </c:pt>
                <c:pt idx="10">
                  <c:v>0.30152785907872348</c:v>
                </c:pt>
                <c:pt idx="11" formatCode="0.0000">
                  <c:v>4.6269519953730485E-2</c:v>
                </c:pt>
                <c:pt idx="12" formatCode="0.00000">
                  <c:v>0.34661552667092838</c:v>
                </c:pt>
                <c:pt idx="13" formatCode="0.00000">
                  <c:v>4.2578268029487686E-2</c:v>
                </c:pt>
                <c:pt idx="14" formatCode="0.00000">
                  <c:v>0.17746479641844659</c:v>
                </c:pt>
              </c:numCache>
            </c:numRef>
          </c:val>
          <c:extLst>
            <c:ext xmlns:c16="http://schemas.microsoft.com/office/drawing/2014/chart" uri="{C3380CC4-5D6E-409C-BE32-E72D297353CC}">
              <c16:uniqueId val="{00000000-47C9-49A9-B3EC-8DCD76731169}"/>
            </c:ext>
          </c:extLst>
        </c:ser>
        <c:ser>
          <c:idx val="1"/>
          <c:order val="1"/>
          <c:tx>
            <c:v>0.1 kW/m2 (PV paper)</c:v>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Main!$E$30:$S$30</c:f>
              <c:numCache>
                <c:formatCode>0.00</c:formatCode>
                <c:ptCount val="15"/>
                <c:pt idx="0">
                  <c:v>4.1996438464582511</c:v>
                </c:pt>
                <c:pt idx="1">
                  <c:v>4.5148757060114395</c:v>
                </c:pt>
                <c:pt idx="2">
                  <c:v>5.7572761175232766E-2</c:v>
                </c:pt>
                <c:pt idx="3">
                  <c:v>1.0580333526041237</c:v>
                </c:pt>
                <c:pt idx="4">
                  <c:v>0.31994489971784817</c:v>
                </c:pt>
                <c:pt idx="5">
                  <c:v>0.74827456688107408</c:v>
                </c:pt>
                <c:pt idx="6">
                  <c:v>5.6885811892321878E-2</c:v>
                </c:pt>
                <c:pt idx="7">
                  <c:v>0.47010280601305071</c:v>
                </c:pt>
                <c:pt idx="8">
                  <c:v>0.43337211197047265</c:v>
                </c:pt>
                <c:pt idx="9">
                  <c:v>0.51299014800075571</c:v>
                </c:pt>
                <c:pt idx="10">
                  <c:v>0.45229178861808528</c:v>
                </c:pt>
                <c:pt idx="11">
                  <c:v>6.9404279930595725E-2</c:v>
                </c:pt>
                <c:pt idx="12">
                  <c:v>0.51992329000639248</c:v>
                </c:pt>
                <c:pt idx="13">
                  <c:v>6.3867402044231539E-2</c:v>
                </c:pt>
                <c:pt idx="14">
                  <c:v>0.26619719462766983</c:v>
                </c:pt>
              </c:numCache>
            </c:numRef>
          </c:val>
          <c:extLst>
            <c:ext xmlns:c16="http://schemas.microsoft.com/office/drawing/2014/chart" uri="{C3380CC4-5D6E-409C-BE32-E72D297353CC}">
              <c16:uniqueId val="{00000001-47C9-49A9-B3EC-8DCD76731169}"/>
            </c:ext>
          </c:extLst>
        </c:ser>
        <c:dLbls>
          <c:showLegendKey val="0"/>
          <c:showVal val="0"/>
          <c:showCatName val="0"/>
          <c:showSerName val="0"/>
          <c:showPercent val="0"/>
          <c:showBubbleSize val="0"/>
        </c:dLbls>
        <c:gapWidth val="219"/>
        <c:overlap val="-27"/>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r>
                  <a:rPr lang="en-AU"/>
                  <a:t>% of land</a:t>
                </a:r>
              </a:p>
            </c:rich>
          </c:tx>
          <c:overlay val="0"/>
          <c:spPr>
            <a:noFill/>
            <a:ln>
              <a:noFill/>
            </a:ln>
            <a:effectLst/>
          </c:spPr>
          <c:txPr>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RE</a:t>
            </a:r>
            <a:r>
              <a:rPr lang="en-AU" baseline="0"/>
              <a:t> capacity for replacing the electricity generation through non-RE tansformation, considering 20% losses</a:t>
            </a:r>
            <a:endParaRPr lang="en-AU"/>
          </a:p>
        </c:rich>
      </c:tx>
      <c:overlay val="0"/>
    </c:title>
    <c:autoTitleDeleted val="0"/>
    <c:plotArea>
      <c:layout/>
      <c:barChart>
        <c:barDir val="col"/>
        <c:grouping val="clustered"/>
        <c:varyColors val="0"/>
        <c:ser>
          <c:idx val="0"/>
          <c:order val="0"/>
          <c:tx>
            <c:v>PV</c:v>
          </c:tx>
          <c:spPr>
            <a:solidFill>
              <a:schemeClr val="accent1"/>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Main!$E$23:$S$23</c:f>
              <c:numCache>
                <c:formatCode>0</c:formatCode>
                <c:ptCount val="15"/>
                <c:pt idx="0">
                  <c:v>70.05540166204986</c:v>
                </c:pt>
                <c:pt idx="1">
                  <c:v>25.988416016116844</c:v>
                </c:pt>
                <c:pt idx="2">
                  <c:v>65.595567867036024</c:v>
                </c:pt>
                <c:pt idx="3">
                  <c:v>95.898000227678082</c:v>
                </c:pt>
                <c:pt idx="4">
                  <c:v>23.542447449894084</c:v>
                </c:pt>
                <c:pt idx="5">
                  <c:v>28.919667590027704</c:v>
                </c:pt>
                <c:pt idx="6">
                  <c:v>96.398891966759024</c:v>
                </c:pt>
                <c:pt idx="7">
                  <c:v>52.653739612188367</c:v>
                </c:pt>
                <c:pt idx="8">
                  <c:v>3223.1301939058167</c:v>
                </c:pt>
                <c:pt idx="9">
                  <c:v>402.79224376731304</c:v>
                </c:pt>
                <c:pt idx="10">
                  <c:v>76.110421243671794</c:v>
                </c:pt>
                <c:pt idx="11">
                  <c:v>3.2291254451919276</c:v>
                </c:pt>
                <c:pt idx="12">
                  <c:v>8.1551246537396143</c:v>
                </c:pt>
                <c:pt idx="13">
                  <c:v>3248.21527502968</c:v>
                </c:pt>
                <c:pt idx="14">
                  <c:v>349.42936288088646</c:v>
                </c:pt>
              </c:numCache>
            </c:numRef>
          </c:val>
          <c:extLst>
            <c:ext xmlns:c16="http://schemas.microsoft.com/office/drawing/2014/chart" uri="{C3380CC4-5D6E-409C-BE32-E72D297353CC}">
              <c16:uniqueId val="{00000003-B0AC-47E6-A8CD-E7CC52333330}"/>
            </c:ext>
          </c:extLst>
        </c:ser>
        <c:ser>
          <c:idx val="1"/>
          <c:order val="1"/>
          <c:tx>
            <c:v>Wind</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Main!$E$37:$S$37</c:f>
              <c:numCache>
                <c:formatCode>0</c:formatCode>
                <c:ptCount val="15"/>
                <c:pt idx="0">
                  <c:v>63.977535764429099</c:v>
                </c:pt>
                <c:pt idx="1">
                  <c:v>40.164745511385355</c:v>
                </c:pt>
                <c:pt idx="2">
                  <c:v>33.696353356354123</c:v>
                </c:pt>
                <c:pt idx="3">
                  <c:v>79.915000189731728</c:v>
                </c:pt>
                <c:pt idx="4">
                  <c:v>30.458265346133903</c:v>
                </c:pt>
                <c:pt idx="5">
                  <c:v>21.12852426668691</c:v>
                </c:pt>
                <c:pt idx="6">
                  <c:v>154.0621561112587</c:v>
                </c:pt>
                <c:pt idx="7">
                  <c:v>20.035669563237583</c:v>
                </c:pt>
                <c:pt idx="8">
                  <c:v>1962.3319293186103</c:v>
                </c:pt>
                <c:pt idx="9">
                  <c:v>197.06078462197311</c:v>
                </c:pt>
                <c:pt idx="10">
                  <c:v>41.993953882543423</c:v>
                </c:pt>
                <c:pt idx="11">
                  <c:v>1.1468228369529929</c:v>
                </c:pt>
                <c:pt idx="12">
                  <c:v>6.9821272720373404</c:v>
                </c:pt>
                <c:pt idx="13">
                  <c:v>3460.8077511731753</c:v>
                </c:pt>
                <c:pt idx="14">
                  <c:v>149.58448753462605</c:v>
                </c:pt>
              </c:numCache>
            </c:numRef>
          </c:val>
          <c:extLst>
            <c:ext xmlns:c16="http://schemas.microsoft.com/office/drawing/2014/chart" uri="{C3380CC4-5D6E-409C-BE32-E72D297353CC}">
              <c16:uniqueId val="{00000007-B0AC-47E6-A8CD-E7CC52333330}"/>
            </c:ext>
          </c:extLst>
        </c:ser>
        <c:dLbls>
          <c:showLegendKey val="0"/>
          <c:showVal val="1"/>
          <c:showCatName val="0"/>
          <c:showSerName val="0"/>
          <c:showPercent val="0"/>
          <c:showBubbleSize val="0"/>
        </c:dLbls>
        <c:gapWidth val="75"/>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1"/>
        <c:axPos val="l"/>
        <c:title>
          <c:tx>
            <c:rich>
              <a:bodyPr/>
              <a:lstStyle/>
              <a:p>
                <a:pPr>
                  <a:defRPr/>
                </a:pPr>
                <a:r>
                  <a:rPr lang="en-AU"/>
                  <a:t>MW</a:t>
                </a:r>
              </a:p>
            </c:rich>
          </c:tx>
          <c:overlay val="0"/>
        </c:title>
        <c:numFmt formatCode="0" sourceLinked="1"/>
        <c:majorTickMark val="none"/>
        <c:minorTickMark val="none"/>
        <c:tickLblPos val="nextTo"/>
        <c:crossAx val="1691126416"/>
        <c:crosses val="autoZero"/>
        <c:crossBetween val="between"/>
      </c:valAx>
    </c:plotArea>
    <c:legend>
      <c:legendPos val="b"/>
      <c:overlay val="0"/>
    </c:legend>
    <c:plotVisOnly val="1"/>
    <c:dispBlanksAs val="gap"/>
    <c:showDLblsOverMax val="0"/>
  </c:chart>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r>
              <a:rPr lang="en-US">
                <a:solidFill>
                  <a:sysClr val="windowText" lastClr="000000"/>
                </a:solidFill>
              </a:rPr>
              <a:t>Ratio of imported oil and final demand that can be met by geothermal resources</a:t>
            </a:r>
            <a:endParaRPr lang="en-AU">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strRef>
              <c:f>'Geothermal potentials'!$J$4</c:f>
              <c:strCache>
                <c:ptCount val="1"/>
                <c:pt idx="0">
                  <c:v>Geothermal to imports</c:v>
                </c:pt>
              </c:strCache>
            </c:strRef>
          </c:tx>
          <c:spPr>
            <a:solidFill>
              <a:schemeClr val="accent1"/>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potentials'!$J$5:$J$8</c:f>
              <c:numCache>
                <c:formatCode>General</c:formatCode>
                <c:ptCount val="4"/>
                <c:pt idx="0">
                  <c:v>214.07122905027933</c:v>
                </c:pt>
                <c:pt idx="1">
                  <c:v>9.1765274088384441</c:v>
                </c:pt>
                <c:pt idx="2">
                  <c:v>156.18279569892474</c:v>
                </c:pt>
                <c:pt idx="3">
                  <c:v>39.583333333333336</c:v>
                </c:pt>
              </c:numCache>
            </c:numRef>
          </c:val>
          <c:extLst>
            <c:ext xmlns:c16="http://schemas.microsoft.com/office/drawing/2014/chart" uri="{C3380CC4-5D6E-409C-BE32-E72D297353CC}">
              <c16:uniqueId val="{00000000-0B3B-486E-9365-284C6963500F}"/>
            </c:ext>
          </c:extLst>
        </c:ser>
        <c:ser>
          <c:idx val="1"/>
          <c:order val="1"/>
          <c:tx>
            <c:strRef>
              <c:f>'Geothermal potentials'!$K$4</c:f>
              <c:strCache>
                <c:ptCount val="1"/>
                <c:pt idx="0">
                  <c:v>Geothermal to final demand</c:v>
                </c:pt>
              </c:strCache>
            </c:strRef>
          </c:tx>
          <c:spPr>
            <a:solidFill>
              <a:schemeClr val="accent2"/>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potentials'!$K$5:$K$8</c:f>
              <c:numCache>
                <c:formatCode>General</c:formatCode>
                <c:ptCount val="4"/>
                <c:pt idx="0">
                  <c:v>176.35552998705595</c:v>
                </c:pt>
                <c:pt idx="1">
                  <c:v>15.163607342378292</c:v>
                </c:pt>
                <c:pt idx="2">
                  <c:v>178.76923076923077</c:v>
                </c:pt>
                <c:pt idx="3">
                  <c:v>27.320261437908496</c:v>
                </c:pt>
              </c:numCache>
            </c:numRef>
          </c:val>
          <c:extLst>
            <c:ext xmlns:c16="http://schemas.microsoft.com/office/drawing/2014/chart" uri="{C3380CC4-5D6E-409C-BE32-E72D297353CC}">
              <c16:uniqueId val="{00000001-0B3B-486E-9365-284C6963500F}"/>
            </c:ext>
          </c:extLst>
        </c:ser>
        <c:dLbls>
          <c:showLegendKey val="0"/>
          <c:showVal val="0"/>
          <c:showCatName val="0"/>
          <c:showSerName val="0"/>
          <c:showPercent val="0"/>
          <c:showBubbleSize val="0"/>
        </c:dLbls>
        <c:gapWidth val="219"/>
        <c:overlap val="-27"/>
        <c:axId val="1141419344"/>
        <c:axId val="1141419760"/>
      </c:barChart>
      <c:catAx>
        <c:axId val="11414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760"/>
        <c:crosses val="autoZero"/>
        <c:auto val="1"/>
        <c:lblAlgn val="ctr"/>
        <c:lblOffset val="100"/>
        <c:noMultiLvlLbl val="0"/>
      </c:catAx>
      <c:valAx>
        <c:axId val="11414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r>
                  <a:rPr lang="en-US" sz="1400">
                    <a:solidFill>
                      <a:sysClr val="windowText" lastClr="000000"/>
                    </a:solidFill>
                  </a:rPr>
                  <a:t>% </a:t>
                </a:r>
                <a:endParaRPr lang="en-AU" sz="1400">
                  <a:solidFill>
                    <a:sysClr val="windowText" lastClr="000000"/>
                  </a:solidFill>
                </a:endParaRPr>
              </a:p>
            </c:rich>
          </c:tx>
          <c:layout>
            <c:manualLayout>
              <c:xMode val="edge"/>
              <c:yMode val="edge"/>
              <c:x val="1.1255694444444447E-2"/>
              <c:y val="0.4489819444444444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AU"/>
              <a:t>Annual WtE potential in Fiji</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WtE!$A$2:$A$3</c:f>
              <c:strCache>
                <c:ptCount val="2"/>
                <c:pt idx="0">
                  <c:v>Final demand</c:v>
                </c:pt>
                <c:pt idx="1">
                  <c:v>Total imports</c:v>
                </c:pt>
              </c:strCache>
            </c:strRef>
          </c:cat>
          <c:val>
            <c:numRef>
              <c:f>WtE!$D$2:$D$3</c:f>
              <c:numCache>
                <c:formatCode>General</c:formatCode>
                <c:ptCount val="2"/>
                <c:pt idx="0">
                  <c:v>22.171795451412816</c:v>
                </c:pt>
                <c:pt idx="1">
                  <c:v>36.639874265409325</c:v>
                </c:pt>
              </c:numCache>
            </c:numRef>
          </c:val>
          <c:extLst>
            <c:ext xmlns:c16="http://schemas.microsoft.com/office/drawing/2014/chart" uri="{C3380CC4-5D6E-409C-BE32-E72D297353CC}">
              <c16:uniqueId val="{00000000-60E4-4248-9B58-D1796B0BCAC6}"/>
            </c:ext>
          </c:extLst>
        </c:ser>
        <c:dLbls>
          <c:showLegendKey val="0"/>
          <c:showVal val="0"/>
          <c:showCatName val="0"/>
          <c:showSerName val="0"/>
          <c:showPercent val="0"/>
          <c:showBubbleSize val="0"/>
        </c:dLbls>
        <c:gapWidth val="219"/>
        <c:overlap val="-27"/>
        <c:axId val="99310576"/>
        <c:axId val="99321808"/>
      </c:barChart>
      <c:catAx>
        <c:axId val="993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21808"/>
        <c:crosses val="autoZero"/>
        <c:auto val="1"/>
        <c:lblAlgn val="ctr"/>
        <c:lblOffset val="100"/>
        <c:noMultiLvlLbl val="0"/>
      </c:catAx>
      <c:valAx>
        <c:axId val="9932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AU"/>
                  <a: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1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8594-47F6-8C2A-3697219397CA}"/>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8594-47F6-8C2A-3697219397CA}"/>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Generation-Papu New Guinea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Compact!$O$1</c:f>
              <c:strCache>
                <c:ptCount val="1"/>
                <c:pt idx="0">
                  <c:v>Papua New Guinea</c:v>
                </c:pt>
              </c:strCache>
            </c:strRef>
          </c:cat>
          <c:val>
            <c:numRef>
              <c:extLst>
                <c:ext xmlns:c15="http://schemas.microsoft.com/office/drawing/2012/chart" uri="{02D57815-91ED-43cb-92C2-25804820EDAC}">
                  <c15:fullRef>
                    <c15:sqref>Compact!$B$7:$O$7</c15:sqref>
                  </c15:fullRef>
                </c:ext>
              </c:extLst>
              <c:f>Compact!$O$7</c:f>
              <c:numCache>
                <c:formatCode>0</c:formatCode>
                <c:ptCount val="1"/>
                <c:pt idx="0">
                  <c:v>6418.9497716894975</c:v>
                </c:pt>
              </c:numCache>
            </c:numRef>
          </c:val>
          <c:extLst>
            <c:ext xmlns:c16="http://schemas.microsoft.com/office/drawing/2014/chart" uri="{C3380CC4-5D6E-409C-BE32-E72D297353CC}">
              <c16:uniqueId val="{00000000-CE8A-432D-BDFE-B997D3887C7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demand-Papu New Guinea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CFE5-438D-8C87-BB02AB7C5736}"/>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CFE5-438D-8C87-BB02AB7C5736}"/>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Compact!$A$11</c:f>
              <c:strCache>
                <c:ptCount val="1"/>
                <c:pt idx="0">
                  <c:v>Arable (%)</c:v>
                </c:pt>
              </c:strCache>
            </c:strRef>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Compact!$B$11:$O$11</c:f>
              <c:numCache>
                <c:formatCode>General</c:formatCode>
                <c:ptCount val="14"/>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numCache>
            </c:numRef>
          </c:val>
          <c:extLst>
            <c:ext xmlns:c16="http://schemas.microsoft.com/office/drawing/2014/chart" uri="{C3380CC4-5D6E-409C-BE32-E72D297353CC}">
              <c16:uniqueId val="{00000000-BC2A-4259-B42D-AB5403A29E06}"/>
            </c:ext>
          </c:extLst>
        </c:ser>
        <c:ser>
          <c:idx val="1"/>
          <c:order val="1"/>
          <c:tx>
            <c:strRef>
              <c:f>Compact!$A$12</c:f>
              <c:strCache>
                <c:ptCount val="1"/>
                <c:pt idx="0">
                  <c:v>Crops (%)</c:v>
                </c:pt>
              </c:strCache>
            </c:strRef>
          </c:tx>
          <c:spPr>
            <a:solidFill>
              <a:schemeClr val="accent2"/>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Compact!$B$12:$O$12</c:f>
              <c:numCache>
                <c:formatCode>General</c:formatCode>
                <c:ptCount val="14"/>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numCache>
            </c:numRef>
          </c:val>
          <c:extLst>
            <c:ext xmlns:c16="http://schemas.microsoft.com/office/drawing/2014/chart" uri="{C3380CC4-5D6E-409C-BE32-E72D297353CC}">
              <c16:uniqueId val="{00000001-BC2A-4259-B42D-AB5403A29E06}"/>
            </c:ext>
          </c:extLst>
        </c:ser>
        <c:ser>
          <c:idx val="2"/>
          <c:order val="2"/>
          <c:tx>
            <c:strRef>
              <c:f>Compact!$A$13</c:f>
              <c:strCache>
                <c:ptCount val="1"/>
                <c:pt idx="0">
                  <c:v>Pasture (%)</c:v>
                </c:pt>
              </c:strCache>
            </c:strRef>
          </c:tx>
          <c:spPr>
            <a:solidFill>
              <a:schemeClr val="accent3"/>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Compact!$B$13:$O$13</c:f>
              <c:numCache>
                <c:formatCode>General</c:formatCode>
                <c:ptCount val="14"/>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numCache>
            </c:numRef>
          </c:val>
          <c:extLst>
            <c:ext xmlns:c16="http://schemas.microsoft.com/office/drawing/2014/chart" uri="{C3380CC4-5D6E-409C-BE32-E72D297353CC}">
              <c16:uniqueId val="{00000002-BC2A-4259-B42D-AB5403A29E06}"/>
            </c:ext>
          </c:extLst>
        </c:ser>
        <c:ser>
          <c:idx val="3"/>
          <c:order val="3"/>
          <c:tx>
            <c:strRef>
              <c:f>Compact!$A$14</c:f>
              <c:strCache>
                <c:ptCount val="1"/>
                <c:pt idx="0">
                  <c:v>Forested (%)</c:v>
                </c:pt>
              </c:strCache>
            </c:strRef>
          </c:tx>
          <c:spPr>
            <a:solidFill>
              <a:schemeClr val="accent4"/>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Compact!$B$14:$O$14</c:f>
              <c:numCache>
                <c:formatCode>General</c:formatCode>
                <c:ptCount val="14"/>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numCache>
            </c:numRef>
          </c:val>
          <c:extLst>
            <c:ext xmlns:c16="http://schemas.microsoft.com/office/drawing/2014/chart" uri="{C3380CC4-5D6E-409C-BE32-E72D297353CC}">
              <c16:uniqueId val="{00000003-BC2A-4259-B42D-AB5403A29E06}"/>
            </c:ext>
          </c:extLst>
        </c:ser>
        <c:dLbls>
          <c:showLegendKey val="0"/>
          <c:showVal val="0"/>
          <c:showCatName val="0"/>
          <c:showSerName val="0"/>
          <c:showPercent val="0"/>
          <c:showBubbleSize val="0"/>
        </c:dLbls>
        <c:gapWidth val="150"/>
        <c:overlap val="100"/>
        <c:axId val="488951279"/>
        <c:axId val="488954191"/>
      </c:barChart>
      <c:catAx>
        <c:axId val="4889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4191"/>
        <c:crosses val="autoZero"/>
        <c:auto val="1"/>
        <c:lblAlgn val="ctr"/>
        <c:lblOffset val="100"/>
        <c:noMultiLvlLbl val="0"/>
      </c:catAx>
      <c:valAx>
        <c:axId val="48895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1279"/>
        <c:crosses val="autoZero"/>
        <c:crossBetween val="between"/>
      </c:valAx>
      <c:spPr>
        <a:noFill/>
        <a:ln>
          <a:noFill/>
        </a:ln>
        <a:effectLst/>
      </c:spPr>
    </c:plotArea>
    <c:legend>
      <c:legendPos val="t"/>
      <c:layout>
        <c:manualLayout>
          <c:xMode val="edge"/>
          <c:yMode val="edge"/>
          <c:x val="0.35960846871216834"/>
          <c:y val="0.11026822998231436"/>
          <c:w val="0.42940460445973661"/>
          <c:h val="4.3870563090778317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Main!$E$8:$R$8</c15:sqref>
                  </c15:fullRef>
                </c:ext>
              </c:extLst>
              <c:f>Main!$E$8:$Q$8</c:f>
              <c:numCache>
                <c:formatCode>0</c:formatCode>
                <c:ptCount val="13"/>
                <c:pt idx="0">
                  <c:v>469.80609418282552</c:v>
                </c:pt>
                <c:pt idx="1">
                  <c:v>1.10803324099723</c:v>
                </c:pt>
                <c:pt idx="2">
                  <c:v>254.8476454293629</c:v>
                </c:pt>
                <c:pt idx="3">
                  <c:v>0.2770083102493075</c:v>
                </c:pt>
                <c:pt idx="4">
                  <c:v>155.1246537396122</c:v>
                </c:pt>
                <c:pt idx="5">
                  <c:v>10.526315789473685</c:v>
                </c:pt>
                <c:pt idx="6">
                  <c:v>919.3905817174516</c:v>
                </c:pt>
                <c:pt idx="7">
                  <c:v>9.418282548476455</c:v>
                </c:pt>
                <c:pt idx="8">
                  <c:v>67.313019390581715</c:v>
                </c:pt>
                <c:pt idx="9">
                  <c:v>212.18836565096953</c:v>
                </c:pt>
                <c:pt idx="10">
                  <c:v>10.803324099722992</c:v>
                </c:pt>
                <c:pt idx="11">
                  <c:v>0.554016620498615</c:v>
                </c:pt>
                <c:pt idx="12">
                  <c:v>1.9390581717451525</c:v>
                </c:pt>
              </c:numCache>
            </c:numRef>
          </c:val>
          <c:extLst>
            <c:ext xmlns:c16="http://schemas.microsoft.com/office/drawing/2014/chart" uri="{C3380CC4-5D6E-409C-BE32-E72D297353CC}">
              <c16:uniqueId val="{00000000-A837-4536-B9F3-A38390BA1B3C}"/>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Main!$E$24:$R$24</c15:sqref>
                  </c15:fullRef>
                </c:ext>
              </c:extLst>
              <c:f>Main!$E$24:$Q$24</c:f>
              <c:numCache>
                <c:formatCode>0</c:formatCode>
                <c:ptCount val="13"/>
                <c:pt idx="0">
                  <c:v>940.72022160664812</c:v>
                </c:pt>
                <c:pt idx="1">
                  <c:v>94.812389826240235</c:v>
                </c:pt>
                <c:pt idx="2">
                  <c:v>701.75438596491222</c:v>
                </c:pt>
                <c:pt idx="3">
                  <c:v>485.63730884529281</c:v>
                </c:pt>
                <c:pt idx="4">
                  <c:v>259.47531367117489</c:v>
                </c:pt>
                <c:pt idx="5">
                  <c:v>176.59279778393349</c:v>
                </c:pt>
                <c:pt idx="6">
                  <c:v>1592.0063316185201</c:v>
                </c:pt>
                <c:pt idx="7">
                  <c:v>337.06371191135736</c:v>
                </c:pt>
                <c:pt idx="8">
                  <c:v>7919.8753462603872</c:v>
                </c:pt>
                <c:pt idx="9">
                  <c:v>1963.2132963988918</c:v>
                </c:pt>
                <c:pt idx="10">
                  <c:v>317.50883560989587</c:v>
                </c:pt>
                <c:pt idx="11">
                  <c:v>18.045112781954888</c:v>
                </c:pt>
                <c:pt idx="12">
                  <c:v>13.518005540166206</c:v>
                </c:pt>
              </c:numCache>
            </c:numRef>
          </c:val>
          <c:extLst>
            <c:ext xmlns:c16="http://schemas.microsoft.com/office/drawing/2014/chart" uri="{C3380CC4-5D6E-409C-BE32-E72D297353CC}">
              <c16:uniqueId val="{00000000-8BE5-405B-9C60-C1F5DEA40869}"/>
            </c:ext>
          </c:extLst>
        </c:ser>
        <c:ser>
          <c:idx val="1"/>
          <c:order val="1"/>
          <c:tx>
            <c:v>Wind</c:v>
          </c:tx>
          <c:spPr>
            <a:solidFill>
              <a:schemeClr val="accent2"/>
            </a:solidFill>
            <a:ln>
              <a:noFill/>
            </a:ln>
            <a:effectLst/>
          </c:spPr>
          <c:invertIfNegative val="0"/>
          <c:cat>
            <c:strLit>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Main!$E$36:$U$36</c15:sqref>
                  </c15:fullRef>
                </c:ext>
              </c:extLst>
              <c:f>(Main!$E$36:$Q$36,Main!$S$36)</c:f>
              <c:numCache>
                <c:formatCode>0</c:formatCode>
                <c:ptCount val="14"/>
                <c:pt idx="0">
                  <c:v>859.10522521155087</c:v>
                </c:pt>
                <c:pt idx="1">
                  <c:v>146.53126632787391</c:v>
                </c:pt>
                <c:pt idx="2">
                  <c:v>360.49026676279743</c:v>
                </c:pt>
                <c:pt idx="3">
                  <c:v>404.69775737107733</c:v>
                </c:pt>
                <c:pt idx="4">
                  <c:v>335.69865543454893</c:v>
                </c:pt>
                <c:pt idx="5">
                  <c:v>129.01756915721171</c:v>
                </c:pt>
                <c:pt idx="6">
                  <c:v>2544.3023564679547</c:v>
                </c:pt>
                <c:pt idx="7">
                  <c:v>128.25864227981634</c:v>
                </c:pt>
                <c:pt idx="8">
                  <c:v>4821.8419155314386</c:v>
                </c:pt>
                <c:pt idx="9">
                  <c:v>960.47617240650288</c:v>
                </c:pt>
                <c:pt idx="10">
                  <c:v>175.18562086542963</c:v>
                </c:pt>
                <c:pt idx="11">
                  <c:v>6.4087158535608424</c:v>
                </c:pt>
                <c:pt idx="12">
                  <c:v>11.573634880279284</c:v>
                </c:pt>
                <c:pt idx="13">
                  <c:v>2082.4004857132018</c:v>
                </c:pt>
              </c:numCache>
            </c:numRef>
          </c:val>
          <c:extLst>
            <c:ext xmlns:c16="http://schemas.microsoft.com/office/drawing/2014/chart" uri="{C3380CC4-5D6E-409C-BE32-E72D297353CC}">
              <c16:uniqueId val="{00000003-8BE5-405B-9C60-C1F5DEA40869}"/>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Total Energy imports</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(Main!$E$1:$L$1,Main!$N$1:$Q$1)</c:f>
              <c:strCache>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strCache>
            </c:strRef>
          </c:cat>
          <c:val>
            <c:numRef>
              <c:extLst>
                <c:ext xmlns:c15="http://schemas.microsoft.com/office/drawing/2012/chart" uri="{02D57815-91ED-43cb-92C2-25804820EDAC}">
                  <c15:fullRef>
                    <c15:sqref>Main!$E$3:$R$3</c15:sqref>
                  </c15:fullRef>
                </c:ext>
              </c:extLst>
              <c:f>(Main!$E$3:$L$3,Main!$N$3:$Q$3)</c:f>
              <c:numCache>
                <c:formatCode>0</c:formatCode>
                <c:ptCount val="12"/>
                <c:pt idx="0">
                  <c:v>4129</c:v>
                </c:pt>
                <c:pt idx="1">
                  <c:v>1074</c:v>
                </c:pt>
                <c:pt idx="2">
                  <c:v>3259</c:v>
                </c:pt>
                <c:pt idx="3">
                  <c:v>3537</c:v>
                </c:pt>
                <c:pt idx="4">
                  <c:v>1041</c:v>
                </c:pt>
                <c:pt idx="5">
                  <c:v>1528</c:v>
                </c:pt>
                <c:pt idx="6">
                  <c:v>4622</c:v>
                </c:pt>
                <c:pt idx="7">
                  <c:v>2083</c:v>
                </c:pt>
                <c:pt idx="8">
                  <c:v>12380</c:v>
                </c:pt>
                <c:pt idx="9">
                  <c:v>2555</c:v>
                </c:pt>
                <c:pt idx="10">
                  <c:v>107</c:v>
                </c:pt>
                <c:pt idx="11">
                  <c:v>137</c:v>
                </c:pt>
              </c:numCache>
            </c:numRef>
          </c:val>
          <c:extLst>
            <c:ext xmlns:c16="http://schemas.microsoft.com/office/drawing/2014/chart" uri="{C3380CC4-5D6E-409C-BE32-E72D297353CC}">
              <c16:uniqueId val="{00000000-5788-44D4-9CE3-4B1076D3D403}"/>
            </c:ext>
          </c:extLst>
        </c:ser>
        <c:ser>
          <c:idx val="1"/>
          <c:order val="1"/>
          <c:tx>
            <c:v>Total final energy demand</c:v>
          </c:tx>
          <c:spPr>
            <a:solidFill>
              <a:schemeClr val="accent2"/>
            </a:solidFill>
            <a:ln>
              <a:noFill/>
            </a:ln>
            <a:effectLst/>
          </c:spPr>
          <c:invertIfNegative val="0"/>
          <c:cat>
            <c:strLit>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Main!$E$5:$R$5</c15:sqref>
                  </c15:fullRef>
                </c:ext>
              </c:extLst>
              <c:f>(Main!$E$5:$L$5,Main!$N$5:$Q$5)</c:f>
              <c:numCache>
                <c:formatCode>0</c:formatCode>
                <c:ptCount val="12"/>
                <c:pt idx="0">
                  <c:v>4528</c:v>
                </c:pt>
                <c:pt idx="1">
                  <c:v>502</c:v>
                </c:pt>
                <c:pt idx="2">
                  <c:v>2850</c:v>
                </c:pt>
                <c:pt idx="3">
                  <c:v>2133</c:v>
                </c:pt>
                <c:pt idx="4">
                  <c:v>1327</c:v>
                </c:pt>
                <c:pt idx="5">
                  <c:v>850</c:v>
                </c:pt>
                <c:pt idx="6">
                  <c:v>6705</c:v>
                </c:pt>
                <c:pt idx="7">
                  <c:v>1521</c:v>
                </c:pt>
                <c:pt idx="8">
                  <c:v>8859</c:v>
                </c:pt>
                <c:pt idx="9">
                  <c:v>1385</c:v>
                </c:pt>
                <c:pt idx="10">
                  <c:v>76</c:v>
                </c:pt>
                <c:pt idx="11">
                  <c:v>61</c:v>
                </c:pt>
              </c:numCache>
            </c:numRef>
          </c:val>
          <c:extLst>
            <c:ext xmlns:c16="http://schemas.microsoft.com/office/drawing/2014/chart" uri="{C3380CC4-5D6E-409C-BE32-E72D297353CC}">
              <c16:uniqueId val="{00000002-5788-44D4-9CE3-4B1076D3D403}"/>
            </c:ext>
          </c:extLst>
        </c:ser>
        <c:dLbls>
          <c:showLegendKey val="0"/>
          <c:showVal val="0"/>
          <c:showCatName val="0"/>
          <c:showSerName val="0"/>
          <c:showPercent val="0"/>
          <c:showBubbleSize val="0"/>
        </c:dLbls>
        <c:gapWidth val="219"/>
        <c:overlap val="-27"/>
        <c:axId val="166299599"/>
        <c:axId val="166300431"/>
      </c:barChart>
      <c:catAx>
        <c:axId val="16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300431"/>
        <c:crosses val="autoZero"/>
        <c:auto val="1"/>
        <c:lblAlgn val="ctr"/>
        <c:lblOffset val="100"/>
        <c:noMultiLvlLbl val="0"/>
      </c:catAx>
      <c:valAx>
        <c:axId val="16630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299599"/>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r>
              <a:rPr lang="en-US" sz="1600">
                <a:solidFill>
                  <a:sysClr val="windowText" lastClr="000000"/>
                </a:solidFill>
              </a:rPr>
              <a:t>Proportion of coastline required for wind generation to meet</a:t>
            </a:r>
            <a:r>
              <a:rPr lang="en-US" sz="1600" baseline="0">
                <a:solidFill>
                  <a:sysClr val="windowText" lastClr="000000"/>
                </a:solidFill>
              </a:rPr>
              <a:t> the demand</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1"/>
          <c:order val="1"/>
          <c:tx>
            <c:v>Wind capacity factor</c:v>
          </c:tx>
          <c:spPr>
            <a:solidFill>
              <a:schemeClr val="accent1">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Main!$E$32:$S$32</c:f>
              <c:numCache>
                <c:formatCode>General</c:formatCode>
                <c:ptCount val="15"/>
                <c:pt idx="0">
                  <c:v>20</c:v>
                </c:pt>
                <c:pt idx="1">
                  <c:v>13</c:v>
                </c:pt>
                <c:pt idx="2">
                  <c:v>30</c:v>
                </c:pt>
                <c:pt idx="3">
                  <c:v>20</c:v>
                </c:pt>
                <c:pt idx="4">
                  <c:v>15</c:v>
                </c:pt>
                <c:pt idx="5">
                  <c:v>25</c:v>
                </c:pt>
                <c:pt idx="6">
                  <c:v>10</c:v>
                </c:pt>
                <c:pt idx="7">
                  <c:v>45</c:v>
                </c:pt>
                <c:pt idx="8">
                  <c:v>30</c:v>
                </c:pt>
                <c:pt idx="9">
                  <c:v>35</c:v>
                </c:pt>
                <c:pt idx="10">
                  <c:v>30</c:v>
                </c:pt>
                <c:pt idx="11">
                  <c:v>45</c:v>
                </c:pt>
                <c:pt idx="12">
                  <c:v>20</c:v>
                </c:pt>
                <c:pt idx="13">
                  <c:v>15</c:v>
                </c:pt>
                <c:pt idx="14">
                  <c:v>40</c:v>
                </c:pt>
              </c:numCache>
            </c:numRef>
          </c:val>
          <c:extLst>
            <c:ext xmlns:c16="http://schemas.microsoft.com/office/drawing/2014/chart" uri="{C3380CC4-5D6E-409C-BE32-E72D297353CC}">
              <c16:uniqueId val="{00000003-5ADA-49A8-825A-C0A4F9A37BA3}"/>
            </c:ext>
          </c:extLst>
        </c:ser>
        <c:dLbls>
          <c:showLegendKey val="0"/>
          <c:showVal val="0"/>
          <c:showCatName val="0"/>
          <c:showSerName val="0"/>
          <c:showPercent val="0"/>
          <c:showBubbleSize val="0"/>
        </c:dLbls>
        <c:gapWidth val="150"/>
        <c:axId val="651899599"/>
        <c:axId val="651913327"/>
      </c:barChart>
      <c:lineChart>
        <c:grouping val="standard"/>
        <c:varyColors val="0"/>
        <c:ser>
          <c:idx val="0"/>
          <c:order val="0"/>
          <c:tx>
            <c:strRef>
              <c:f>Main!$D$40</c:f>
              <c:strCache>
                <c:ptCount val="1"/>
                <c:pt idx="0">
                  <c:v>Proportion of coastline to meet final demand</c:v>
                </c:pt>
              </c:strCache>
            </c:strRef>
          </c:tx>
          <c:spPr>
            <a:ln w="28575" cap="rnd">
              <a:solidFill>
                <a:srgbClr val="FF0000"/>
              </a:solidFill>
              <a:round/>
            </a:ln>
            <a:effectLst/>
          </c:spPr>
          <c:marker>
            <c:symbol val="none"/>
          </c:marker>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Main!$E$40:$S$40</c:f>
              <c:numCache>
                <c:formatCode>0</c:formatCode>
                <c:ptCount val="15"/>
                <c:pt idx="0">
                  <c:v>123.43465879476307</c:v>
                </c:pt>
                <c:pt idx="1">
                  <c:v>81.406259071041049</c:v>
                </c:pt>
                <c:pt idx="2">
                  <c:v>2.3766499654720294</c:v>
                </c:pt>
                <c:pt idx="3">
                  <c:v>4.4403967234044037</c:v>
                </c:pt>
                <c:pt idx="4">
                  <c:v>4.894993517564143</c:v>
                </c:pt>
                <c:pt idx="5">
                  <c:v>17.919106827390515</c:v>
                </c:pt>
                <c:pt idx="6">
                  <c:v>7.9813738517722399</c:v>
                </c:pt>
                <c:pt idx="7">
                  <c:v>5.101775747009401</c:v>
                </c:pt>
                <c:pt idx="8">
                  <c:v>35.653962699877539</c:v>
                </c:pt>
                <c:pt idx="9">
                  <c:v>6.3397767155544749</c:v>
                </c:pt>
                <c:pt idx="10" formatCode="0.000">
                  <c:v>0.47770948098121085</c:v>
                </c:pt>
                <c:pt idx="11">
                  <c:v>1.668936420198136</c:v>
                </c:pt>
                <c:pt idx="12">
                  <c:v>8.0372464446383933</c:v>
                </c:pt>
                <c:pt idx="13">
                  <c:v>99.689353264146348</c:v>
                </c:pt>
                <c:pt idx="14">
                  <c:v>30.741075962698577</c:v>
                </c:pt>
              </c:numCache>
            </c:numRef>
          </c:val>
          <c:smooth val="0"/>
          <c:extLst>
            <c:ext xmlns:c16="http://schemas.microsoft.com/office/drawing/2014/chart" uri="{C3380CC4-5D6E-409C-BE32-E72D297353CC}">
              <c16:uniqueId val="{00000000-5ADA-49A8-825A-C0A4F9A37BA3}"/>
            </c:ext>
          </c:extLst>
        </c:ser>
        <c:ser>
          <c:idx val="2"/>
          <c:order val="2"/>
          <c:tx>
            <c:v>Proportion of coastline to meet non-RE electricity generation</c:v>
          </c:tx>
          <c:spPr>
            <a:ln w="28575" cap="rnd">
              <a:solidFill>
                <a:schemeClr val="tx1"/>
              </a:solidFill>
              <a:round/>
            </a:ln>
            <a:effectLst/>
          </c:spPr>
          <c:marker>
            <c:symbol val="none"/>
          </c:marker>
          <c:val>
            <c:numRef>
              <c:f>Main!$E$38:$S$38</c:f>
              <c:numCache>
                <c:formatCode>0.00</c:formatCode>
                <c:ptCount val="15"/>
                <c:pt idx="0">
                  <c:v>9.1921746787972847</c:v>
                </c:pt>
                <c:pt idx="1">
                  <c:v>22.313747506325196</c:v>
                </c:pt>
                <c:pt idx="2">
                  <c:v>0.22215422835149082</c:v>
                </c:pt>
                <c:pt idx="3">
                  <c:v>0.87683783398871762</c:v>
                </c:pt>
                <c:pt idx="4">
                  <c:v>0.44412752035774139</c:v>
                </c:pt>
                <c:pt idx="5">
                  <c:v>2.934517259262071</c:v>
                </c:pt>
                <c:pt idx="6">
                  <c:v>0.48328676865317366</c:v>
                </c:pt>
                <c:pt idx="7">
                  <c:v>0.79696378533164614</c:v>
                </c:pt>
                <c:pt idx="8">
                  <c:v>14.509996519658461</c:v>
                </c:pt>
                <c:pt idx="9">
                  <c:v>1.3007312516301857</c:v>
                </c:pt>
                <c:pt idx="10">
                  <c:v>0.1145123087983841</c:v>
                </c:pt>
                <c:pt idx="11">
                  <c:v>0.29865178045650859</c:v>
                </c:pt>
                <c:pt idx="12">
                  <c:v>4.8486994944703756</c:v>
                </c:pt>
                <c:pt idx="13">
                  <c:v>11.195677248878027</c:v>
                </c:pt>
                <c:pt idx="14">
                  <c:v>2.2082150507030711</c:v>
                </c:pt>
              </c:numCache>
            </c:numRef>
          </c:val>
          <c:smooth val="0"/>
          <c:extLst>
            <c:ext xmlns:c16="http://schemas.microsoft.com/office/drawing/2014/chart" uri="{C3380CC4-5D6E-409C-BE32-E72D297353CC}">
              <c16:uniqueId val="{00000001-C8CF-4A93-A41A-C87E99CB6DF0}"/>
            </c:ext>
          </c:extLst>
        </c:ser>
        <c:dLbls>
          <c:showLegendKey val="0"/>
          <c:showVal val="0"/>
          <c:showCatName val="0"/>
          <c:showSerName val="0"/>
          <c:showPercent val="0"/>
          <c:showBubbleSize val="0"/>
        </c:dLbls>
        <c:marker val="1"/>
        <c:smooth val="0"/>
        <c:axId val="772212943"/>
        <c:axId val="772217935"/>
      </c:lineChart>
      <c:catAx>
        <c:axId val="7722129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772217935"/>
        <c:crosses val="autoZero"/>
        <c:auto val="1"/>
        <c:lblAlgn val="ctr"/>
        <c:lblOffset val="100"/>
        <c:noMultiLvlLbl val="0"/>
      </c:catAx>
      <c:valAx>
        <c:axId val="77221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n-AU" sz="1400" b="1">
                    <a:solidFill>
                      <a:sysClr val="windowText" lastClr="000000"/>
                    </a:solidFill>
                  </a:rPr>
                  <a:t>%</a:t>
                </a:r>
                <a:r>
                  <a:rPr lang="en-AU" sz="1400" b="1" baseline="0">
                    <a:solidFill>
                      <a:sysClr val="windowText" lastClr="000000"/>
                    </a:solidFill>
                  </a:rPr>
                  <a:t> of coastline</a:t>
                </a:r>
                <a:endParaRPr lang="en-AU"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772212943"/>
        <c:crosses val="autoZero"/>
        <c:crossBetween val="between"/>
      </c:valAx>
      <c:valAx>
        <c:axId val="651913327"/>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r>
                  <a:rPr lang="en-AU" sz="1400">
                    <a:solidFill>
                      <a:sysClr val="windowText" lastClr="000000"/>
                    </a:solidFill>
                  </a:rPr>
                  <a:t>Capacity Factor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651899599"/>
        <c:crosses val="max"/>
        <c:crossBetween val="between"/>
      </c:valAx>
      <c:catAx>
        <c:axId val="651899599"/>
        <c:scaling>
          <c:orientation val="minMax"/>
        </c:scaling>
        <c:delete val="1"/>
        <c:axPos val="b"/>
        <c:numFmt formatCode="General" sourceLinked="1"/>
        <c:majorTickMark val="out"/>
        <c:minorTickMark val="none"/>
        <c:tickLblPos val="nextTo"/>
        <c:crossAx val="651913327"/>
        <c:crosses val="autoZero"/>
        <c:auto val="1"/>
        <c:lblAlgn val="ctr"/>
        <c:lblOffset val="100"/>
        <c:noMultiLvlLbl val="0"/>
      </c:catAx>
      <c:spPr>
        <a:noFill/>
        <a:ln>
          <a:noFill/>
        </a:ln>
        <a:effectLst/>
      </c:spPr>
    </c:plotArea>
    <c:legend>
      <c:legendPos val="b"/>
      <c:layout>
        <c:manualLayout>
          <c:xMode val="edge"/>
          <c:yMode val="edge"/>
          <c:x val="5.2191375227103364E-3"/>
          <c:y val="0.78580423767552354"/>
          <c:w val="0.98123076223372696"/>
          <c:h val="0.19784253256159823"/>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1296489</xdr:colOff>
      <xdr:row>25</xdr:row>
      <xdr:rowOff>161577</xdr:rowOff>
    </xdr:from>
    <xdr:to>
      <xdr:col>4</xdr:col>
      <xdr:colOff>1142999</xdr:colOff>
      <xdr:row>60</xdr:row>
      <xdr:rowOff>163285</xdr:rowOff>
    </xdr:to>
    <xdr:graphicFrame macro="">
      <xdr:nvGraphicFramePr>
        <xdr:cNvPr id="2" name="Chart 1">
          <a:extLst>
            <a:ext uri="{FF2B5EF4-FFF2-40B4-BE49-F238E27FC236}">
              <a16:creationId xmlns:a16="http://schemas.microsoft.com/office/drawing/2014/main" id="{805FC87A-8CE3-4214-BBDA-0FFDB636B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496252</xdr:colOff>
      <xdr:row>25</xdr:row>
      <xdr:rowOff>144779</xdr:rowOff>
    </xdr:from>
    <xdr:to>
      <xdr:col>11</xdr:col>
      <xdr:colOff>876774</xdr:colOff>
      <xdr:row>60</xdr:row>
      <xdr:rowOff>119062</xdr:rowOff>
    </xdr:to>
    <xdr:graphicFrame macro="">
      <xdr:nvGraphicFramePr>
        <xdr:cNvPr id="3" name="Chart 2">
          <a:extLst>
            <a:ext uri="{FF2B5EF4-FFF2-40B4-BE49-F238E27FC236}">
              <a16:creationId xmlns:a16="http://schemas.microsoft.com/office/drawing/2014/main" id="{8B735737-1DF0-48BC-89B8-C4448615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1316182</xdr:colOff>
      <xdr:row>61</xdr:row>
      <xdr:rowOff>17318</xdr:rowOff>
    </xdr:from>
    <xdr:to>
      <xdr:col>4</xdr:col>
      <xdr:colOff>1158882</xdr:colOff>
      <xdr:row>97</xdr:row>
      <xdr:rowOff>159476</xdr:rowOff>
    </xdr:to>
    <xdr:graphicFrame macro="">
      <xdr:nvGraphicFramePr>
        <xdr:cNvPr id="4" name="Chart 3">
          <a:extLst>
            <a:ext uri="{FF2B5EF4-FFF2-40B4-BE49-F238E27FC236}">
              <a16:creationId xmlns:a16="http://schemas.microsoft.com/office/drawing/2014/main" id="{222EFF3D-1AA2-4075-8A85-608C02524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536863</xdr:colOff>
      <xdr:row>61</xdr:row>
      <xdr:rowOff>0</xdr:rowOff>
    </xdr:from>
    <xdr:to>
      <xdr:col>11</xdr:col>
      <xdr:colOff>917385</xdr:colOff>
      <xdr:row>97</xdr:row>
      <xdr:rowOff>112828</xdr:rowOff>
    </xdr:to>
    <xdr:graphicFrame macro="">
      <xdr:nvGraphicFramePr>
        <xdr:cNvPr id="5" name="Chart 4">
          <a:extLst>
            <a:ext uri="{FF2B5EF4-FFF2-40B4-BE49-F238E27FC236}">
              <a16:creationId xmlns:a16="http://schemas.microsoft.com/office/drawing/2014/main" id="{E40A4872-89E2-4C53-9C5F-D5E2F9BB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589513</xdr:colOff>
      <xdr:row>28</xdr:row>
      <xdr:rowOff>84688</xdr:rowOff>
    </xdr:from>
    <xdr:to>
      <xdr:col>22</xdr:col>
      <xdr:colOff>552278</xdr:colOff>
      <xdr:row>64</xdr:row>
      <xdr:rowOff>179763</xdr:rowOff>
    </xdr:to>
    <xdr:graphicFrame macro="">
      <xdr:nvGraphicFramePr>
        <xdr:cNvPr id="9" name="Chart 8">
          <a:extLst>
            <a:ext uri="{FF2B5EF4-FFF2-40B4-BE49-F238E27FC236}">
              <a16:creationId xmlns:a16="http://schemas.microsoft.com/office/drawing/2014/main" id="{DB546F59-46D6-435D-AB82-97C9DE53A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1677489</xdr:colOff>
      <xdr:row>130</xdr:row>
      <xdr:rowOff>47277</xdr:rowOff>
    </xdr:from>
    <xdr:to>
      <xdr:col>7</xdr:col>
      <xdr:colOff>1523999</xdr:colOff>
      <xdr:row>167</xdr:row>
      <xdr:rowOff>125185</xdr:rowOff>
    </xdr:to>
    <xdr:graphicFrame macro="">
      <xdr:nvGraphicFramePr>
        <xdr:cNvPr id="2" name="Chart 1">
          <a:extLst>
            <a:ext uri="{FF2B5EF4-FFF2-40B4-BE49-F238E27FC236}">
              <a16:creationId xmlns:a16="http://schemas.microsoft.com/office/drawing/2014/main" id="{3290B0F1-71DA-4736-BAED-AFE447F67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877252</xdr:colOff>
      <xdr:row>130</xdr:row>
      <xdr:rowOff>30479</xdr:rowOff>
    </xdr:from>
    <xdr:to>
      <xdr:col>14</xdr:col>
      <xdr:colOff>1257774</xdr:colOff>
      <xdr:row>167</xdr:row>
      <xdr:rowOff>77152</xdr:rowOff>
    </xdr:to>
    <xdr:graphicFrame macro="">
      <xdr:nvGraphicFramePr>
        <xdr:cNvPr id="4" name="Chart 3">
          <a:extLst>
            <a:ext uri="{FF2B5EF4-FFF2-40B4-BE49-F238E27FC236}">
              <a16:creationId xmlns:a16="http://schemas.microsoft.com/office/drawing/2014/main" id="{A35BBF3A-65BE-41EB-AA88-57D19F581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515776</xdr:colOff>
      <xdr:row>129</xdr:row>
      <xdr:rowOff>189548</xdr:rowOff>
    </xdr:from>
    <xdr:to>
      <xdr:col>24</xdr:col>
      <xdr:colOff>551497</xdr:colOff>
      <xdr:row>167</xdr:row>
      <xdr:rowOff>9524</xdr:rowOff>
    </xdr:to>
    <xdr:graphicFrame macro="">
      <xdr:nvGraphicFramePr>
        <xdr:cNvPr id="8" name="Chart 7">
          <a:extLst>
            <a:ext uri="{FF2B5EF4-FFF2-40B4-BE49-F238E27FC236}">
              <a16:creationId xmlns:a16="http://schemas.microsoft.com/office/drawing/2014/main" id="{0B9739A7-8F6B-4893-B64E-CA03FFEE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846290</xdr:colOff>
      <xdr:row>48</xdr:row>
      <xdr:rowOff>176030</xdr:rowOff>
    </xdr:from>
    <xdr:to>
      <xdr:col>5</xdr:col>
      <xdr:colOff>712940</xdr:colOff>
      <xdr:row>69</xdr:row>
      <xdr:rowOff>168410</xdr:rowOff>
    </xdr:to>
    <xdr:graphicFrame macro="">
      <xdr:nvGraphicFramePr>
        <xdr:cNvPr id="11" name="Chart 10">
          <a:extLst>
            <a:ext uri="{FF2B5EF4-FFF2-40B4-BE49-F238E27FC236}">
              <a16:creationId xmlns:a16="http://schemas.microsoft.com/office/drawing/2014/main" id="{4D463FDE-5E6D-44B3-9D1D-742DACD43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17316</xdr:colOff>
      <xdr:row>45</xdr:row>
      <xdr:rowOff>204354</xdr:rowOff>
    </xdr:from>
    <xdr:to>
      <xdr:col>11</xdr:col>
      <xdr:colOff>1402770</xdr:colOff>
      <xdr:row>67</xdr:row>
      <xdr:rowOff>0</xdr:rowOff>
    </xdr:to>
    <xdr:graphicFrame macro="">
      <xdr:nvGraphicFramePr>
        <xdr:cNvPr id="3" name="Chart 2">
          <a:extLst>
            <a:ext uri="{FF2B5EF4-FFF2-40B4-BE49-F238E27FC236}">
              <a16:creationId xmlns:a16="http://schemas.microsoft.com/office/drawing/2014/main" id="{E44762F7-AD7A-4202-8F79-094FD9603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875806</xdr:colOff>
      <xdr:row>46</xdr:row>
      <xdr:rowOff>115042</xdr:rowOff>
    </xdr:from>
    <xdr:to>
      <xdr:col>16</xdr:col>
      <xdr:colOff>1551215</xdr:colOff>
      <xdr:row>66</xdr:row>
      <xdr:rowOff>197921</xdr:rowOff>
    </xdr:to>
    <xdr:graphicFrame macro="">
      <xdr:nvGraphicFramePr>
        <xdr:cNvPr id="6" name="Chart 5">
          <a:extLst>
            <a:ext uri="{FF2B5EF4-FFF2-40B4-BE49-F238E27FC236}">
              <a16:creationId xmlns:a16="http://schemas.microsoft.com/office/drawing/2014/main" id="{9149B980-8932-4163-9A83-D36520E6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1513176</xdr:colOff>
      <xdr:row>77</xdr:row>
      <xdr:rowOff>29007</xdr:rowOff>
    </xdr:from>
    <xdr:to>
      <xdr:col>17</xdr:col>
      <xdr:colOff>1552142</xdr:colOff>
      <xdr:row>108</xdr:row>
      <xdr:rowOff>166687</xdr:rowOff>
    </xdr:to>
    <xdr:graphicFrame macro="">
      <xdr:nvGraphicFramePr>
        <xdr:cNvPr id="10" name="Chart 9">
          <a:extLst>
            <a:ext uri="{FF2B5EF4-FFF2-40B4-BE49-F238E27FC236}">
              <a16:creationId xmlns:a16="http://schemas.microsoft.com/office/drawing/2014/main" id="{0151226D-3338-4382-97EA-895709BD2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610515</xdr:colOff>
      <xdr:row>10</xdr:row>
      <xdr:rowOff>84178</xdr:rowOff>
    </xdr:from>
    <xdr:to>
      <xdr:col>15</xdr:col>
      <xdr:colOff>248493</xdr:colOff>
      <xdr:row>28</xdr:row>
      <xdr:rowOff>106091</xdr:rowOff>
    </xdr:to>
    <xdr:graphicFrame macro="">
      <xdr:nvGraphicFramePr>
        <xdr:cNvPr id="3" name="Chart 2">
          <a:extLst>
            <a:ext uri="{FF2B5EF4-FFF2-40B4-BE49-F238E27FC236}">
              <a16:creationId xmlns:a16="http://schemas.microsoft.com/office/drawing/2014/main" id="{FB52CCA4-65F0-4F38-8570-4C2DDD88B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10</xdr:row>
      <xdr:rowOff>66675</xdr:rowOff>
    </xdr:from>
    <xdr:to>
      <xdr:col>12</xdr:col>
      <xdr:colOff>552450</xdr:colOff>
      <xdr:row>24</xdr:row>
      <xdr:rowOff>9525</xdr:rowOff>
    </xdr:to>
    <xdr:graphicFrame macro="">
      <xdr:nvGraphicFramePr>
        <xdr:cNvPr id="2" name="Chart 1">
          <a:extLst>
            <a:ext uri="{FF2B5EF4-FFF2-40B4-BE49-F238E27FC236}">
              <a16:creationId xmlns:a16="http://schemas.microsoft.com/office/drawing/2014/main" id="{BA006D95-DE55-4B69-A342-910BA8D9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hayan Naderi" id="{08197749-1B70-438A-886D-DB7935102616}" userId="S::z5292669@ad.unsw.edu.au::e359d62f-92db-4093-9a13-fa1558a327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 dT="2021-11-26T01:59:06.71" personId="{08197749-1B70-438A-886D-DB7935102616}" id="{F567D31E-770D-493C-8AB4-71FBE8FE927E}">
    <text>ourworld in data website</text>
  </threadedComment>
  <threadedComment ref="R4" dT="2021-11-26T05:22:57.97" personId="{08197749-1B70-438A-886D-DB7935102616}" id="{1B185C20-FBB6-41A6-8E37-9FC63C3B9354}" parentId="{F567D31E-770D-493C-8AB4-71FBE8FE927E}">
    <text>2016</text>
  </threadedComment>
  <threadedComment ref="R6" dT="2021-11-26T02:06:03.98" personId="{08197749-1B70-438A-886D-DB7935102616}" id="{1EDCE9AD-3B77-43EA-B014-66B2350FA723}">
    <text>Worlddata.info</text>
  </threadedComment>
  <threadedComment ref="R6" dT="2021-11-26T05:22:44.56" personId="{08197749-1B70-438A-886D-DB7935102616}" id="{F9948857-AFF9-4448-9D0B-80B55C45E551}" parentId="{1EDCE9AD-3B77-43EA-B014-66B2350FA723}">
    <text>2016</text>
  </threadedComment>
  <threadedComment ref="R15" dT="2021-11-26T01:27:54.71" personId="{08197749-1B70-438A-886D-DB7935102616}" id="{3AD9D3C7-0E7D-4408-9360-26F25C808754}">
    <text>The same as Samoa, because the figure is not available for American Samoa. They are close to each other and figures for their daily PV potential is almost similar so, the same value for annual PV potential is chosen</text>
  </threadedComment>
  <threadedComment ref="F20" dT="2021-11-25T12:30:06.58" personId="{08197749-1B70-438A-886D-DB7935102616}" id="{62783F04-42D8-4173-B135-8D78329227AB}">
    <text>The resolution of wind atlas does not cover this island because it is too small. This number is based on the surrounding area.</text>
  </threadedComment>
  <threadedComment ref="G20" dT="2021-11-26T00:33:27.51" personId="{08197749-1B70-438A-886D-DB7935102616}" id="{6D8D0F80-AAF2-4DB8-8632-AE73EB4C522B}">
    <text>Becasue islands are too small the resolution is not good and this number is a rough estimate</text>
  </threadedComment>
  <threadedComment ref="L20" dT="2021-11-26T03:13:35.95" personId="{08197749-1B70-438A-886D-DB7935102616}" id="{4332D81C-2F31-46A9-AD1B-AB23F87A3B02}">
    <text>It is based on the area because the sland is small. Moreover, there is not a good location to install wind turbine</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1-11-26T01:59:06.71" personId="{08197749-1B70-438A-886D-DB7935102616}" id="{9E1A07E4-9099-4514-86DA-84010BACB242}">
    <text>ourworld in data website</text>
  </threadedComment>
  <threadedComment ref="U5" dT="2021-11-26T05:22:57.97" personId="{08197749-1B70-438A-886D-DB7935102616}" id="{A9D6121B-FDD7-44D6-910C-EE60418682D1}" parentId="{9E1A07E4-9099-4514-86DA-84010BACB242}">
    <text>2016</text>
  </threadedComment>
  <threadedComment ref="U7" dT="2021-11-26T02:06:03.98" personId="{08197749-1B70-438A-886D-DB7935102616}" id="{12CC9BFF-22E5-48A6-A172-12A92E5881BD}">
    <text>Worlddata.info</text>
  </threadedComment>
  <threadedComment ref="U7" dT="2021-11-26T05:22:44.56" personId="{08197749-1B70-438A-886D-DB7935102616}" id="{1DED69C7-3892-40FB-AF1E-85F907744D5B}" parentId="{12CC9BFF-22E5-48A6-A172-12A92E5881BD}">
    <text>2016</text>
  </threadedComment>
  <threadedComment ref="U22" dT="2021-11-26T01:27:54.71" personId="{08197749-1B70-438A-886D-DB7935102616}" id="{291BCB6A-7F63-4FC1-9DDE-75B0A079B168}">
    <text>The same as Samoa, because the figure is not available for American Samoa. They are close to each other and figures for their daily PV potential is almost similar so, the same value for annual PV potential is chosen</text>
  </threadedComment>
  <threadedComment ref="I32" dT="2021-11-25T12:30:06.58" personId="{08197749-1B70-438A-886D-DB7935102616}" id="{B9FDE7A5-9672-4F6E-B426-5B1DB9231D21}">
    <text>The resolution of wind atlas does not cover this island because it is too small. This number is based on the surrounding area.</text>
  </threadedComment>
  <threadedComment ref="J32" dT="2021-11-26T00:33:27.51" personId="{08197749-1B70-438A-886D-DB7935102616}" id="{DBE5DBB5-104E-444B-8907-5706F9366BFC}">
    <text>Becasue islands are too small the resolution is not good and this number is a rough estimate</text>
  </threadedComment>
  <threadedComment ref="O32" dT="2021-11-26T03:13:35.95" personId="{08197749-1B70-438A-886D-DB7935102616}" id="{603DEF3A-8F98-4E0B-9B42-7A42C9098BCE}">
    <text>It is based on the area because the sland is small. Moreover, there is not a good location to install wind turbine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energy/country/nauru" TargetMode="External"/><Relationship Id="rId7" Type="http://schemas.openxmlformats.org/officeDocument/2006/relationships/printerSettings" Target="../printerSettings/printerSettings2.bin"/><Relationship Id="rId2" Type="http://schemas.openxmlformats.org/officeDocument/2006/relationships/hyperlink" Target="https://unstats.un.org/unsd/energystats/pubs/balance/" TargetMode="External"/><Relationship Id="rId1" Type="http://schemas.openxmlformats.org/officeDocument/2006/relationships/hyperlink" Target="https://www.cia.gov/the-world-factbook/countries/nauru/" TargetMode="External"/><Relationship Id="rId6" Type="http://schemas.openxmlformats.org/officeDocument/2006/relationships/hyperlink" Target="https://unstats.un.org/unsd/energystats/pubs/balance/" TargetMode="External"/><Relationship Id="rId11" Type="http://schemas.microsoft.com/office/2017/10/relationships/threadedComment" Target="../threadedComments/threadedComment2.xml"/><Relationship Id="rId5" Type="http://schemas.openxmlformats.org/officeDocument/2006/relationships/hyperlink" Target="https://globalwindatlas.info/" TargetMode="External"/><Relationship Id="rId10" Type="http://schemas.openxmlformats.org/officeDocument/2006/relationships/comments" Target="../comments2.xml"/><Relationship Id="rId4" Type="http://schemas.openxmlformats.org/officeDocument/2006/relationships/hyperlink" Target="https://globalsolaratlas.info/map?c=11.609193,8.261719,3"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7925-A106-44F2-8DC6-7221336C9F65}">
  <dimension ref="A1:T46"/>
  <sheetViews>
    <sheetView zoomScale="25" zoomScaleNormal="25" workbookViewId="0">
      <selection activeCell="P3" sqref="P3:P5"/>
    </sheetView>
  </sheetViews>
  <sheetFormatPr defaultRowHeight="15.75" x14ac:dyDescent="0.25"/>
  <cols>
    <col min="1" max="1" width="28.75" customWidth="1"/>
    <col min="2" max="19" width="25.5" customWidth="1"/>
    <col min="20" max="20" width="23.75" customWidth="1"/>
  </cols>
  <sheetData>
    <row r="1" spans="1:20" s="8" customFormat="1" ht="101.25" x14ac:dyDescent="0.25">
      <c r="A1" s="52" t="s">
        <v>65</v>
      </c>
      <c r="B1" s="52" t="s">
        <v>17</v>
      </c>
      <c r="C1" s="52" t="s">
        <v>16</v>
      </c>
      <c r="D1" s="52" t="s">
        <v>15</v>
      </c>
      <c r="E1" s="52" t="s">
        <v>14</v>
      </c>
      <c r="F1" s="52" t="s">
        <v>13</v>
      </c>
      <c r="G1" s="52" t="s">
        <v>12</v>
      </c>
      <c r="H1" s="52" t="s">
        <v>11</v>
      </c>
      <c r="I1" s="52" t="s">
        <v>10</v>
      </c>
      <c r="J1" s="52" t="s">
        <v>9</v>
      </c>
      <c r="K1" s="52" t="s">
        <v>7</v>
      </c>
      <c r="L1" s="52" t="s">
        <v>6</v>
      </c>
      <c r="M1" s="52" t="s">
        <v>5</v>
      </c>
      <c r="N1" s="52" t="s">
        <v>4</v>
      </c>
      <c r="O1" s="52" t="s">
        <v>2</v>
      </c>
      <c r="P1" s="52" t="s">
        <v>85</v>
      </c>
      <c r="Q1" s="52" t="s">
        <v>1</v>
      </c>
      <c r="R1" s="52" t="s">
        <v>8</v>
      </c>
      <c r="S1" s="52" t="s">
        <v>3</v>
      </c>
      <c r="T1" s="52" t="s">
        <v>18</v>
      </c>
    </row>
    <row r="2" spans="1:20" s="6" customFormat="1" ht="26.25" hidden="1" x14ac:dyDescent="0.4">
      <c r="A2" s="53" t="s">
        <v>44</v>
      </c>
      <c r="B2" s="56">
        <v>4129</v>
      </c>
      <c r="C2" s="57">
        <v>1074</v>
      </c>
      <c r="D2" s="56">
        <v>3259</v>
      </c>
      <c r="E2" s="56">
        <v>3537</v>
      </c>
      <c r="F2" s="56">
        <v>1041</v>
      </c>
      <c r="G2" s="56">
        <v>1528</v>
      </c>
      <c r="H2" s="56">
        <v>4622</v>
      </c>
      <c r="I2" s="56">
        <v>2083</v>
      </c>
      <c r="J2" s="56">
        <v>75117</v>
      </c>
      <c r="K2" s="56">
        <v>12380</v>
      </c>
      <c r="L2" s="56">
        <v>2555</v>
      </c>
      <c r="M2" s="56">
        <v>107</v>
      </c>
      <c r="N2" s="56">
        <v>137</v>
      </c>
      <c r="O2" s="56">
        <v>100356</v>
      </c>
      <c r="P2" s="56"/>
      <c r="Q2" s="56">
        <v>28.67</v>
      </c>
      <c r="R2" s="56"/>
      <c r="S2" s="56"/>
      <c r="T2" s="54"/>
    </row>
    <row r="3" spans="1:20" s="7" customFormat="1" ht="78.75" x14ac:dyDescent="0.4">
      <c r="A3" s="61" t="s">
        <v>66</v>
      </c>
      <c r="B3" s="60">
        <f t="shared" ref="B3:O3" si="0">B2/8.76</f>
        <v>471.34703196347033</v>
      </c>
      <c r="C3" s="60">
        <f t="shared" si="0"/>
        <v>122.60273972602739</v>
      </c>
      <c r="D3" s="60">
        <f t="shared" si="0"/>
        <v>372.03196347031962</v>
      </c>
      <c r="E3" s="60">
        <f t="shared" si="0"/>
        <v>403.76712328767127</v>
      </c>
      <c r="F3" s="60">
        <f t="shared" si="0"/>
        <v>118.83561643835617</v>
      </c>
      <c r="G3" s="60">
        <f t="shared" si="0"/>
        <v>174.42922374429224</v>
      </c>
      <c r="H3" s="60">
        <f t="shared" si="0"/>
        <v>527.6255707762557</v>
      </c>
      <c r="I3" s="60">
        <f t="shared" si="0"/>
        <v>237.78538812785388</v>
      </c>
      <c r="J3" s="60">
        <f t="shared" si="0"/>
        <v>8575</v>
      </c>
      <c r="K3" s="60">
        <f t="shared" si="0"/>
        <v>1413.2420091324202</v>
      </c>
      <c r="L3" s="60">
        <f t="shared" si="0"/>
        <v>291.66666666666669</v>
      </c>
      <c r="M3" s="60">
        <f t="shared" si="0"/>
        <v>12.214611872146119</v>
      </c>
      <c r="N3" s="60">
        <f t="shared" si="0"/>
        <v>15.639269406392694</v>
      </c>
      <c r="O3" s="60">
        <f t="shared" si="0"/>
        <v>11456.164383561643</v>
      </c>
      <c r="P3" s="39">
        <v>4140.9817351598176</v>
      </c>
      <c r="Q3" s="60"/>
      <c r="R3" s="60">
        <f>R2/8.76</f>
        <v>0</v>
      </c>
      <c r="S3" s="60">
        <f>S2/8.76</f>
        <v>0</v>
      </c>
      <c r="T3" s="58"/>
    </row>
    <row r="4" spans="1:20" s="5" customFormat="1" ht="52.5" hidden="1" x14ac:dyDescent="0.4">
      <c r="A4" s="61" t="s">
        <v>43</v>
      </c>
      <c r="B4" s="57">
        <v>4528</v>
      </c>
      <c r="C4" s="57">
        <v>502</v>
      </c>
      <c r="D4" s="57">
        <v>2850</v>
      </c>
      <c r="E4" s="57">
        <v>2133</v>
      </c>
      <c r="F4" s="57">
        <v>1327</v>
      </c>
      <c r="G4" s="57">
        <v>850</v>
      </c>
      <c r="H4" s="57">
        <v>6705</v>
      </c>
      <c r="I4" s="57">
        <v>1521</v>
      </c>
      <c r="J4" s="57">
        <v>38121</v>
      </c>
      <c r="K4" s="57">
        <v>8859</v>
      </c>
      <c r="L4" s="57">
        <v>1385</v>
      </c>
      <c r="M4" s="57">
        <v>76</v>
      </c>
      <c r="N4" s="57">
        <v>61</v>
      </c>
      <c r="O4" s="57">
        <v>121814</v>
      </c>
      <c r="P4" s="57"/>
      <c r="Q4" s="56"/>
      <c r="R4" s="56">
        <v>5400</v>
      </c>
      <c r="S4" s="56"/>
      <c r="T4" s="55"/>
    </row>
    <row r="5" spans="1:20" s="2" customFormat="1" ht="78.75" x14ac:dyDescent="0.4">
      <c r="A5" s="61" t="s">
        <v>67</v>
      </c>
      <c r="B5" s="62">
        <f t="shared" ref="B5:O5" si="1">B4*1000/8760</f>
        <v>516.89497716894982</v>
      </c>
      <c r="C5" s="62">
        <f t="shared" si="1"/>
        <v>57.305936073059364</v>
      </c>
      <c r="D5" s="62">
        <f t="shared" si="1"/>
        <v>325.34246575342468</v>
      </c>
      <c r="E5" s="62">
        <f t="shared" si="1"/>
        <v>243.49315068493149</v>
      </c>
      <c r="F5" s="62">
        <f t="shared" si="1"/>
        <v>151.48401826484019</v>
      </c>
      <c r="G5" s="62">
        <f t="shared" si="1"/>
        <v>97.031963470319639</v>
      </c>
      <c r="H5" s="62">
        <f t="shared" si="1"/>
        <v>765.41095890410963</v>
      </c>
      <c r="I5" s="62">
        <f t="shared" si="1"/>
        <v>173.63013698630138</v>
      </c>
      <c r="J5" s="62">
        <f t="shared" si="1"/>
        <v>4351.7123287671229</v>
      </c>
      <c r="K5" s="62">
        <f t="shared" si="1"/>
        <v>1011.3013698630137</v>
      </c>
      <c r="L5" s="62">
        <f t="shared" si="1"/>
        <v>158.10502283105023</v>
      </c>
      <c r="M5" s="62">
        <f t="shared" si="1"/>
        <v>8.6757990867579906</v>
      </c>
      <c r="N5" s="62">
        <f t="shared" si="1"/>
        <v>6.9634703196347028</v>
      </c>
      <c r="O5" s="62">
        <f t="shared" si="1"/>
        <v>13905.707762557078</v>
      </c>
      <c r="P5" s="62">
        <v>2505.821917808219</v>
      </c>
      <c r="Q5" s="60"/>
      <c r="R5" s="60">
        <f>R4*1000/8760</f>
        <v>616.43835616438355</v>
      </c>
      <c r="S5" s="60">
        <f>S4*1000/8760</f>
        <v>0</v>
      </c>
      <c r="T5" s="59"/>
    </row>
    <row r="6" spans="1:20" s="5" customFormat="1" ht="26.25" hidden="1" x14ac:dyDescent="0.4">
      <c r="A6" s="61" t="s">
        <v>47</v>
      </c>
      <c r="B6" s="57">
        <v>1696</v>
      </c>
      <c r="C6" s="57">
        <v>4</v>
      </c>
      <c r="D6" s="57">
        <v>920</v>
      </c>
      <c r="E6" s="57">
        <v>1</v>
      </c>
      <c r="F6" s="57">
        <v>560</v>
      </c>
      <c r="G6" s="57">
        <v>38</v>
      </c>
      <c r="H6" s="57">
        <v>3319</v>
      </c>
      <c r="I6" s="57">
        <v>34</v>
      </c>
      <c r="J6" s="57">
        <v>243</v>
      </c>
      <c r="K6" s="57">
        <v>766</v>
      </c>
      <c r="L6" s="57">
        <v>39</v>
      </c>
      <c r="M6" s="57">
        <v>2</v>
      </c>
      <c r="N6" s="57">
        <v>7</v>
      </c>
      <c r="O6" s="57">
        <v>56230</v>
      </c>
      <c r="P6" s="57"/>
      <c r="Q6" s="56">
        <v>0.57999999999999996</v>
      </c>
      <c r="R6" s="56">
        <v>27</v>
      </c>
      <c r="S6" s="56"/>
      <c r="T6" s="55"/>
    </row>
    <row r="7" spans="1:20" s="2" customFormat="1" ht="52.5" x14ac:dyDescent="0.4">
      <c r="A7" s="61" t="s">
        <v>68</v>
      </c>
      <c r="B7" s="62">
        <f t="shared" ref="B7:O7" si="2">B6/8.76</f>
        <v>193.60730593607306</v>
      </c>
      <c r="C7" s="62">
        <f t="shared" si="2"/>
        <v>0.45662100456621008</v>
      </c>
      <c r="D7" s="62">
        <f t="shared" si="2"/>
        <v>105.02283105022832</v>
      </c>
      <c r="E7" s="62">
        <f t="shared" si="2"/>
        <v>0.11415525114155252</v>
      </c>
      <c r="F7" s="62">
        <f t="shared" si="2"/>
        <v>63.926940639269411</v>
      </c>
      <c r="G7" s="62">
        <f t="shared" si="2"/>
        <v>4.3378995433789953</v>
      </c>
      <c r="H7" s="62">
        <f t="shared" si="2"/>
        <v>378.88127853881281</v>
      </c>
      <c r="I7" s="62">
        <f t="shared" si="2"/>
        <v>3.8812785388127855</v>
      </c>
      <c r="J7" s="62">
        <f t="shared" si="2"/>
        <v>27.739726027397261</v>
      </c>
      <c r="K7" s="62">
        <f t="shared" si="2"/>
        <v>87.44292237442923</v>
      </c>
      <c r="L7" s="62">
        <f t="shared" si="2"/>
        <v>4.4520547945205484</v>
      </c>
      <c r="M7" s="62">
        <f t="shared" si="2"/>
        <v>0.22831050228310504</v>
      </c>
      <c r="N7" s="62">
        <f t="shared" si="2"/>
        <v>0.79908675799086759</v>
      </c>
      <c r="O7" s="62">
        <f t="shared" si="2"/>
        <v>6418.9497716894975</v>
      </c>
      <c r="P7" s="62">
        <v>736.52968036529683</v>
      </c>
      <c r="Q7" s="60"/>
      <c r="R7" s="60">
        <f>R6/8.76</f>
        <v>3.0821917808219177</v>
      </c>
      <c r="S7" s="60">
        <f>S6/8.76</f>
        <v>0</v>
      </c>
      <c r="T7" s="59"/>
    </row>
    <row r="8" spans="1:20" s="10" customFormat="1" ht="26.25" x14ac:dyDescent="0.4">
      <c r="A8" s="61" t="s">
        <v>69</v>
      </c>
      <c r="B8" s="55">
        <v>224</v>
      </c>
      <c r="C8" s="55">
        <v>21</v>
      </c>
      <c r="D8" s="55">
        <v>12189</v>
      </c>
      <c r="E8" s="55">
        <v>459</v>
      </c>
      <c r="F8" s="55">
        <v>811</v>
      </c>
      <c r="G8" s="55">
        <v>236</v>
      </c>
      <c r="H8" s="55">
        <v>27986</v>
      </c>
      <c r="I8" s="55">
        <v>717</v>
      </c>
      <c r="J8" s="55">
        <v>18275</v>
      </c>
      <c r="K8" s="55">
        <v>3827</v>
      </c>
      <c r="L8" s="55">
        <v>702</v>
      </c>
      <c r="M8" s="55">
        <v>260</v>
      </c>
      <c r="N8" s="55">
        <v>26</v>
      </c>
      <c r="O8" s="55">
        <v>452860</v>
      </c>
      <c r="P8" s="55">
        <v>18274</v>
      </c>
      <c r="Q8" s="55">
        <v>544</v>
      </c>
      <c r="R8" s="55">
        <v>224</v>
      </c>
      <c r="S8" s="55">
        <v>464</v>
      </c>
      <c r="T8" s="55">
        <v>181</v>
      </c>
    </row>
    <row r="9" spans="1:20" s="12" customFormat="1" ht="52.5" x14ac:dyDescent="0.4">
      <c r="A9" s="69" t="s">
        <v>70</v>
      </c>
      <c r="B9" s="59">
        <v>0</v>
      </c>
      <c r="C9" s="59">
        <v>0</v>
      </c>
      <c r="D9" s="59">
        <v>0</v>
      </c>
      <c r="E9" s="59">
        <v>0</v>
      </c>
      <c r="F9" s="59">
        <v>0</v>
      </c>
      <c r="G9" s="59">
        <v>0</v>
      </c>
      <c r="H9" s="59">
        <v>910</v>
      </c>
      <c r="I9" s="59">
        <v>30</v>
      </c>
      <c r="J9" s="59">
        <v>300</v>
      </c>
      <c r="K9" s="59">
        <v>340</v>
      </c>
      <c r="L9" s="59">
        <v>0</v>
      </c>
      <c r="M9" s="59">
        <v>0</v>
      </c>
      <c r="N9" s="59">
        <v>0</v>
      </c>
      <c r="O9" s="59">
        <v>9980</v>
      </c>
      <c r="P9" s="59">
        <v>0</v>
      </c>
      <c r="Q9" s="59">
        <v>0</v>
      </c>
      <c r="R9" s="59">
        <v>0</v>
      </c>
      <c r="S9" s="59">
        <v>0</v>
      </c>
      <c r="T9" s="59">
        <v>0</v>
      </c>
    </row>
    <row r="10" spans="1:20" s="10" customFormat="1" ht="26.25" x14ac:dyDescent="0.4">
      <c r="A10" s="61" t="s">
        <v>71</v>
      </c>
      <c r="B10" s="55">
        <v>116</v>
      </c>
      <c r="C10" s="55">
        <v>30</v>
      </c>
      <c r="D10" s="55">
        <v>2528</v>
      </c>
      <c r="E10" s="55">
        <v>1519</v>
      </c>
      <c r="F10" s="55">
        <v>1143</v>
      </c>
      <c r="G10" s="55">
        <v>120</v>
      </c>
      <c r="H10" s="55">
        <v>5313</v>
      </c>
      <c r="I10" s="55">
        <v>419</v>
      </c>
      <c r="J10" s="55">
        <v>2254</v>
      </c>
      <c r="K10" s="55">
        <v>2525</v>
      </c>
      <c r="L10" s="55">
        <v>6112</v>
      </c>
      <c r="M10" s="55">
        <v>64</v>
      </c>
      <c r="N10" s="55">
        <v>24</v>
      </c>
      <c r="O10" s="55">
        <v>5152</v>
      </c>
      <c r="P10" s="55">
        <v>1129</v>
      </c>
      <c r="Q10" s="55">
        <v>125.5</v>
      </c>
      <c r="R10" s="55">
        <v>116</v>
      </c>
      <c r="S10" s="55">
        <v>1482</v>
      </c>
      <c r="T10" s="55">
        <v>370</v>
      </c>
    </row>
    <row r="11" spans="1:20" s="12" customFormat="1" ht="26.25" x14ac:dyDescent="0.4">
      <c r="A11" s="63" t="s">
        <v>72</v>
      </c>
      <c r="B11" s="59">
        <v>15</v>
      </c>
      <c r="C11" s="59">
        <v>0</v>
      </c>
      <c r="D11" s="59">
        <v>1.6</v>
      </c>
      <c r="E11" s="59">
        <v>2.2000000000000002</v>
      </c>
      <c r="F11" s="59">
        <v>2.5</v>
      </c>
      <c r="G11" s="59">
        <v>4.2</v>
      </c>
      <c r="H11" s="59">
        <v>0.7</v>
      </c>
      <c r="I11" s="59">
        <v>22.2</v>
      </c>
      <c r="J11" s="59">
        <v>0.4</v>
      </c>
      <c r="K11" s="59">
        <v>0.7</v>
      </c>
      <c r="L11" s="59">
        <v>2.2999999999999998</v>
      </c>
      <c r="M11" s="59">
        <v>3.8</v>
      </c>
      <c r="N11" s="59">
        <v>0</v>
      </c>
      <c r="O11" s="59">
        <v>0.7</v>
      </c>
      <c r="P11" s="59">
        <v>9</v>
      </c>
      <c r="Q11" s="59">
        <v>1.9</v>
      </c>
      <c r="R11" s="59">
        <v>15</v>
      </c>
      <c r="S11" s="59">
        <v>2.2000000000000002</v>
      </c>
      <c r="T11" s="59">
        <v>7.8</v>
      </c>
    </row>
    <row r="12" spans="1:20" s="10" customFormat="1" ht="26.25" x14ac:dyDescent="0.4">
      <c r="A12" s="61" t="s">
        <v>73</v>
      </c>
      <c r="B12" s="55">
        <v>9.5</v>
      </c>
      <c r="C12" s="55">
        <v>20</v>
      </c>
      <c r="D12" s="55">
        <v>10.3</v>
      </c>
      <c r="E12" s="55">
        <v>4.3</v>
      </c>
      <c r="F12" s="55">
        <v>39.5</v>
      </c>
      <c r="G12" s="55">
        <v>4.2</v>
      </c>
      <c r="H12" s="55">
        <v>2.9</v>
      </c>
      <c r="I12" s="55">
        <v>15.3</v>
      </c>
      <c r="J12" s="55">
        <v>0.2</v>
      </c>
      <c r="K12" s="55">
        <v>6.3</v>
      </c>
      <c r="L12" s="55">
        <v>19.7</v>
      </c>
      <c r="M12" s="55">
        <v>11.5</v>
      </c>
      <c r="N12" s="55">
        <v>60</v>
      </c>
      <c r="O12" s="55">
        <v>1.5</v>
      </c>
      <c r="P12" s="55">
        <v>4.7</v>
      </c>
      <c r="Q12" s="55">
        <v>16.7</v>
      </c>
      <c r="R12" s="55">
        <v>9.5</v>
      </c>
      <c r="S12" s="55">
        <v>2.2000000000000002</v>
      </c>
      <c r="T12" s="55">
        <v>31.2</v>
      </c>
    </row>
    <row r="13" spans="1:20" s="12" customFormat="1" ht="26.25" x14ac:dyDescent="0.4">
      <c r="A13" s="63" t="s">
        <v>74</v>
      </c>
      <c r="B13" s="59">
        <v>0</v>
      </c>
      <c r="C13" s="59">
        <v>0</v>
      </c>
      <c r="D13" s="59">
        <v>3.4</v>
      </c>
      <c r="E13" s="59">
        <v>4.3</v>
      </c>
      <c r="F13" s="59">
        <v>0</v>
      </c>
      <c r="G13" s="59">
        <v>0</v>
      </c>
      <c r="H13" s="59">
        <v>0.3</v>
      </c>
      <c r="I13" s="59">
        <v>5.6</v>
      </c>
      <c r="J13" s="59">
        <v>9.8000000000000007</v>
      </c>
      <c r="K13" s="59">
        <v>5.5</v>
      </c>
      <c r="L13" s="59">
        <v>3.5</v>
      </c>
      <c r="M13" s="59">
        <v>3.8</v>
      </c>
      <c r="N13" s="59">
        <v>0</v>
      </c>
      <c r="O13" s="59">
        <v>0.4</v>
      </c>
      <c r="P13" s="59">
        <v>9.6</v>
      </c>
      <c r="Q13" s="59">
        <v>14.8</v>
      </c>
      <c r="R13" s="59">
        <v>0</v>
      </c>
      <c r="S13" s="59">
        <v>2.2000000000000002</v>
      </c>
      <c r="T13" s="59">
        <v>11.7</v>
      </c>
    </row>
    <row r="14" spans="1:20" s="10" customFormat="1" ht="26.25" x14ac:dyDescent="0.4">
      <c r="A14" s="61" t="s">
        <v>75</v>
      </c>
      <c r="B14" s="55">
        <v>75.5</v>
      </c>
      <c r="C14" s="55">
        <v>0</v>
      </c>
      <c r="D14" s="55">
        <v>36.1</v>
      </c>
      <c r="E14" s="55">
        <v>87.6</v>
      </c>
      <c r="F14" s="55">
        <v>15</v>
      </c>
      <c r="G14" s="55">
        <v>64.599999999999994</v>
      </c>
      <c r="H14" s="55">
        <v>78.900000000000006</v>
      </c>
      <c r="I14" s="55">
        <v>12.5</v>
      </c>
      <c r="J14" s="55">
        <v>45.9</v>
      </c>
      <c r="K14" s="55">
        <v>43.7</v>
      </c>
      <c r="L14" s="55">
        <v>74.5</v>
      </c>
      <c r="M14" s="55">
        <v>71.2</v>
      </c>
      <c r="N14" s="55">
        <v>33.299999999999997</v>
      </c>
      <c r="O14" s="55">
        <v>63.1</v>
      </c>
      <c r="P14" s="55">
        <v>55.7</v>
      </c>
      <c r="Q14" s="55">
        <v>47.9</v>
      </c>
      <c r="R14" s="55">
        <v>75.5</v>
      </c>
      <c r="S14" s="55">
        <v>65.5</v>
      </c>
      <c r="T14" s="55">
        <v>49.3</v>
      </c>
    </row>
    <row r="15" spans="1:20" s="10" customFormat="1" ht="52.5" x14ac:dyDescent="0.4">
      <c r="A15" s="61" t="s">
        <v>59</v>
      </c>
      <c r="B15" s="55">
        <v>1.6</v>
      </c>
      <c r="C15" s="55">
        <v>1.76</v>
      </c>
      <c r="D15" s="55">
        <v>1.35</v>
      </c>
      <c r="E15" s="55">
        <v>1.46</v>
      </c>
      <c r="F15" s="55">
        <v>1.7</v>
      </c>
      <c r="G15" s="55">
        <v>1.6</v>
      </c>
      <c r="H15" s="55">
        <v>1.4</v>
      </c>
      <c r="I15" s="55">
        <v>1.5</v>
      </c>
      <c r="J15" s="55">
        <v>1.6</v>
      </c>
      <c r="K15" s="55">
        <v>1.5</v>
      </c>
      <c r="L15" s="55">
        <v>1.45</v>
      </c>
      <c r="M15" s="55">
        <v>1.4</v>
      </c>
      <c r="N15" s="55">
        <v>1.5</v>
      </c>
      <c r="O15" s="55">
        <v>1.4</v>
      </c>
      <c r="P15" s="55">
        <v>1.5</v>
      </c>
      <c r="Q15" s="55">
        <v>1.6</v>
      </c>
      <c r="R15" s="55">
        <v>1.6</v>
      </c>
      <c r="S15" s="55">
        <v>1.4</v>
      </c>
      <c r="T15" s="55"/>
    </row>
    <row r="16" spans="1:20" s="12" customFormat="1" ht="105" x14ac:dyDescent="0.4">
      <c r="A16" s="63" t="s">
        <v>63</v>
      </c>
      <c r="B16" s="62">
        <f t="shared" ref="B16:O16" si="3">B5*1.2/B15</f>
        <v>387.67123287671228</v>
      </c>
      <c r="C16" s="62">
        <f t="shared" si="3"/>
        <v>39.072229140722293</v>
      </c>
      <c r="D16" s="62">
        <f t="shared" si="3"/>
        <v>289.193302891933</v>
      </c>
      <c r="E16" s="62">
        <f t="shared" si="3"/>
        <v>200.13135672734097</v>
      </c>
      <c r="F16" s="62">
        <f t="shared" si="3"/>
        <v>106.92989524576954</v>
      </c>
      <c r="G16" s="62">
        <f t="shared" si="3"/>
        <v>72.773972602739718</v>
      </c>
      <c r="H16" s="62">
        <f t="shared" si="3"/>
        <v>656.06653620352256</v>
      </c>
      <c r="I16" s="62">
        <f t="shared" si="3"/>
        <v>138.9041095890411</v>
      </c>
      <c r="J16" s="62">
        <f t="shared" si="3"/>
        <v>3263.784246575342</v>
      </c>
      <c r="K16" s="62">
        <f t="shared" si="3"/>
        <v>809.04109589041093</v>
      </c>
      <c r="L16" s="62">
        <f t="shared" si="3"/>
        <v>130.84553613604157</v>
      </c>
      <c r="M16" s="62">
        <f t="shared" si="3"/>
        <v>7.4363992172211351</v>
      </c>
      <c r="N16" s="62">
        <f t="shared" si="3"/>
        <v>5.570776255707762</v>
      </c>
      <c r="O16" s="62">
        <f t="shared" si="3"/>
        <v>11919.17808219178</v>
      </c>
      <c r="P16" s="62">
        <v>2005</v>
      </c>
      <c r="Q16" s="62"/>
      <c r="R16" s="62">
        <f>R5*1.2/R15</f>
        <v>462.32876712328766</v>
      </c>
      <c r="S16" s="62"/>
      <c r="T16" s="62"/>
    </row>
    <row r="17" spans="1:20" s="12" customFormat="1" ht="26.25" hidden="1" x14ac:dyDescent="0.4">
      <c r="A17" s="63" t="s">
        <v>58</v>
      </c>
      <c r="B17" s="62">
        <f>IF(B16&lt;5000,B16,0)</f>
        <v>387.67123287671228</v>
      </c>
      <c r="C17" s="62">
        <f t="shared" ref="C17:T17" si="4">IF(C16&lt;5000,C16,0)</f>
        <v>39.072229140722293</v>
      </c>
      <c r="D17" s="62">
        <f t="shared" si="4"/>
        <v>289.193302891933</v>
      </c>
      <c r="E17" s="62">
        <f t="shared" si="4"/>
        <v>200.13135672734097</v>
      </c>
      <c r="F17" s="62">
        <f t="shared" si="4"/>
        <v>106.92989524576954</v>
      </c>
      <c r="G17" s="62">
        <f t="shared" si="4"/>
        <v>72.773972602739718</v>
      </c>
      <c r="H17" s="62">
        <f t="shared" si="4"/>
        <v>656.06653620352256</v>
      </c>
      <c r="I17" s="62">
        <f t="shared" si="4"/>
        <v>138.9041095890411</v>
      </c>
      <c r="J17" s="62">
        <f t="shared" si="4"/>
        <v>3263.784246575342</v>
      </c>
      <c r="K17" s="62">
        <f t="shared" si="4"/>
        <v>809.04109589041093</v>
      </c>
      <c r="L17" s="62">
        <f t="shared" si="4"/>
        <v>130.84553613604157</v>
      </c>
      <c r="M17" s="62">
        <f t="shared" si="4"/>
        <v>7.4363992172211351</v>
      </c>
      <c r="N17" s="62">
        <f t="shared" si="4"/>
        <v>5.570776255707762</v>
      </c>
      <c r="O17" s="62">
        <f t="shared" si="4"/>
        <v>0</v>
      </c>
      <c r="P17" s="62"/>
      <c r="Q17" s="62">
        <f t="shared" si="4"/>
        <v>0</v>
      </c>
      <c r="R17" s="62">
        <f t="shared" si="4"/>
        <v>462.32876712328766</v>
      </c>
      <c r="S17" s="62">
        <f t="shared" si="4"/>
        <v>0</v>
      </c>
      <c r="T17" s="62">
        <f t="shared" si="4"/>
        <v>0</v>
      </c>
    </row>
    <row r="18" spans="1:20" s="12" customFormat="1" ht="26.25" hidden="1" x14ac:dyDescent="0.4">
      <c r="A18" s="63" t="s">
        <v>57</v>
      </c>
      <c r="B18" s="62">
        <f>IF(B16&gt;5000,B16,0)</f>
        <v>0</v>
      </c>
      <c r="C18" s="62">
        <f t="shared" ref="C18:T18" si="5">IF(C16&gt;5000,C16,0)</f>
        <v>0</v>
      </c>
      <c r="D18" s="62">
        <f t="shared" si="5"/>
        <v>0</v>
      </c>
      <c r="E18" s="62">
        <f t="shared" si="5"/>
        <v>0</v>
      </c>
      <c r="F18" s="62">
        <f t="shared" si="5"/>
        <v>0</v>
      </c>
      <c r="G18" s="62">
        <f t="shared" si="5"/>
        <v>0</v>
      </c>
      <c r="H18" s="62">
        <f t="shared" si="5"/>
        <v>0</v>
      </c>
      <c r="I18" s="62">
        <f t="shared" si="5"/>
        <v>0</v>
      </c>
      <c r="J18" s="62">
        <f t="shared" si="5"/>
        <v>0</v>
      </c>
      <c r="K18" s="62">
        <f t="shared" si="5"/>
        <v>0</v>
      </c>
      <c r="L18" s="62">
        <f t="shared" si="5"/>
        <v>0</v>
      </c>
      <c r="M18" s="62">
        <f t="shared" si="5"/>
        <v>0</v>
      </c>
      <c r="N18" s="62">
        <f t="shared" si="5"/>
        <v>0</v>
      </c>
      <c r="O18" s="62">
        <f t="shared" si="5"/>
        <v>11919.17808219178</v>
      </c>
      <c r="P18" s="62"/>
      <c r="Q18" s="62">
        <f t="shared" si="5"/>
        <v>0</v>
      </c>
      <c r="R18" s="62">
        <f t="shared" si="5"/>
        <v>0</v>
      </c>
      <c r="S18" s="62">
        <f t="shared" si="5"/>
        <v>0</v>
      </c>
      <c r="T18" s="62">
        <f t="shared" si="5"/>
        <v>0</v>
      </c>
    </row>
    <row r="19" spans="1:20" s="12" customFormat="1" ht="78.75" x14ac:dyDescent="0.4">
      <c r="A19" s="63" t="s">
        <v>76</v>
      </c>
      <c r="B19" s="64">
        <f t="shared" ref="B19:N19" si="6">B16/150</f>
        <v>2.5844748858447484</v>
      </c>
      <c r="C19" s="64">
        <f t="shared" si="6"/>
        <v>0.2604815276048153</v>
      </c>
      <c r="D19" s="64">
        <f t="shared" si="6"/>
        <v>1.9279553526128868</v>
      </c>
      <c r="E19" s="64">
        <f t="shared" si="6"/>
        <v>1.3342090448489399</v>
      </c>
      <c r="F19" s="64">
        <f t="shared" si="6"/>
        <v>0.71286596830513027</v>
      </c>
      <c r="G19" s="64">
        <f t="shared" si="6"/>
        <v>0.48515981735159813</v>
      </c>
      <c r="H19" s="64">
        <f t="shared" si="6"/>
        <v>4.3737769080234834</v>
      </c>
      <c r="I19" s="64">
        <f t="shared" si="6"/>
        <v>0.92602739726027394</v>
      </c>
      <c r="J19" s="64">
        <f t="shared" si="6"/>
        <v>21.758561643835613</v>
      </c>
      <c r="K19" s="64">
        <f t="shared" si="6"/>
        <v>5.3936073059360732</v>
      </c>
      <c r="L19" s="64">
        <f t="shared" si="6"/>
        <v>0.87230357424027716</v>
      </c>
      <c r="M19" s="64">
        <f t="shared" si="6"/>
        <v>4.9575994781474231E-2</v>
      </c>
      <c r="N19" s="64">
        <f t="shared" si="6"/>
        <v>3.7138508371385083E-2</v>
      </c>
      <c r="O19" s="64">
        <f>O16/150</f>
        <v>79.461187214611869</v>
      </c>
      <c r="P19" s="64">
        <v>13.36</v>
      </c>
      <c r="Q19" s="64"/>
      <c r="R19" s="64">
        <f>R16/150</f>
        <v>3.0821917808219177</v>
      </c>
      <c r="S19" s="64"/>
      <c r="T19" s="64"/>
    </row>
    <row r="20" spans="1:20" s="12" customFormat="1" ht="78.75" x14ac:dyDescent="0.4">
      <c r="A20" s="63" t="s">
        <v>60</v>
      </c>
      <c r="B20" s="59">
        <v>20</v>
      </c>
      <c r="C20" s="59">
        <v>13</v>
      </c>
      <c r="D20" s="59">
        <v>30</v>
      </c>
      <c r="E20" s="59">
        <v>20</v>
      </c>
      <c r="F20" s="59">
        <v>15</v>
      </c>
      <c r="G20" s="59">
        <v>25</v>
      </c>
      <c r="H20" s="59">
        <v>10</v>
      </c>
      <c r="I20" s="59">
        <v>45</v>
      </c>
      <c r="J20" s="59">
        <v>30</v>
      </c>
      <c r="K20" s="59">
        <v>35</v>
      </c>
      <c r="L20" s="59">
        <v>30</v>
      </c>
      <c r="M20" s="59">
        <v>45</v>
      </c>
      <c r="N20" s="59">
        <v>20</v>
      </c>
      <c r="O20" s="59">
        <v>15</v>
      </c>
      <c r="P20" s="59">
        <v>40</v>
      </c>
      <c r="Q20" s="59">
        <v>40</v>
      </c>
      <c r="R20" s="59">
        <v>40</v>
      </c>
      <c r="S20" s="59">
        <v>50</v>
      </c>
      <c r="T20" s="59"/>
    </row>
    <row r="21" spans="1:20" s="18" customFormat="1" ht="52.5" x14ac:dyDescent="0.4">
      <c r="A21" s="65" t="s">
        <v>61</v>
      </c>
      <c r="B21" s="67">
        <f t="shared" ref="B21:S21" si="7">8.76*(B20/100)</f>
        <v>1.752</v>
      </c>
      <c r="C21" s="67">
        <f t="shared" si="7"/>
        <v>1.1388</v>
      </c>
      <c r="D21" s="67">
        <f t="shared" si="7"/>
        <v>2.6279999999999997</v>
      </c>
      <c r="E21" s="67">
        <f t="shared" si="7"/>
        <v>1.752</v>
      </c>
      <c r="F21" s="67">
        <f t="shared" si="7"/>
        <v>1.3139999999999998</v>
      </c>
      <c r="G21" s="67">
        <f t="shared" si="7"/>
        <v>2.19</v>
      </c>
      <c r="H21" s="67">
        <f t="shared" si="7"/>
        <v>0.876</v>
      </c>
      <c r="I21" s="67">
        <f t="shared" si="7"/>
        <v>3.9420000000000002</v>
      </c>
      <c r="J21" s="67">
        <f t="shared" si="7"/>
        <v>2.6279999999999997</v>
      </c>
      <c r="K21" s="67">
        <f t="shared" si="7"/>
        <v>3.0659999999999998</v>
      </c>
      <c r="L21" s="67">
        <f t="shared" si="7"/>
        <v>2.6279999999999997</v>
      </c>
      <c r="M21" s="67">
        <f t="shared" si="7"/>
        <v>3.9420000000000002</v>
      </c>
      <c r="N21" s="67">
        <f t="shared" si="7"/>
        <v>1.752</v>
      </c>
      <c r="O21" s="67">
        <f t="shared" si="7"/>
        <v>1.3139999999999998</v>
      </c>
      <c r="P21" s="67">
        <v>3.5</v>
      </c>
      <c r="Q21" s="67">
        <f t="shared" si="7"/>
        <v>3.504</v>
      </c>
      <c r="R21" s="67">
        <f t="shared" si="7"/>
        <v>3.504</v>
      </c>
      <c r="S21" s="67">
        <f t="shared" si="7"/>
        <v>4.38</v>
      </c>
      <c r="T21" s="66"/>
    </row>
    <row r="22" spans="1:20" s="12" customFormat="1" ht="105" x14ac:dyDescent="0.4">
      <c r="A22" s="63" t="s">
        <v>62</v>
      </c>
      <c r="B22" s="62">
        <f t="shared" ref="B22:R22" si="8">B5*1.2/B21</f>
        <v>354.03765559517109</v>
      </c>
      <c r="C22" s="62">
        <f t="shared" si="8"/>
        <v>60.385601762970879</v>
      </c>
      <c r="D22" s="62">
        <f t="shared" si="8"/>
        <v>148.55820354037658</v>
      </c>
      <c r="E22" s="62">
        <f t="shared" si="8"/>
        <v>166.77613060611748</v>
      </c>
      <c r="F22" s="62">
        <f t="shared" si="8"/>
        <v>138.3415691916349</v>
      </c>
      <c r="G22" s="62">
        <f t="shared" si="8"/>
        <v>53.168199161818983</v>
      </c>
      <c r="H22" s="62">
        <f t="shared" si="8"/>
        <v>1048.5081628823418</v>
      </c>
      <c r="I22" s="62">
        <f t="shared" si="8"/>
        <v>52.8554450491024</v>
      </c>
      <c r="J22" s="62">
        <f t="shared" si="8"/>
        <v>1987.0832551448052</v>
      </c>
      <c r="K22" s="62">
        <f t="shared" si="8"/>
        <v>395.81266922231458</v>
      </c>
      <c r="L22" s="62">
        <f t="shared" si="8"/>
        <v>72.194074352077749</v>
      </c>
      <c r="M22" s="62">
        <f t="shared" si="8"/>
        <v>2.6410347296066941</v>
      </c>
      <c r="N22" s="62">
        <f t="shared" si="8"/>
        <v>4.7695002189278783</v>
      </c>
      <c r="O22" s="62">
        <f t="shared" si="8"/>
        <v>12699.276495485916</v>
      </c>
      <c r="P22" s="62">
        <v>858</v>
      </c>
      <c r="Q22" s="62">
        <f t="shared" si="8"/>
        <v>0</v>
      </c>
      <c r="R22" s="62">
        <f t="shared" si="8"/>
        <v>211.10902608369301</v>
      </c>
      <c r="S22" s="62"/>
      <c r="T22" s="62"/>
    </row>
    <row r="23" spans="1:20" s="12" customFormat="1" ht="52.5" hidden="1" x14ac:dyDescent="0.4">
      <c r="A23" s="63" t="s">
        <v>49</v>
      </c>
      <c r="B23" s="62">
        <f t="shared" ref="B23:R23" si="9">((B22*100/1.5)*0.25)/B10</f>
        <v>50.867479252179756</v>
      </c>
      <c r="C23" s="62">
        <f t="shared" si="9"/>
        <v>33.547556534983826</v>
      </c>
      <c r="D23" s="62">
        <f t="shared" si="9"/>
        <v>0.97941853599931816</v>
      </c>
      <c r="E23" s="62">
        <f t="shared" si="9"/>
        <v>1.8298895172933671</v>
      </c>
      <c r="F23" s="62">
        <f t="shared" si="9"/>
        <v>2.0172290637450407</v>
      </c>
      <c r="G23" s="62">
        <f t="shared" si="9"/>
        <v>7.3844721058081921</v>
      </c>
      <c r="H23" s="62">
        <f t="shared" si="9"/>
        <v>3.2891278087782858</v>
      </c>
      <c r="I23" s="62">
        <f t="shared" si="9"/>
        <v>2.1024441149205408</v>
      </c>
      <c r="J23" s="62">
        <f t="shared" si="9"/>
        <v>14.6930143089678</v>
      </c>
      <c r="K23" s="62">
        <f t="shared" si="9"/>
        <v>2.6126248793552116</v>
      </c>
      <c r="L23" s="62">
        <f t="shared" si="9"/>
        <v>0.19686429524454013</v>
      </c>
      <c r="M23" s="62">
        <f t="shared" si="9"/>
        <v>0.68776946083507662</v>
      </c>
      <c r="N23" s="62">
        <f t="shared" si="9"/>
        <v>3.312152929811027</v>
      </c>
      <c r="O23" s="62">
        <f t="shared" si="9"/>
        <v>41.082028000407334</v>
      </c>
      <c r="P23" s="62"/>
      <c r="Q23" s="62">
        <f t="shared" si="9"/>
        <v>0</v>
      </c>
      <c r="R23" s="62">
        <f t="shared" si="9"/>
        <v>30.331756621220265</v>
      </c>
      <c r="S23" s="62"/>
      <c r="T23" s="62"/>
    </row>
    <row r="24" spans="1:20" s="15" customFormat="1" ht="53.25" thickBot="1" x14ac:dyDescent="0.45">
      <c r="A24" s="65" t="s">
        <v>64</v>
      </c>
      <c r="B24" s="67">
        <f t="shared" ref="B24:R24" si="10">B23*B10/100</f>
        <v>59.006275932528517</v>
      </c>
      <c r="C24" s="67">
        <f t="shared" si="10"/>
        <v>10.064266960495148</v>
      </c>
      <c r="D24" s="67">
        <f t="shared" si="10"/>
        <v>24.759700590062764</v>
      </c>
      <c r="E24" s="67">
        <f t="shared" si="10"/>
        <v>27.796021767686248</v>
      </c>
      <c r="F24" s="67">
        <f t="shared" si="10"/>
        <v>23.056928198605814</v>
      </c>
      <c r="G24" s="67">
        <f t="shared" si="10"/>
        <v>8.8613665269698316</v>
      </c>
      <c r="H24" s="67">
        <f t="shared" si="10"/>
        <v>174.75136048039033</v>
      </c>
      <c r="I24" s="67">
        <f t="shared" si="10"/>
        <v>8.8092408415170667</v>
      </c>
      <c r="J24" s="67">
        <f t="shared" si="10"/>
        <v>331.18054252413424</v>
      </c>
      <c r="K24" s="67">
        <f t="shared" si="10"/>
        <v>65.968778203719097</v>
      </c>
      <c r="L24" s="67">
        <f t="shared" si="10"/>
        <v>12.032345725346293</v>
      </c>
      <c r="M24" s="67">
        <f t="shared" si="10"/>
        <v>0.44017245493444901</v>
      </c>
      <c r="N24" s="67">
        <f t="shared" si="10"/>
        <v>0.79491670315464646</v>
      </c>
      <c r="O24" s="67">
        <f t="shared" si="10"/>
        <v>2116.546082580986</v>
      </c>
      <c r="P24" s="67">
        <v>143</v>
      </c>
      <c r="Q24" s="67">
        <f t="shared" si="10"/>
        <v>0</v>
      </c>
      <c r="R24" s="67">
        <f t="shared" si="10"/>
        <v>35.184837680615509</v>
      </c>
      <c r="S24" s="68"/>
      <c r="T24" s="68"/>
    </row>
    <row r="43" spans="1:20" s="2" customFormat="1" ht="23.25" x14ac:dyDescent="0.35">
      <c r="A43" s="7"/>
      <c r="B43" s="4"/>
      <c r="C43" s="4"/>
      <c r="D43" s="3"/>
      <c r="E43" s="3"/>
      <c r="T43" s="3"/>
    </row>
    <row r="44" spans="1:20" s="2" customFormat="1" ht="23.25" x14ac:dyDescent="0.35"/>
    <row r="45" spans="1:20" s="2" customFormat="1" ht="23.25" x14ac:dyDescent="0.35"/>
    <row r="46" spans="1:20" s="2" customFormat="1" ht="23.25" x14ac:dyDescent="0.35">
      <c r="A46" s="7"/>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A3A0-E7EB-408B-ADC3-88192BF50B22}">
  <dimension ref="A1:W65"/>
  <sheetViews>
    <sheetView tabSelected="1" zoomScale="55" zoomScaleNormal="55" workbookViewId="0">
      <pane ySplit="1" topLeftCell="A2" activePane="bottomLeft" state="frozen"/>
      <selection pane="bottomLeft" activeCell="F22" sqref="F22"/>
    </sheetView>
  </sheetViews>
  <sheetFormatPr defaultRowHeight="15.75" x14ac:dyDescent="0.25"/>
  <cols>
    <col min="1" max="1" width="54.25" customWidth="1"/>
    <col min="2" max="2" width="20.125" bestFit="1" customWidth="1"/>
    <col min="3" max="3" width="21.375" bestFit="1" customWidth="1"/>
    <col min="4" max="4" width="57.125" bestFit="1" customWidth="1"/>
    <col min="5" max="6" width="23" bestFit="1" customWidth="1"/>
    <col min="7" max="7" width="17.25" bestFit="1" customWidth="1"/>
    <col min="8" max="8" width="11.75" bestFit="1" customWidth="1"/>
    <col min="9" max="22" width="25.5" customWidth="1"/>
    <col min="23" max="23" width="23.75" customWidth="1"/>
  </cols>
  <sheetData>
    <row r="1" spans="1:23" s="8" customFormat="1" ht="102" thickBot="1" x14ac:dyDescent="0.3">
      <c r="A1" s="8" t="s">
        <v>25</v>
      </c>
      <c r="C1" s="8" t="s">
        <v>24</v>
      </c>
      <c r="D1" s="8" t="s">
        <v>77</v>
      </c>
      <c r="E1" s="8" t="s">
        <v>17</v>
      </c>
      <c r="F1" s="8" t="s">
        <v>16</v>
      </c>
      <c r="G1" s="8" t="s">
        <v>15</v>
      </c>
      <c r="H1" s="8" t="s">
        <v>14</v>
      </c>
      <c r="I1" s="8" t="s">
        <v>13</v>
      </c>
      <c r="J1" s="8" t="s">
        <v>12</v>
      </c>
      <c r="K1" s="8" t="s">
        <v>11</v>
      </c>
      <c r="L1" s="8" t="s">
        <v>10</v>
      </c>
      <c r="M1" s="8" t="s">
        <v>9</v>
      </c>
      <c r="N1" s="8" t="s">
        <v>7</v>
      </c>
      <c r="O1" s="8" t="s">
        <v>6</v>
      </c>
      <c r="P1" s="8" t="s">
        <v>5</v>
      </c>
      <c r="Q1" s="8" t="s">
        <v>4</v>
      </c>
      <c r="R1" s="8" t="s">
        <v>2</v>
      </c>
      <c r="S1" s="8" t="s">
        <v>85</v>
      </c>
      <c r="T1" s="8" t="s">
        <v>1</v>
      </c>
      <c r="U1" s="8" t="s">
        <v>8</v>
      </c>
      <c r="V1" s="8" t="s">
        <v>3</v>
      </c>
      <c r="W1" s="8" t="s">
        <v>18</v>
      </c>
    </row>
    <row r="2" spans="1:23" s="1" customFormat="1" ht="113.45" customHeight="1" x14ac:dyDescent="0.6">
      <c r="A2" s="23" t="s">
        <v>29</v>
      </c>
      <c r="B2" s="41" t="s">
        <v>52</v>
      </c>
      <c r="C2" s="42" t="s">
        <v>53</v>
      </c>
      <c r="D2" s="32"/>
      <c r="E2" s="31"/>
      <c r="F2" s="31"/>
      <c r="G2" s="31"/>
      <c r="H2" s="31"/>
      <c r="I2" s="31"/>
      <c r="J2" s="31"/>
      <c r="K2" s="31"/>
      <c r="L2" s="31"/>
      <c r="M2" s="31"/>
      <c r="N2" s="31"/>
      <c r="O2" s="31"/>
      <c r="P2" s="31"/>
      <c r="Q2" s="31"/>
      <c r="R2" s="31"/>
      <c r="S2" s="31"/>
      <c r="T2" s="33" t="s">
        <v>56</v>
      </c>
      <c r="U2" s="33" t="s">
        <v>56</v>
      </c>
      <c r="V2" s="33" t="s">
        <v>56</v>
      </c>
      <c r="W2" s="34"/>
    </row>
    <row r="3" spans="1:23" s="6" customFormat="1" ht="26.25" x14ac:dyDescent="0.4">
      <c r="A3" s="27" t="s">
        <v>44</v>
      </c>
      <c r="B3" s="35"/>
      <c r="C3" s="10" t="s">
        <v>26</v>
      </c>
      <c r="D3" s="35"/>
      <c r="E3" s="36">
        <v>4129</v>
      </c>
      <c r="F3" s="37">
        <v>1074</v>
      </c>
      <c r="G3" s="36">
        <v>3259</v>
      </c>
      <c r="H3" s="36">
        <v>3537</v>
      </c>
      <c r="I3" s="36">
        <v>1041</v>
      </c>
      <c r="J3" s="36">
        <v>1528</v>
      </c>
      <c r="K3" s="36">
        <v>4622</v>
      </c>
      <c r="L3" s="36">
        <v>2083</v>
      </c>
      <c r="M3" s="36">
        <v>75117</v>
      </c>
      <c r="N3" s="36">
        <v>12380</v>
      </c>
      <c r="O3" s="36">
        <v>2555</v>
      </c>
      <c r="P3" s="36">
        <v>107</v>
      </c>
      <c r="Q3" s="36">
        <v>137</v>
      </c>
      <c r="R3" s="36">
        <v>100356</v>
      </c>
      <c r="S3" s="36">
        <v>36275</v>
      </c>
      <c r="T3" s="36">
        <v>28.67</v>
      </c>
      <c r="U3" s="36"/>
      <c r="V3" s="36"/>
      <c r="W3" s="46"/>
    </row>
    <row r="4" spans="1:23" s="7" customFormat="1" ht="26.25" x14ac:dyDescent="0.4">
      <c r="A4" s="28"/>
      <c r="B4" s="38"/>
      <c r="C4" s="12" t="s">
        <v>19</v>
      </c>
      <c r="D4" s="12"/>
      <c r="E4" s="39">
        <f>E3/3.61</f>
        <v>1143.7673130193907</v>
      </c>
      <c r="F4" s="39">
        <f t="shared" ref="F4:S4" si="0">F3/3.61</f>
        <v>297.50692520775624</v>
      </c>
      <c r="G4" s="39">
        <f t="shared" si="0"/>
        <v>902.77008310249312</v>
      </c>
      <c r="H4" s="39">
        <f t="shared" si="0"/>
        <v>979.77839335180056</v>
      </c>
      <c r="I4" s="39">
        <f t="shared" si="0"/>
        <v>288.3656509695291</v>
      </c>
      <c r="J4" s="39">
        <f t="shared" si="0"/>
        <v>423.26869806094186</v>
      </c>
      <c r="K4" s="39">
        <f t="shared" si="0"/>
        <v>1280.3324099722993</v>
      </c>
      <c r="L4" s="39">
        <f t="shared" si="0"/>
        <v>577.00831024930756</v>
      </c>
      <c r="M4" s="39">
        <f t="shared" si="0"/>
        <v>20808.033240997229</v>
      </c>
      <c r="N4" s="39">
        <f t="shared" si="0"/>
        <v>3429.3628808864269</v>
      </c>
      <c r="O4" s="39">
        <f t="shared" si="0"/>
        <v>707.75623268698064</v>
      </c>
      <c r="P4" s="39">
        <f t="shared" si="0"/>
        <v>29.639889196675902</v>
      </c>
      <c r="Q4" s="39">
        <f t="shared" si="0"/>
        <v>37.950138504155127</v>
      </c>
      <c r="R4" s="39">
        <f t="shared" si="0"/>
        <v>27799.445983379501</v>
      </c>
      <c r="S4" s="39">
        <f t="shared" si="0"/>
        <v>10048.47645429363</v>
      </c>
      <c r="T4" s="39"/>
      <c r="U4" s="39">
        <f>U3/8.76</f>
        <v>0</v>
      </c>
      <c r="V4" s="39">
        <f t="shared" ref="V4" si="1">V3/8.76</f>
        <v>0</v>
      </c>
      <c r="W4" s="47"/>
    </row>
    <row r="5" spans="1:23" s="5" customFormat="1" ht="26.25" x14ac:dyDescent="0.4">
      <c r="A5" s="45" t="s">
        <v>43</v>
      </c>
      <c r="B5" s="10"/>
      <c r="C5" s="10" t="s">
        <v>26</v>
      </c>
      <c r="D5" s="10"/>
      <c r="E5" s="37">
        <v>4528</v>
      </c>
      <c r="F5" s="37">
        <v>502</v>
      </c>
      <c r="G5" s="37">
        <v>2850</v>
      </c>
      <c r="H5" s="37">
        <v>2133</v>
      </c>
      <c r="I5" s="37">
        <v>1327</v>
      </c>
      <c r="J5" s="37">
        <v>850</v>
      </c>
      <c r="K5" s="37">
        <v>6705</v>
      </c>
      <c r="L5" s="37">
        <v>1521</v>
      </c>
      <c r="M5" s="37">
        <v>38121</v>
      </c>
      <c r="N5" s="37">
        <v>8859</v>
      </c>
      <c r="O5" s="37">
        <v>1385</v>
      </c>
      <c r="P5" s="37">
        <v>76</v>
      </c>
      <c r="Q5" s="37">
        <v>61</v>
      </c>
      <c r="R5" s="37">
        <v>121814</v>
      </c>
      <c r="S5" s="37">
        <v>21951</v>
      </c>
      <c r="T5" s="36"/>
      <c r="U5" s="36">
        <v>5400</v>
      </c>
      <c r="V5" s="36"/>
      <c r="W5" s="11"/>
    </row>
    <row r="6" spans="1:23" s="2" customFormat="1" ht="26.25" x14ac:dyDescent="0.4">
      <c r="A6" s="29"/>
      <c r="B6" s="12"/>
      <c r="C6" s="12" t="s">
        <v>19</v>
      </c>
      <c r="D6" s="12"/>
      <c r="E6" s="13">
        <f>E5/3.61</f>
        <v>1254.2936288088642</v>
      </c>
      <c r="F6" s="13">
        <f t="shared" ref="F6:S6" si="2">F5/3.61</f>
        <v>139.05817174515235</v>
      </c>
      <c r="G6" s="13">
        <f t="shared" si="2"/>
        <v>789.47368421052636</v>
      </c>
      <c r="H6" s="13">
        <f t="shared" si="2"/>
        <v>590.85872576177292</v>
      </c>
      <c r="I6" s="13">
        <f t="shared" si="2"/>
        <v>367.59002770083106</v>
      </c>
      <c r="J6" s="13">
        <f t="shared" si="2"/>
        <v>235.45706371191136</v>
      </c>
      <c r="K6" s="13">
        <f t="shared" si="2"/>
        <v>1857.3407202216067</v>
      </c>
      <c r="L6" s="13">
        <f t="shared" si="2"/>
        <v>421.3296398891967</v>
      </c>
      <c r="M6" s="13">
        <f t="shared" si="2"/>
        <v>10559.83379501385</v>
      </c>
      <c r="N6" s="13">
        <f t="shared" si="2"/>
        <v>2454.0166204986149</v>
      </c>
      <c r="O6" s="13">
        <f t="shared" si="2"/>
        <v>383.65650969529088</v>
      </c>
      <c r="P6" s="13">
        <f t="shared" si="2"/>
        <v>21.05263157894737</v>
      </c>
      <c r="Q6" s="13">
        <f t="shared" si="2"/>
        <v>16.897506925207757</v>
      </c>
      <c r="R6" s="13">
        <f t="shared" si="2"/>
        <v>33743.490304709143</v>
      </c>
      <c r="S6" s="13">
        <f t="shared" si="2"/>
        <v>6080.6094182825491</v>
      </c>
      <c r="T6" s="39"/>
      <c r="U6" s="39">
        <f>U5*1000/8760</f>
        <v>616.43835616438355</v>
      </c>
      <c r="V6" s="39">
        <f>V5*1000/8760</f>
        <v>0</v>
      </c>
      <c r="W6" s="17"/>
    </row>
    <row r="7" spans="1:23" s="5" customFormat="1" ht="26.25" x14ac:dyDescent="0.4">
      <c r="A7" s="27" t="s">
        <v>47</v>
      </c>
      <c r="B7" s="10"/>
      <c r="C7" s="10" t="s">
        <v>26</v>
      </c>
      <c r="D7" s="10"/>
      <c r="E7" s="37">
        <v>1696</v>
      </c>
      <c r="F7" s="37">
        <v>4</v>
      </c>
      <c r="G7" s="37">
        <v>920</v>
      </c>
      <c r="H7" s="37">
        <v>1</v>
      </c>
      <c r="I7" s="37">
        <v>560</v>
      </c>
      <c r="J7" s="37">
        <v>38</v>
      </c>
      <c r="K7" s="37">
        <v>3319</v>
      </c>
      <c r="L7" s="37">
        <v>34</v>
      </c>
      <c r="M7" s="37">
        <v>243</v>
      </c>
      <c r="N7" s="37">
        <v>766</v>
      </c>
      <c r="O7" s="37">
        <v>39</v>
      </c>
      <c r="P7" s="37">
        <v>2</v>
      </c>
      <c r="Q7" s="37">
        <v>7</v>
      </c>
      <c r="R7" s="37">
        <v>56230</v>
      </c>
      <c r="S7" s="37">
        <v>6452</v>
      </c>
      <c r="T7" s="36">
        <v>0.57999999999999996</v>
      </c>
      <c r="U7" s="36">
        <v>27</v>
      </c>
      <c r="V7" s="36"/>
      <c r="W7" s="11"/>
    </row>
    <row r="8" spans="1:23" s="2" customFormat="1" ht="23.25" x14ac:dyDescent="0.35">
      <c r="A8" s="21"/>
      <c r="B8" s="12"/>
      <c r="C8" s="12" t="s">
        <v>19</v>
      </c>
      <c r="D8" s="12"/>
      <c r="E8" s="13">
        <f>E7/3.61</f>
        <v>469.80609418282552</v>
      </c>
      <c r="F8" s="13">
        <f t="shared" ref="F8:S8" si="3">F7/3.61</f>
        <v>1.10803324099723</v>
      </c>
      <c r="G8" s="13">
        <f t="shared" si="3"/>
        <v>254.8476454293629</v>
      </c>
      <c r="H8" s="13">
        <f t="shared" si="3"/>
        <v>0.2770083102493075</v>
      </c>
      <c r="I8" s="13">
        <f t="shared" si="3"/>
        <v>155.1246537396122</v>
      </c>
      <c r="J8" s="13">
        <f t="shared" si="3"/>
        <v>10.526315789473685</v>
      </c>
      <c r="K8" s="13">
        <f t="shared" si="3"/>
        <v>919.3905817174516</v>
      </c>
      <c r="L8" s="13">
        <f t="shared" si="3"/>
        <v>9.418282548476455</v>
      </c>
      <c r="M8" s="13">
        <f t="shared" si="3"/>
        <v>67.313019390581715</v>
      </c>
      <c r="N8" s="13">
        <f t="shared" si="3"/>
        <v>212.18836565096953</v>
      </c>
      <c r="O8" s="13">
        <f t="shared" si="3"/>
        <v>10.803324099722992</v>
      </c>
      <c r="P8" s="13">
        <f t="shared" si="3"/>
        <v>0.554016620498615</v>
      </c>
      <c r="Q8" s="13">
        <f t="shared" si="3"/>
        <v>1.9390581717451525</v>
      </c>
      <c r="R8" s="13">
        <f t="shared" si="3"/>
        <v>15576.177285318559</v>
      </c>
      <c r="S8" s="13">
        <f t="shared" si="3"/>
        <v>1787.2576177285318</v>
      </c>
      <c r="T8" s="39"/>
      <c r="U8" s="39">
        <f>U7/8.76</f>
        <v>3.0821917808219177</v>
      </c>
      <c r="V8" s="39">
        <f>V7/8.76</f>
        <v>0</v>
      </c>
      <c r="W8" s="17"/>
    </row>
    <row r="9" spans="1:23" s="2" customFormat="1" ht="28.5" x14ac:dyDescent="0.45">
      <c r="A9" s="27" t="s">
        <v>110</v>
      </c>
      <c r="B9" s="12"/>
      <c r="C9" s="12" t="s">
        <v>26</v>
      </c>
      <c r="D9" s="12"/>
      <c r="E9" s="94">
        <v>337.20000000000005</v>
      </c>
      <c r="F9" s="94">
        <v>137.6</v>
      </c>
      <c r="G9" s="94">
        <v>266.40000000000003</v>
      </c>
      <c r="H9" s="94">
        <v>421.20000000000005</v>
      </c>
      <c r="I9" s="94">
        <v>120.4</v>
      </c>
      <c r="J9" s="94">
        <v>139.20000000000002</v>
      </c>
      <c r="K9" s="94">
        <v>406</v>
      </c>
      <c r="L9" s="94">
        <v>237.60000000000002</v>
      </c>
      <c r="M9" s="94">
        <v>15514</v>
      </c>
      <c r="N9" s="94">
        <v>1817.6000000000001</v>
      </c>
      <c r="O9" s="94">
        <v>332</v>
      </c>
      <c r="P9" s="94">
        <v>13.600000000000001</v>
      </c>
      <c r="Q9" s="94">
        <v>36.800000000000004</v>
      </c>
      <c r="R9" s="94">
        <v>13680.400000000001</v>
      </c>
      <c r="S9" s="94">
        <v>1576.8000000000002</v>
      </c>
      <c r="T9" s="39"/>
      <c r="U9" s="39"/>
      <c r="V9" s="39"/>
      <c r="W9" s="12"/>
    </row>
    <row r="10" spans="1:23" s="2" customFormat="1" ht="29.25" thickBot="1" x14ac:dyDescent="0.5">
      <c r="A10" s="27"/>
      <c r="B10" s="12"/>
      <c r="C10" s="12" t="s">
        <v>19</v>
      </c>
      <c r="D10" s="12"/>
      <c r="E10" s="94">
        <f>E9/3.61</f>
        <v>93.407202216066494</v>
      </c>
      <c r="F10" s="94">
        <f t="shared" ref="F10:S10" si="4">F9/3.61</f>
        <v>38.116343490304708</v>
      </c>
      <c r="G10" s="94">
        <f t="shared" si="4"/>
        <v>73.795013850415529</v>
      </c>
      <c r="H10" s="94">
        <f t="shared" si="4"/>
        <v>116.67590027700832</v>
      </c>
      <c r="I10" s="94">
        <f t="shared" si="4"/>
        <v>33.35180055401662</v>
      </c>
      <c r="J10" s="94">
        <f t="shared" si="4"/>
        <v>38.55955678670361</v>
      </c>
      <c r="K10" s="94">
        <f t="shared" si="4"/>
        <v>112.46537396121884</v>
      </c>
      <c r="L10" s="94">
        <f t="shared" si="4"/>
        <v>65.817174515235465</v>
      </c>
      <c r="M10" s="94">
        <f t="shared" si="4"/>
        <v>4297.5069252077565</v>
      </c>
      <c r="N10" s="94">
        <f t="shared" si="4"/>
        <v>503.49030470914136</v>
      </c>
      <c r="O10" s="94">
        <f t="shared" si="4"/>
        <v>91.96675900277009</v>
      </c>
      <c r="P10" s="94">
        <f t="shared" si="4"/>
        <v>3.7673130193905822</v>
      </c>
      <c r="Q10" s="94">
        <f t="shared" si="4"/>
        <v>10.193905817174517</v>
      </c>
      <c r="R10" s="94">
        <f t="shared" si="4"/>
        <v>3789.5844875346265</v>
      </c>
      <c r="S10" s="94">
        <f t="shared" si="4"/>
        <v>436.78670360110812</v>
      </c>
      <c r="T10" s="39"/>
      <c r="U10" s="39"/>
      <c r="V10" s="39"/>
      <c r="W10" s="12"/>
    </row>
    <row r="11" spans="1:23" s="9" customFormat="1" ht="39" x14ac:dyDescent="0.6">
      <c r="A11" s="23" t="s">
        <v>33</v>
      </c>
      <c r="B11" s="40" t="s">
        <v>51</v>
      </c>
    </row>
    <row r="12" spans="1:23" s="10" customFormat="1" ht="26.25" x14ac:dyDescent="0.4">
      <c r="A12" s="27" t="s">
        <v>41</v>
      </c>
      <c r="C12" s="10" t="s">
        <v>23</v>
      </c>
      <c r="D12" s="27" t="s">
        <v>41</v>
      </c>
      <c r="E12" s="10">
        <v>224</v>
      </c>
      <c r="F12" s="10">
        <v>21</v>
      </c>
      <c r="G12" s="10">
        <v>12189</v>
      </c>
      <c r="H12" s="10">
        <v>459</v>
      </c>
      <c r="I12" s="10">
        <v>811</v>
      </c>
      <c r="J12" s="10">
        <v>236</v>
      </c>
      <c r="K12" s="10">
        <v>27986</v>
      </c>
      <c r="L12" s="10">
        <v>717</v>
      </c>
      <c r="M12" s="10">
        <v>18275</v>
      </c>
      <c r="N12" s="10">
        <v>3827</v>
      </c>
      <c r="O12" s="10">
        <v>702</v>
      </c>
      <c r="P12" s="10">
        <v>260</v>
      </c>
      <c r="Q12" s="10">
        <v>26</v>
      </c>
      <c r="R12" s="10">
        <v>452860</v>
      </c>
      <c r="S12" s="10">
        <v>18274</v>
      </c>
      <c r="T12" s="10">
        <v>544</v>
      </c>
      <c r="U12" s="10">
        <v>224</v>
      </c>
      <c r="V12" s="10">
        <v>464</v>
      </c>
      <c r="W12" s="10">
        <v>181</v>
      </c>
    </row>
    <row r="13" spans="1:23" s="12" customFormat="1" ht="26.25" x14ac:dyDescent="0.4">
      <c r="A13" s="29" t="s">
        <v>42</v>
      </c>
      <c r="C13" s="12" t="s">
        <v>23</v>
      </c>
      <c r="D13" s="29" t="s">
        <v>42</v>
      </c>
      <c r="E13" s="12">
        <v>0</v>
      </c>
      <c r="F13" s="12">
        <v>0</v>
      </c>
      <c r="G13" s="12">
        <v>0</v>
      </c>
      <c r="H13" s="12">
        <v>0</v>
      </c>
      <c r="I13" s="12">
        <v>0</v>
      </c>
      <c r="J13" s="12">
        <v>0</v>
      </c>
      <c r="K13" s="12">
        <v>910</v>
      </c>
      <c r="L13" s="12">
        <v>30</v>
      </c>
      <c r="M13" s="12">
        <v>300</v>
      </c>
      <c r="N13" s="12">
        <v>340</v>
      </c>
      <c r="O13" s="12">
        <v>0</v>
      </c>
      <c r="P13" s="12">
        <v>0</v>
      </c>
      <c r="Q13" s="12">
        <v>0</v>
      </c>
      <c r="R13" s="12">
        <v>9980</v>
      </c>
      <c r="S13" s="12">
        <v>0</v>
      </c>
      <c r="T13" s="12">
        <v>0</v>
      </c>
      <c r="U13" s="12">
        <v>0</v>
      </c>
      <c r="V13" s="12">
        <v>0</v>
      </c>
      <c r="W13" s="12">
        <v>0</v>
      </c>
    </row>
    <row r="14" spans="1:23" s="10" customFormat="1" ht="26.25" x14ac:dyDescent="0.4">
      <c r="A14" s="27" t="s">
        <v>39</v>
      </c>
      <c r="C14" s="10" t="s">
        <v>40</v>
      </c>
      <c r="D14" s="27" t="s">
        <v>39</v>
      </c>
      <c r="E14" s="10">
        <v>116</v>
      </c>
      <c r="F14" s="10">
        <v>30</v>
      </c>
      <c r="G14" s="10">
        <v>2528</v>
      </c>
      <c r="H14" s="10">
        <v>1519</v>
      </c>
      <c r="I14" s="10">
        <v>1143</v>
      </c>
      <c r="J14" s="10">
        <v>120</v>
      </c>
      <c r="K14" s="10">
        <v>5313</v>
      </c>
      <c r="L14" s="10">
        <v>419</v>
      </c>
      <c r="M14" s="10">
        <v>2254</v>
      </c>
      <c r="N14" s="10">
        <v>2525</v>
      </c>
      <c r="O14" s="10">
        <v>6112</v>
      </c>
      <c r="P14" s="10">
        <v>64</v>
      </c>
      <c r="Q14" s="10">
        <v>24</v>
      </c>
      <c r="R14" s="10">
        <v>5152</v>
      </c>
      <c r="S14" s="10">
        <v>1129</v>
      </c>
      <c r="T14" s="10">
        <v>125.5</v>
      </c>
      <c r="U14" s="10">
        <v>116</v>
      </c>
      <c r="V14" s="10">
        <v>1482</v>
      </c>
      <c r="W14" s="10">
        <v>370</v>
      </c>
    </row>
    <row r="15" spans="1:23" s="12" customFormat="1" ht="26.25" x14ac:dyDescent="0.4">
      <c r="A15" s="28" t="s">
        <v>34</v>
      </c>
      <c r="C15" s="12" t="s">
        <v>31</v>
      </c>
      <c r="D15" s="28" t="s">
        <v>78</v>
      </c>
      <c r="E15" s="12">
        <v>15</v>
      </c>
      <c r="F15" s="12">
        <v>0</v>
      </c>
      <c r="G15" s="12">
        <v>1.6</v>
      </c>
      <c r="H15" s="12">
        <v>2.2000000000000002</v>
      </c>
      <c r="I15" s="12">
        <v>2.5</v>
      </c>
      <c r="J15" s="12">
        <v>4.2</v>
      </c>
      <c r="K15" s="12">
        <v>0.7</v>
      </c>
      <c r="L15" s="12">
        <v>22.2</v>
      </c>
      <c r="M15" s="12">
        <v>0.4</v>
      </c>
      <c r="N15" s="12">
        <v>0.7</v>
      </c>
      <c r="O15" s="12">
        <v>2.2999999999999998</v>
      </c>
      <c r="P15" s="12">
        <v>3.8</v>
      </c>
      <c r="Q15" s="12">
        <v>0</v>
      </c>
      <c r="R15" s="12">
        <v>0.7</v>
      </c>
      <c r="S15" s="12">
        <v>9</v>
      </c>
      <c r="T15" s="12">
        <v>1.9</v>
      </c>
      <c r="U15" s="12">
        <v>15</v>
      </c>
      <c r="V15" s="12">
        <v>2.2000000000000002</v>
      </c>
      <c r="W15" s="12">
        <v>7.8</v>
      </c>
    </row>
    <row r="16" spans="1:23" s="10" customFormat="1" ht="26.25" x14ac:dyDescent="0.4">
      <c r="A16" s="27" t="s">
        <v>36</v>
      </c>
      <c r="C16" s="10" t="s">
        <v>31</v>
      </c>
      <c r="D16" s="27" t="s">
        <v>79</v>
      </c>
      <c r="E16" s="10">
        <v>9.5</v>
      </c>
      <c r="F16" s="10">
        <v>20</v>
      </c>
      <c r="G16" s="10">
        <v>10.3</v>
      </c>
      <c r="H16" s="10">
        <v>4.3</v>
      </c>
      <c r="I16" s="10">
        <v>39.5</v>
      </c>
      <c r="J16" s="10">
        <v>4.2</v>
      </c>
      <c r="K16" s="10">
        <v>2.9</v>
      </c>
      <c r="L16" s="10">
        <v>15.3</v>
      </c>
      <c r="M16" s="10">
        <v>0.2</v>
      </c>
      <c r="N16" s="10">
        <v>6.3</v>
      </c>
      <c r="O16" s="10">
        <v>19.7</v>
      </c>
      <c r="P16" s="10">
        <v>11.5</v>
      </c>
      <c r="Q16" s="10">
        <v>60</v>
      </c>
      <c r="R16" s="10">
        <v>1.5</v>
      </c>
      <c r="S16" s="10">
        <v>4.7</v>
      </c>
      <c r="T16" s="10">
        <v>16.7</v>
      </c>
      <c r="U16" s="10">
        <v>9.5</v>
      </c>
      <c r="V16" s="10">
        <v>2.2000000000000002</v>
      </c>
      <c r="W16" s="10">
        <v>31.2</v>
      </c>
    </row>
    <row r="17" spans="1:23" s="12" customFormat="1" ht="26.25" x14ac:dyDescent="0.4">
      <c r="A17" s="28" t="s">
        <v>37</v>
      </c>
      <c r="C17" s="12" t="s">
        <v>31</v>
      </c>
      <c r="D17" s="28" t="s">
        <v>80</v>
      </c>
      <c r="E17" s="12">
        <v>0</v>
      </c>
      <c r="F17" s="12">
        <v>0</v>
      </c>
      <c r="G17" s="12">
        <v>3.4</v>
      </c>
      <c r="H17" s="12">
        <v>4.3</v>
      </c>
      <c r="I17" s="12">
        <v>0</v>
      </c>
      <c r="J17" s="12">
        <v>0</v>
      </c>
      <c r="K17" s="12">
        <v>0.3</v>
      </c>
      <c r="L17" s="12">
        <v>5.6</v>
      </c>
      <c r="M17" s="12">
        <v>9.8000000000000007</v>
      </c>
      <c r="N17" s="12">
        <v>5.5</v>
      </c>
      <c r="O17" s="12">
        <v>3.5</v>
      </c>
      <c r="P17" s="12">
        <v>3.8</v>
      </c>
      <c r="Q17" s="12">
        <v>0</v>
      </c>
      <c r="R17" s="12">
        <v>0.4</v>
      </c>
      <c r="S17" s="12">
        <v>9.6</v>
      </c>
      <c r="T17" s="12">
        <v>14.8</v>
      </c>
      <c r="U17" s="12">
        <v>0</v>
      </c>
      <c r="V17" s="12">
        <v>2.2000000000000002</v>
      </c>
      <c r="W17" s="12">
        <v>11.7</v>
      </c>
    </row>
    <row r="18" spans="1:23" s="10" customFormat="1" ht="26.25" x14ac:dyDescent="0.4">
      <c r="A18" s="27" t="s">
        <v>35</v>
      </c>
      <c r="C18" s="10" t="s">
        <v>31</v>
      </c>
      <c r="D18" s="27" t="s">
        <v>81</v>
      </c>
      <c r="E18" s="10">
        <v>75.5</v>
      </c>
      <c r="F18" s="10">
        <v>0</v>
      </c>
      <c r="G18" s="10">
        <v>36.1</v>
      </c>
      <c r="H18" s="10">
        <v>87.6</v>
      </c>
      <c r="I18" s="10">
        <v>15</v>
      </c>
      <c r="J18" s="10">
        <v>64.599999999999994</v>
      </c>
      <c r="K18" s="10">
        <v>78.900000000000006</v>
      </c>
      <c r="L18" s="10">
        <v>12.5</v>
      </c>
      <c r="M18" s="10">
        <v>45.9</v>
      </c>
      <c r="N18" s="10">
        <v>43.7</v>
      </c>
      <c r="O18" s="10">
        <v>74.5</v>
      </c>
      <c r="P18" s="10">
        <v>71.2</v>
      </c>
      <c r="Q18" s="10">
        <v>33.299999999999997</v>
      </c>
      <c r="R18" s="10">
        <v>63.1</v>
      </c>
      <c r="S18" s="10">
        <v>55.7</v>
      </c>
      <c r="T18" s="10">
        <v>47.9</v>
      </c>
      <c r="U18" s="10">
        <v>75.5</v>
      </c>
      <c r="V18" s="10">
        <v>65.5</v>
      </c>
      <c r="W18" s="10">
        <v>49.3</v>
      </c>
    </row>
    <row r="19" spans="1:23" s="12" customFormat="1" ht="26.25" x14ac:dyDescent="0.4">
      <c r="A19" s="28" t="s">
        <v>38</v>
      </c>
      <c r="C19" s="12" t="s">
        <v>31</v>
      </c>
      <c r="D19" s="28" t="s">
        <v>82</v>
      </c>
      <c r="E19" s="12">
        <v>0</v>
      </c>
      <c r="F19" s="12">
        <v>80</v>
      </c>
      <c r="G19" s="12">
        <v>48.6</v>
      </c>
      <c r="H19" s="12">
        <v>1.6</v>
      </c>
      <c r="I19" s="12">
        <v>43</v>
      </c>
      <c r="J19" s="12">
        <v>27</v>
      </c>
      <c r="K19" s="12">
        <v>17.2</v>
      </c>
      <c r="L19" s="12">
        <v>44.4</v>
      </c>
      <c r="M19" s="12">
        <v>43.7</v>
      </c>
      <c r="N19" s="12">
        <v>43.8</v>
      </c>
      <c r="O19" s="12">
        <v>0</v>
      </c>
      <c r="P19" s="12">
        <v>9.6999999999999993</v>
      </c>
      <c r="Q19" s="12">
        <v>6.7</v>
      </c>
      <c r="R19" s="12">
        <v>34.299999999999997</v>
      </c>
      <c r="S19" s="12">
        <v>21</v>
      </c>
      <c r="T19" s="12">
        <v>18.7</v>
      </c>
      <c r="U19" s="12">
        <v>0</v>
      </c>
      <c r="V19" s="12">
        <v>27.9</v>
      </c>
      <c r="W19" s="12">
        <v>0</v>
      </c>
    </row>
    <row r="20" spans="1:23" s="22" customFormat="1" ht="27" thickBot="1" x14ac:dyDescent="0.45">
      <c r="A20" s="30" t="s">
        <v>50</v>
      </c>
      <c r="C20" s="22" t="s">
        <v>31</v>
      </c>
      <c r="E20" s="22">
        <f>SUM(E15:E19)</f>
        <v>100</v>
      </c>
      <c r="F20" s="22">
        <f t="shared" ref="F20:Q20" si="5">SUM(F15:F19)</f>
        <v>100</v>
      </c>
      <c r="G20" s="22">
        <f t="shared" si="5"/>
        <v>100</v>
      </c>
      <c r="H20" s="22">
        <f t="shared" si="5"/>
        <v>99.999999999999986</v>
      </c>
      <c r="I20" s="22">
        <f t="shared" si="5"/>
        <v>100</v>
      </c>
      <c r="J20" s="22">
        <f t="shared" si="5"/>
        <v>100</v>
      </c>
      <c r="K20" s="22">
        <f t="shared" si="5"/>
        <v>100.00000000000001</v>
      </c>
      <c r="L20" s="22">
        <f t="shared" si="5"/>
        <v>100</v>
      </c>
      <c r="M20" s="22">
        <f t="shared" si="5"/>
        <v>100</v>
      </c>
      <c r="N20" s="22">
        <f t="shared" si="5"/>
        <v>100</v>
      </c>
      <c r="O20" s="22">
        <f t="shared" si="5"/>
        <v>100</v>
      </c>
      <c r="P20" s="22">
        <f t="shared" si="5"/>
        <v>100.00000000000001</v>
      </c>
      <c r="Q20" s="22">
        <f t="shared" si="5"/>
        <v>100</v>
      </c>
      <c r="R20" s="22">
        <f t="shared" ref="R20:W20" si="6">SUM(R15:R19)</f>
        <v>100</v>
      </c>
      <c r="S20" s="22">
        <f t="shared" si="6"/>
        <v>100</v>
      </c>
      <c r="T20" s="22">
        <f t="shared" si="6"/>
        <v>100</v>
      </c>
      <c r="U20" s="22">
        <f t="shared" si="6"/>
        <v>100</v>
      </c>
      <c r="V20" s="22">
        <f t="shared" si="6"/>
        <v>100</v>
      </c>
      <c r="W20" s="22">
        <f t="shared" si="6"/>
        <v>100</v>
      </c>
    </row>
    <row r="21" spans="1:23" s="9" customFormat="1" ht="39" x14ac:dyDescent="0.6">
      <c r="A21" s="23" t="s">
        <v>28</v>
      </c>
      <c r="B21" s="41" t="s">
        <v>54</v>
      </c>
    </row>
    <row r="22" spans="1:23" s="93" customFormat="1" ht="26.25" x14ac:dyDescent="0.4">
      <c r="A22" s="92" t="s">
        <v>21</v>
      </c>
      <c r="C22" s="93" t="s">
        <v>22</v>
      </c>
      <c r="E22" s="93">
        <v>1.6</v>
      </c>
      <c r="F22" s="93">
        <v>1.76</v>
      </c>
      <c r="G22" s="93">
        <v>1.35</v>
      </c>
      <c r="H22" s="93">
        <v>1.46</v>
      </c>
      <c r="I22" s="93">
        <v>1.7</v>
      </c>
      <c r="J22" s="93">
        <v>1.6</v>
      </c>
      <c r="K22" s="93">
        <v>1.4</v>
      </c>
      <c r="L22" s="93">
        <v>1.5</v>
      </c>
      <c r="M22" s="93">
        <v>1.6</v>
      </c>
      <c r="N22" s="93">
        <v>1.5</v>
      </c>
      <c r="O22" s="93">
        <v>1.45</v>
      </c>
      <c r="P22" s="93">
        <v>1.4</v>
      </c>
      <c r="Q22" s="93">
        <v>1.5</v>
      </c>
      <c r="R22" s="93">
        <v>1.4</v>
      </c>
      <c r="S22" s="93">
        <v>1.5</v>
      </c>
      <c r="T22" s="93">
        <v>1.6</v>
      </c>
      <c r="U22" s="93">
        <v>1.6</v>
      </c>
      <c r="V22" s="93">
        <v>1.4</v>
      </c>
    </row>
    <row r="23" spans="1:23" s="93" customFormat="1" ht="52.5" x14ac:dyDescent="0.4">
      <c r="A23" s="24" t="s">
        <v>111</v>
      </c>
      <c r="C23" s="93" t="s">
        <v>20</v>
      </c>
      <c r="E23" s="13">
        <f>E10*1.2/E22</f>
        <v>70.05540166204986</v>
      </c>
      <c r="F23" s="13">
        <f t="shared" ref="F23:V23" si="7">F10*1.2/F22</f>
        <v>25.988416016116844</v>
      </c>
      <c r="G23" s="13">
        <f t="shared" si="7"/>
        <v>65.595567867036024</v>
      </c>
      <c r="H23" s="13">
        <f t="shared" si="7"/>
        <v>95.898000227678082</v>
      </c>
      <c r="I23" s="13">
        <f t="shared" si="7"/>
        <v>23.542447449894084</v>
      </c>
      <c r="J23" s="13">
        <f t="shared" si="7"/>
        <v>28.919667590027704</v>
      </c>
      <c r="K23" s="13">
        <f t="shared" si="7"/>
        <v>96.398891966759024</v>
      </c>
      <c r="L23" s="13">
        <f t="shared" si="7"/>
        <v>52.653739612188367</v>
      </c>
      <c r="M23" s="13">
        <f t="shared" si="7"/>
        <v>3223.1301939058167</v>
      </c>
      <c r="N23" s="13">
        <f t="shared" si="7"/>
        <v>402.79224376731304</v>
      </c>
      <c r="O23" s="13">
        <f t="shared" si="7"/>
        <v>76.110421243671794</v>
      </c>
      <c r="P23" s="13">
        <f t="shared" si="7"/>
        <v>3.2291254451919276</v>
      </c>
      <c r="Q23" s="13">
        <f t="shared" si="7"/>
        <v>8.1551246537396143</v>
      </c>
      <c r="R23" s="13">
        <f t="shared" si="7"/>
        <v>3248.21527502968</v>
      </c>
      <c r="S23" s="13">
        <f t="shared" si="7"/>
        <v>349.42936288088646</v>
      </c>
      <c r="T23" s="13">
        <f t="shared" si="7"/>
        <v>0</v>
      </c>
      <c r="U23" s="13">
        <f t="shared" si="7"/>
        <v>0</v>
      </c>
      <c r="V23" s="13">
        <f t="shared" si="7"/>
        <v>0</v>
      </c>
    </row>
    <row r="24" spans="1:23" s="12" customFormat="1" ht="26.25" x14ac:dyDescent="0.4">
      <c r="A24" s="24" t="s">
        <v>45</v>
      </c>
      <c r="C24" s="12" t="s">
        <v>20</v>
      </c>
      <c r="E24" s="13">
        <f t="shared" ref="E24:S24" si="8">E6*1.2/E22</f>
        <v>940.72022160664812</v>
      </c>
      <c r="F24" s="13">
        <f t="shared" si="8"/>
        <v>94.812389826240235</v>
      </c>
      <c r="G24" s="13">
        <f t="shared" si="8"/>
        <v>701.75438596491222</v>
      </c>
      <c r="H24" s="13">
        <f t="shared" si="8"/>
        <v>485.63730884529281</v>
      </c>
      <c r="I24" s="13">
        <f t="shared" si="8"/>
        <v>259.47531367117489</v>
      </c>
      <c r="J24" s="13">
        <f t="shared" si="8"/>
        <v>176.59279778393349</v>
      </c>
      <c r="K24" s="13">
        <f t="shared" si="8"/>
        <v>1592.0063316185201</v>
      </c>
      <c r="L24" s="13">
        <f t="shared" si="8"/>
        <v>337.06371191135736</v>
      </c>
      <c r="M24" s="13">
        <f t="shared" si="8"/>
        <v>7919.8753462603872</v>
      </c>
      <c r="N24" s="13">
        <f t="shared" si="8"/>
        <v>1963.2132963988918</v>
      </c>
      <c r="O24" s="13">
        <f t="shared" si="8"/>
        <v>317.50883560989587</v>
      </c>
      <c r="P24" s="13">
        <f t="shared" si="8"/>
        <v>18.045112781954888</v>
      </c>
      <c r="Q24" s="13">
        <f t="shared" si="8"/>
        <v>13.518005540166206</v>
      </c>
      <c r="R24" s="13">
        <f t="shared" si="8"/>
        <v>28922.991689750692</v>
      </c>
      <c r="S24" s="13">
        <f t="shared" si="8"/>
        <v>4864.4875346260387</v>
      </c>
      <c r="T24" s="13"/>
      <c r="U24" s="13">
        <f>U6*1.2/U22</f>
        <v>462.32876712328766</v>
      </c>
      <c r="V24" s="13"/>
      <c r="W24" s="13"/>
    </row>
    <row r="25" spans="1:23" s="12" customFormat="1" ht="26.25" x14ac:dyDescent="0.4">
      <c r="A25" s="24" t="s">
        <v>58</v>
      </c>
      <c r="C25" s="12" t="s">
        <v>20</v>
      </c>
      <c r="E25" s="13">
        <f>IF(E24&lt;5000,E24,0)</f>
        <v>940.72022160664812</v>
      </c>
      <c r="F25" s="13">
        <f t="shared" ref="F25:W25" si="9">IF(F24&lt;5000,F24,0)</f>
        <v>94.812389826240235</v>
      </c>
      <c r="G25" s="13">
        <f t="shared" si="9"/>
        <v>701.75438596491222</v>
      </c>
      <c r="H25" s="13">
        <f t="shared" si="9"/>
        <v>485.63730884529281</v>
      </c>
      <c r="I25" s="13">
        <f t="shared" si="9"/>
        <v>259.47531367117489</v>
      </c>
      <c r="J25" s="13">
        <f t="shared" si="9"/>
        <v>176.59279778393349</v>
      </c>
      <c r="K25" s="13">
        <f t="shared" si="9"/>
        <v>1592.0063316185201</v>
      </c>
      <c r="L25" s="13">
        <f t="shared" si="9"/>
        <v>337.06371191135736</v>
      </c>
      <c r="M25" s="13">
        <f t="shared" si="9"/>
        <v>0</v>
      </c>
      <c r="N25" s="13">
        <f t="shared" si="9"/>
        <v>1963.2132963988918</v>
      </c>
      <c r="O25" s="13">
        <f t="shared" si="9"/>
        <v>317.50883560989587</v>
      </c>
      <c r="P25" s="13">
        <f t="shared" si="9"/>
        <v>18.045112781954888</v>
      </c>
      <c r="Q25" s="13">
        <f t="shared" si="9"/>
        <v>13.518005540166206</v>
      </c>
      <c r="R25" s="13">
        <f t="shared" si="9"/>
        <v>0</v>
      </c>
      <c r="S25" s="13">
        <f t="shared" si="9"/>
        <v>4864.4875346260387</v>
      </c>
      <c r="T25" s="13">
        <f t="shared" si="9"/>
        <v>0</v>
      </c>
      <c r="U25" s="13">
        <f t="shared" si="9"/>
        <v>462.32876712328766</v>
      </c>
      <c r="V25" s="13">
        <f t="shared" si="9"/>
        <v>0</v>
      </c>
      <c r="W25" s="13">
        <f t="shared" si="9"/>
        <v>0</v>
      </c>
    </row>
    <row r="26" spans="1:23" s="12" customFormat="1" ht="26.25" x14ac:dyDescent="0.4">
      <c r="A26" s="24" t="s">
        <v>57</v>
      </c>
      <c r="C26" s="12" t="s">
        <v>20</v>
      </c>
      <c r="E26" s="13">
        <f>IF(E24&gt;5000,E24,0)</f>
        <v>0</v>
      </c>
      <c r="F26" s="13">
        <f t="shared" ref="F26:W26" si="10">IF(F24&gt;5000,F24,0)</f>
        <v>0</v>
      </c>
      <c r="G26" s="13">
        <f t="shared" si="10"/>
        <v>0</v>
      </c>
      <c r="H26" s="13">
        <f t="shared" si="10"/>
        <v>0</v>
      </c>
      <c r="I26" s="13">
        <f t="shared" si="10"/>
        <v>0</v>
      </c>
      <c r="J26" s="13">
        <f t="shared" si="10"/>
        <v>0</v>
      </c>
      <c r="K26" s="13">
        <f t="shared" si="10"/>
        <v>0</v>
      </c>
      <c r="L26" s="13">
        <f t="shared" si="10"/>
        <v>0</v>
      </c>
      <c r="M26" s="13">
        <f t="shared" si="10"/>
        <v>7919.8753462603872</v>
      </c>
      <c r="N26" s="13">
        <f t="shared" si="10"/>
        <v>0</v>
      </c>
      <c r="O26" s="13">
        <f t="shared" si="10"/>
        <v>0</v>
      </c>
      <c r="P26" s="13">
        <f t="shared" si="10"/>
        <v>0</v>
      </c>
      <c r="Q26" s="13">
        <f t="shared" si="10"/>
        <v>0</v>
      </c>
      <c r="R26" s="13">
        <f t="shared" si="10"/>
        <v>28922.991689750692</v>
      </c>
      <c r="S26" s="13">
        <f t="shared" si="10"/>
        <v>0</v>
      </c>
      <c r="T26" s="13">
        <f t="shared" si="10"/>
        <v>0</v>
      </c>
      <c r="U26" s="13">
        <f t="shared" si="10"/>
        <v>0</v>
      </c>
      <c r="V26" s="13">
        <f t="shared" si="10"/>
        <v>0</v>
      </c>
      <c r="W26" s="13">
        <f t="shared" si="10"/>
        <v>0</v>
      </c>
    </row>
    <row r="27" spans="1:23" s="12" customFormat="1" ht="26.25" x14ac:dyDescent="0.4">
      <c r="A27" s="24" t="s">
        <v>27</v>
      </c>
      <c r="C27" s="12" t="s">
        <v>23</v>
      </c>
      <c r="E27" s="50">
        <f t="shared" ref="E27:Q27" si="11">E24/150</f>
        <v>6.271468144044321</v>
      </c>
      <c r="F27" s="50">
        <f t="shared" si="11"/>
        <v>0.63208259884160156</v>
      </c>
      <c r="G27" s="50">
        <f t="shared" si="11"/>
        <v>4.6783625730994149</v>
      </c>
      <c r="H27" s="50">
        <f t="shared" si="11"/>
        <v>3.2375820589686186</v>
      </c>
      <c r="I27" s="50">
        <f t="shared" si="11"/>
        <v>1.7298354244744993</v>
      </c>
      <c r="J27" s="50">
        <f t="shared" si="11"/>
        <v>1.1772853185595566</v>
      </c>
      <c r="K27" s="50">
        <f t="shared" si="11"/>
        <v>10.613375544123468</v>
      </c>
      <c r="L27" s="50">
        <f t="shared" si="11"/>
        <v>2.2470914127423822</v>
      </c>
      <c r="M27" s="50">
        <f t="shared" si="11"/>
        <v>52.79916897506925</v>
      </c>
      <c r="N27" s="50">
        <f t="shared" si="11"/>
        <v>13.088088642659278</v>
      </c>
      <c r="O27" s="50">
        <f t="shared" si="11"/>
        <v>2.1167255707326391</v>
      </c>
      <c r="P27" s="50">
        <f t="shared" si="11"/>
        <v>0.12030075187969926</v>
      </c>
      <c r="Q27" s="50">
        <f t="shared" si="11"/>
        <v>9.0120036934441372E-2</v>
      </c>
      <c r="R27" s="50">
        <f>R24/150</f>
        <v>192.81994459833794</v>
      </c>
      <c r="S27" s="50">
        <f>S24/150</f>
        <v>32.429916897506928</v>
      </c>
      <c r="T27" s="50"/>
      <c r="U27" s="50">
        <f>U24/150</f>
        <v>3.0821917808219177</v>
      </c>
      <c r="V27" s="50"/>
      <c r="W27" s="50"/>
    </row>
    <row r="28" spans="1:23" s="12" customFormat="1" ht="26.25" x14ac:dyDescent="0.4">
      <c r="A28" s="24" t="s">
        <v>104</v>
      </c>
      <c r="C28" s="12" t="s">
        <v>23</v>
      </c>
      <c r="E28" s="50">
        <f>E24/100</f>
        <v>9.4072022160664819</v>
      </c>
      <c r="F28" s="50">
        <f t="shared" ref="F28:U28" si="12">F24/100</f>
        <v>0.9481238982624024</v>
      </c>
      <c r="G28" s="50">
        <f t="shared" si="12"/>
        <v>7.0175438596491224</v>
      </c>
      <c r="H28" s="50">
        <f t="shared" si="12"/>
        <v>4.8563730884529281</v>
      </c>
      <c r="I28" s="50">
        <f t="shared" si="12"/>
        <v>2.5947531367117489</v>
      </c>
      <c r="J28" s="50">
        <f t="shared" si="12"/>
        <v>1.7659279778393349</v>
      </c>
      <c r="K28" s="50">
        <f t="shared" si="12"/>
        <v>15.920063316185201</v>
      </c>
      <c r="L28" s="50">
        <f t="shared" si="12"/>
        <v>3.3706371191135736</v>
      </c>
      <c r="M28" s="50">
        <f t="shared" si="12"/>
        <v>79.198753462603875</v>
      </c>
      <c r="N28" s="50">
        <f t="shared" si="12"/>
        <v>19.632132963988919</v>
      </c>
      <c r="O28" s="50">
        <f t="shared" si="12"/>
        <v>3.1750883560989589</v>
      </c>
      <c r="P28" s="50">
        <f t="shared" si="12"/>
        <v>0.18045112781954889</v>
      </c>
      <c r="Q28" s="50">
        <f t="shared" si="12"/>
        <v>0.13518005540166206</v>
      </c>
      <c r="R28" s="50">
        <f t="shared" si="12"/>
        <v>289.22991689750694</v>
      </c>
      <c r="S28" s="50">
        <f t="shared" si="12"/>
        <v>48.644875346260385</v>
      </c>
      <c r="T28" s="50">
        <f t="shared" si="12"/>
        <v>0</v>
      </c>
      <c r="U28" s="50">
        <f t="shared" si="12"/>
        <v>4.6232876712328768</v>
      </c>
      <c r="V28" s="50"/>
      <c r="W28" s="50"/>
    </row>
    <row r="29" spans="1:23" s="15" customFormat="1" ht="47.25" thickBot="1" x14ac:dyDescent="0.4">
      <c r="A29" s="14"/>
      <c r="B29" s="15" t="s">
        <v>105</v>
      </c>
      <c r="C29" s="44" t="s">
        <v>48</v>
      </c>
      <c r="E29" s="20">
        <f t="shared" ref="E29:S29" si="13">E27*100/E12</f>
        <v>2.7997625643055004</v>
      </c>
      <c r="F29" s="20">
        <f t="shared" si="13"/>
        <v>3.0099171373409597</v>
      </c>
      <c r="G29" s="20">
        <f t="shared" si="13"/>
        <v>3.8381840783488518E-2</v>
      </c>
      <c r="H29" s="20">
        <f t="shared" si="13"/>
        <v>0.70535556840274916</v>
      </c>
      <c r="I29" s="20">
        <f t="shared" si="13"/>
        <v>0.2132965998118988</v>
      </c>
      <c r="J29" s="20">
        <f t="shared" si="13"/>
        <v>0.49884971125404942</v>
      </c>
      <c r="K29" s="20">
        <f t="shared" si="13"/>
        <v>3.7923874594881252E-2</v>
      </c>
      <c r="L29" s="20">
        <f t="shared" si="13"/>
        <v>0.31340187067536712</v>
      </c>
      <c r="M29" s="20">
        <f t="shared" si="13"/>
        <v>0.28891474131364842</v>
      </c>
      <c r="N29" s="20">
        <f t="shared" si="13"/>
        <v>0.34199343200050369</v>
      </c>
      <c r="O29" s="20">
        <f t="shared" si="13"/>
        <v>0.30152785907872348</v>
      </c>
      <c r="P29" s="70">
        <f t="shared" si="13"/>
        <v>4.6269519953730485E-2</v>
      </c>
      <c r="Q29" s="71">
        <f t="shared" si="13"/>
        <v>0.34661552667092838</v>
      </c>
      <c r="R29" s="71">
        <f t="shared" si="13"/>
        <v>4.2578268029487686E-2</v>
      </c>
      <c r="S29" s="71">
        <f t="shared" si="13"/>
        <v>0.17746479641844659</v>
      </c>
      <c r="T29" s="16"/>
      <c r="U29" s="16">
        <f>U27*100/U12</f>
        <v>1.3759784735812133</v>
      </c>
      <c r="V29" s="16"/>
      <c r="W29" s="16"/>
    </row>
    <row r="30" spans="1:23" s="18" customFormat="1" ht="24" thickBot="1" x14ac:dyDescent="0.4">
      <c r="A30" s="89"/>
      <c r="B30" s="18" t="s">
        <v>106</v>
      </c>
      <c r="C30" s="90"/>
      <c r="E30" s="20">
        <f t="shared" ref="E30:S30" si="14">E28*100/E12</f>
        <v>4.1996438464582511</v>
      </c>
      <c r="F30" s="20">
        <f t="shared" si="14"/>
        <v>4.5148757060114395</v>
      </c>
      <c r="G30" s="20">
        <f t="shared" si="14"/>
        <v>5.7572761175232766E-2</v>
      </c>
      <c r="H30" s="20">
        <f t="shared" si="14"/>
        <v>1.0580333526041237</v>
      </c>
      <c r="I30" s="20">
        <f t="shared" si="14"/>
        <v>0.31994489971784817</v>
      </c>
      <c r="J30" s="20">
        <f t="shared" si="14"/>
        <v>0.74827456688107408</v>
      </c>
      <c r="K30" s="20">
        <f t="shared" si="14"/>
        <v>5.6885811892321878E-2</v>
      </c>
      <c r="L30" s="20">
        <f t="shared" si="14"/>
        <v>0.47010280601305071</v>
      </c>
      <c r="M30" s="20">
        <f t="shared" si="14"/>
        <v>0.43337211197047265</v>
      </c>
      <c r="N30" s="20">
        <f t="shared" si="14"/>
        <v>0.51299014800075571</v>
      </c>
      <c r="O30" s="20">
        <f t="shared" si="14"/>
        <v>0.45229178861808528</v>
      </c>
      <c r="P30" s="20">
        <f t="shared" si="14"/>
        <v>6.9404279930595725E-2</v>
      </c>
      <c r="Q30" s="20">
        <f t="shared" si="14"/>
        <v>0.51992329000639248</v>
      </c>
      <c r="R30" s="20">
        <f t="shared" si="14"/>
        <v>6.3867402044231539E-2</v>
      </c>
      <c r="S30" s="20">
        <f t="shared" si="14"/>
        <v>0.26619719462766983</v>
      </c>
      <c r="T30" s="91"/>
      <c r="U30" s="91"/>
      <c r="V30" s="91"/>
      <c r="W30" s="91"/>
    </row>
    <row r="31" spans="1:23" s="9" customFormat="1" ht="39" x14ac:dyDescent="0.6">
      <c r="A31" s="23" t="s">
        <v>0</v>
      </c>
      <c r="B31" s="41" t="s">
        <v>55</v>
      </c>
    </row>
    <row r="32" spans="1:23" s="12" customFormat="1" ht="26.25" x14ac:dyDescent="0.4">
      <c r="A32" s="24" t="s">
        <v>30</v>
      </c>
      <c r="C32" s="12" t="s">
        <v>31</v>
      </c>
      <c r="E32" s="12">
        <v>20</v>
      </c>
      <c r="F32" s="12">
        <v>13</v>
      </c>
      <c r="G32" s="12">
        <v>30</v>
      </c>
      <c r="H32" s="12">
        <v>20</v>
      </c>
      <c r="I32" s="12">
        <v>15</v>
      </c>
      <c r="J32" s="12">
        <v>25</v>
      </c>
      <c r="K32" s="12">
        <v>10</v>
      </c>
      <c r="L32" s="12">
        <v>45</v>
      </c>
      <c r="M32" s="12">
        <v>30</v>
      </c>
      <c r="N32" s="12">
        <v>35</v>
      </c>
      <c r="O32" s="12">
        <v>30</v>
      </c>
      <c r="P32" s="12">
        <v>45</v>
      </c>
      <c r="Q32" s="12">
        <v>20</v>
      </c>
      <c r="R32" s="12">
        <v>15</v>
      </c>
      <c r="S32" s="12">
        <v>40</v>
      </c>
      <c r="T32" s="12">
        <v>40</v>
      </c>
      <c r="U32" s="12">
        <v>40</v>
      </c>
      <c r="V32" s="12">
        <v>50</v>
      </c>
    </row>
    <row r="33" spans="1:23" s="18" customFormat="1" ht="26.25" x14ac:dyDescent="0.4">
      <c r="A33" s="25" t="s">
        <v>32</v>
      </c>
      <c r="C33" s="18" t="s">
        <v>22</v>
      </c>
      <c r="E33" s="19">
        <f t="shared" ref="E33:V33" si="15">8.76*(E32/100)</f>
        <v>1.752</v>
      </c>
      <c r="F33" s="19">
        <f t="shared" si="15"/>
        <v>1.1388</v>
      </c>
      <c r="G33" s="19">
        <f t="shared" si="15"/>
        <v>2.6279999999999997</v>
      </c>
      <c r="H33" s="19">
        <f t="shared" si="15"/>
        <v>1.752</v>
      </c>
      <c r="I33" s="19">
        <f t="shared" si="15"/>
        <v>1.3139999999999998</v>
      </c>
      <c r="J33" s="19">
        <f t="shared" si="15"/>
        <v>2.19</v>
      </c>
      <c r="K33" s="19">
        <f t="shared" si="15"/>
        <v>0.876</v>
      </c>
      <c r="L33" s="19">
        <f t="shared" si="15"/>
        <v>3.9420000000000002</v>
      </c>
      <c r="M33" s="19">
        <f t="shared" si="15"/>
        <v>2.6279999999999997</v>
      </c>
      <c r="N33" s="19">
        <f t="shared" si="15"/>
        <v>3.0659999999999998</v>
      </c>
      <c r="O33" s="19">
        <f t="shared" si="15"/>
        <v>2.6279999999999997</v>
      </c>
      <c r="P33" s="19">
        <f t="shared" si="15"/>
        <v>3.9420000000000002</v>
      </c>
      <c r="Q33" s="19">
        <f t="shared" si="15"/>
        <v>1.752</v>
      </c>
      <c r="R33" s="19">
        <f t="shared" si="15"/>
        <v>1.3139999999999998</v>
      </c>
      <c r="S33" s="19">
        <f t="shared" si="15"/>
        <v>3.504</v>
      </c>
      <c r="T33" s="19">
        <f t="shared" si="15"/>
        <v>3.504</v>
      </c>
      <c r="U33" s="19">
        <f t="shared" si="15"/>
        <v>3.504</v>
      </c>
      <c r="V33" s="19">
        <f t="shared" si="15"/>
        <v>4.38</v>
      </c>
    </row>
    <row r="34" spans="1:23" s="18" customFormat="1" ht="26.25" x14ac:dyDescent="0.4">
      <c r="A34" s="25" t="s">
        <v>97</v>
      </c>
      <c r="E34" s="19"/>
      <c r="F34" s="19"/>
      <c r="G34" s="19"/>
      <c r="H34" s="19"/>
      <c r="I34" s="19"/>
      <c r="J34" s="19"/>
      <c r="K34" s="19"/>
      <c r="L34" s="19"/>
      <c r="M34" s="19"/>
      <c r="N34" s="19"/>
      <c r="O34" s="19"/>
      <c r="P34" s="19"/>
      <c r="Q34" s="19"/>
      <c r="R34" s="19">
        <v>24</v>
      </c>
      <c r="S34" s="19">
        <v>24</v>
      </c>
      <c r="T34" s="19"/>
      <c r="U34" s="19"/>
      <c r="V34" s="19"/>
    </row>
    <row r="35" spans="1:23" s="18" customFormat="1" ht="26.25" x14ac:dyDescent="0.4">
      <c r="A35" s="25"/>
      <c r="E35" s="19"/>
      <c r="F35" s="19"/>
      <c r="G35" s="19"/>
      <c r="H35" s="19"/>
      <c r="I35" s="19"/>
      <c r="J35" s="19"/>
      <c r="K35" s="19"/>
      <c r="L35" s="19"/>
      <c r="M35" s="19"/>
      <c r="N35" s="19"/>
      <c r="O35" s="19"/>
      <c r="P35" s="19"/>
      <c r="Q35" s="19"/>
      <c r="R35" s="19"/>
      <c r="S35" s="19"/>
      <c r="T35" s="19"/>
      <c r="U35" s="19"/>
      <c r="V35" s="19"/>
    </row>
    <row r="36" spans="1:23" s="12" customFormat="1" ht="26.25" x14ac:dyDescent="0.4">
      <c r="A36" s="24" t="s">
        <v>46</v>
      </c>
      <c r="C36" s="12" t="s">
        <v>20</v>
      </c>
      <c r="E36" s="13">
        <f t="shared" ref="E36:U36" si="16">E6*1.2/E33</f>
        <v>859.10522521155087</v>
      </c>
      <c r="F36" s="13">
        <f t="shared" si="16"/>
        <v>146.53126632787391</v>
      </c>
      <c r="G36" s="13">
        <f t="shared" si="16"/>
        <v>360.49026676279743</v>
      </c>
      <c r="H36" s="13">
        <f t="shared" si="16"/>
        <v>404.69775737107733</v>
      </c>
      <c r="I36" s="13">
        <f t="shared" si="16"/>
        <v>335.69865543454893</v>
      </c>
      <c r="J36" s="13">
        <f t="shared" si="16"/>
        <v>129.01756915721171</v>
      </c>
      <c r="K36" s="13">
        <f t="shared" si="16"/>
        <v>2544.3023564679547</v>
      </c>
      <c r="L36" s="13">
        <f t="shared" si="16"/>
        <v>128.25864227981634</v>
      </c>
      <c r="M36" s="13">
        <f t="shared" si="16"/>
        <v>4821.8419155314386</v>
      </c>
      <c r="N36" s="13">
        <f t="shared" si="16"/>
        <v>960.47617240650288</v>
      </c>
      <c r="O36" s="13">
        <f t="shared" si="16"/>
        <v>175.18562086542963</v>
      </c>
      <c r="P36" s="13">
        <f t="shared" si="16"/>
        <v>6.4087158535608424</v>
      </c>
      <c r="Q36" s="13">
        <f t="shared" si="16"/>
        <v>11.573634880279284</v>
      </c>
      <c r="R36" s="13">
        <f t="shared" si="16"/>
        <v>30815.972881012916</v>
      </c>
      <c r="S36" s="13">
        <f t="shared" si="16"/>
        <v>2082.4004857132018</v>
      </c>
      <c r="T36" s="13">
        <f t="shared" si="16"/>
        <v>0</v>
      </c>
      <c r="U36" s="13">
        <f t="shared" si="16"/>
        <v>211.10902608369301</v>
      </c>
      <c r="V36" s="13"/>
      <c r="W36" s="13"/>
    </row>
    <row r="37" spans="1:23" s="12" customFormat="1" ht="52.5" x14ac:dyDescent="0.4">
      <c r="A37" s="24" t="s">
        <v>112</v>
      </c>
      <c r="C37" s="12" t="s">
        <v>20</v>
      </c>
      <c r="E37" s="13">
        <f>E10*1.2/E33</f>
        <v>63.977535764429099</v>
      </c>
      <c r="F37" s="13">
        <f t="shared" ref="F37:S37" si="17">F10*1.2/F33</f>
        <v>40.164745511385355</v>
      </c>
      <c r="G37" s="13">
        <f t="shared" si="17"/>
        <v>33.696353356354123</v>
      </c>
      <c r="H37" s="13">
        <f t="shared" si="17"/>
        <v>79.915000189731728</v>
      </c>
      <c r="I37" s="13">
        <f t="shared" si="17"/>
        <v>30.458265346133903</v>
      </c>
      <c r="J37" s="13">
        <f t="shared" si="17"/>
        <v>21.12852426668691</v>
      </c>
      <c r="K37" s="13">
        <f t="shared" si="17"/>
        <v>154.0621561112587</v>
      </c>
      <c r="L37" s="13">
        <f t="shared" si="17"/>
        <v>20.035669563237583</v>
      </c>
      <c r="M37" s="13">
        <f t="shared" si="17"/>
        <v>1962.3319293186103</v>
      </c>
      <c r="N37" s="13">
        <f t="shared" si="17"/>
        <v>197.06078462197311</v>
      </c>
      <c r="O37" s="13">
        <f t="shared" si="17"/>
        <v>41.993953882543423</v>
      </c>
      <c r="P37" s="13">
        <f t="shared" si="17"/>
        <v>1.1468228369529929</v>
      </c>
      <c r="Q37" s="13">
        <f t="shared" si="17"/>
        <v>6.9821272720373404</v>
      </c>
      <c r="R37" s="13">
        <f t="shared" si="17"/>
        <v>3460.8077511731753</v>
      </c>
      <c r="S37" s="13">
        <f t="shared" si="17"/>
        <v>149.58448753462605</v>
      </c>
      <c r="T37" s="13"/>
      <c r="U37" s="13"/>
      <c r="V37" s="13"/>
      <c r="W37" s="13"/>
    </row>
    <row r="38" spans="1:23" s="12" customFormat="1" ht="52.5" x14ac:dyDescent="0.4">
      <c r="A38" s="24" t="s">
        <v>118</v>
      </c>
      <c r="C38" s="12" t="s">
        <v>31</v>
      </c>
      <c r="D38" s="12" t="s">
        <v>121</v>
      </c>
      <c r="E38" s="50">
        <f>((E37*100/1.5)*0.25)/E14</f>
        <v>9.1921746787972847</v>
      </c>
      <c r="F38" s="50">
        <f t="shared" ref="F38:S38" si="18">((F37*100/1.5)*0.25)/F14</f>
        <v>22.313747506325196</v>
      </c>
      <c r="G38" s="50">
        <f t="shared" si="18"/>
        <v>0.22215422835149082</v>
      </c>
      <c r="H38" s="50">
        <f t="shared" si="18"/>
        <v>0.87683783398871762</v>
      </c>
      <c r="I38" s="50">
        <f t="shared" si="18"/>
        <v>0.44412752035774139</v>
      </c>
      <c r="J38" s="50">
        <f t="shared" si="18"/>
        <v>2.934517259262071</v>
      </c>
      <c r="K38" s="50">
        <f t="shared" si="18"/>
        <v>0.48328676865317366</v>
      </c>
      <c r="L38" s="50">
        <f t="shared" si="18"/>
        <v>0.79696378533164614</v>
      </c>
      <c r="M38" s="50">
        <f t="shared" si="18"/>
        <v>14.509996519658461</v>
      </c>
      <c r="N38" s="50">
        <f t="shared" si="18"/>
        <v>1.3007312516301857</v>
      </c>
      <c r="O38" s="50">
        <f t="shared" si="18"/>
        <v>0.1145123087983841</v>
      </c>
      <c r="P38" s="50">
        <f t="shared" si="18"/>
        <v>0.29865178045650859</v>
      </c>
      <c r="Q38" s="50">
        <f t="shared" si="18"/>
        <v>4.8486994944703756</v>
      </c>
      <c r="R38" s="50">
        <f t="shared" si="18"/>
        <v>11.195677248878027</v>
      </c>
      <c r="S38" s="50">
        <f t="shared" si="18"/>
        <v>2.2082150507030711</v>
      </c>
      <c r="T38" s="13">
        <f t="shared" ref="T38:U38" si="19">IF(T36&lt;5000,T36,0)</f>
        <v>0</v>
      </c>
      <c r="U38" s="13">
        <f t="shared" si="19"/>
        <v>211.10902608369301</v>
      </c>
      <c r="V38" s="13"/>
      <c r="W38" s="13"/>
    </row>
    <row r="39" spans="1:23" s="12" customFormat="1" ht="27" thickBot="1" x14ac:dyDescent="0.45">
      <c r="A39" s="26" t="s">
        <v>119</v>
      </c>
      <c r="C39" s="12" t="s">
        <v>40</v>
      </c>
      <c r="E39" s="13">
        <f>E38*E14/100</f>
        <v>10.66292262740485</v>
      </c>
      <c r="F39" s="13">
        <f t="shared" ref="F39:S39" si="20">F38*F14/100</f>
        <v>6.6941242518975592</v>
      </c>
      <c r="G39" s="13">
        <f t="shared" si="20"/>
        <v>5.6160588927256878</v>
      </c>
      <c r="H39" s="13">
        <f t="shared" si="20"/>
        <v>13.319166698288621</v>
      </c>
      <c r="I39" s="13">
        <f t="shared" si="20"/>
        <v>5.0763775576889838</v>
      </c>
      <c r="J39" s="13">
        <f t="shared" si="20"/>
        <v>3.5214207111144851</v>
      </c>
      <c r="K39" s="13">
        <f t="shared" si="20"/>
        <v>25.677026018543117</v>
      </c>
      <c r="L39" s="13">
        <f t="shared" si="20"/>
        <v>3.3392782605395972</v>
      </c>
      <c r="M39" s="13">
        <f t="shared" si="20"/>
        <v>327.05532155310169</v>
      </c>
      <c r="N39" s="13">
        <f t="shared" si="20"/>
        <v>32.843464103662185</v>
      </c>
      <c r="O39" s="13">
        <f t="shared" si="20"/>
        <v>6.9989923137572365</v>
      </c>
      <c r="P39" s="13">
        <f t="shared" si="20"/>
        <v>0.19113713949216549</v>
      </c>
      <c r="Q39" s="13">
        <f t="shared" si="20"/>
        <v>1.1636878786728901</v>
      </c>
      <c r="R39" s="13">
        <f t="shared" si="20"/>
        <v>576.80129186219597</v>
      </c>
      <c r="S39" s="13">
        <f t="shared" si="20"/>
        <v>24.930747922437671</v>
      </c>
      <c r="T39" s="13">
        <f t="shared" ref="T39:U39" si="21">IF(T36&gt;5000,T36,0)</f>
        <v>0</v>
      </c>
      <c r="U39" s="13">
        <f t="shared" si="21"/>
        <v>0</v>
      </c>
      <c r="V39" s="13"/>
      <c r="W39" s="13"/>
    </row>
    <row r="40" spans="1:23" s="12" customFormat="1" ht="52.5" x14ac:dyDescent="0.4">
      <c r="A40" s="24" t="s">
        <v>116</v>
      </c>
      <c r="C40" s="12" t="s">
        <v>31</v>
      </c>
      <c r="D40" s="12" t="s">
        <v>120</v>
      </c>
      <c r="E40" s="13">
        <f t="shared" ref="E40:U40" si="22">((E36*100/1.5)*0.25)/E14</f>
        <v>123.43465879476307</v>
      </c>
      <c r="F40" s="13">
        <f t="shared" si="22"/>
        <v>81.406259071041049</v>
      </c>
      <c r="G40" s="13">
        <f t="shared" si="22"/>
        <v>2.3766499654720294</v>
      </c>
      <c r="H40" s="13">
        <f t="shared" si="22"/>
        <v>4.4403967234044037</v>
      </c>
      <c r="I40" s="13">
        <f t="shared" si="22"/>
        <v>4.894993517564143</v>
      </c>
      <c r="J40" s="13">
        <f t="shared" si="22"/>
        <v>17.919106827390515</v>
      </c>
      <c r="K40" s="13">
        <f t="shared" si="22"/>
        <v>7.9813738517722399</v>
      </c>
      <c r="L40" s="13">
        <f t="shared" si="22"/>
        <v>5.101775747009401</v>
      </c>
      <c r="M40" s="13">
        <f t="shared" si="22"/>
        <v>35.653962699877539</v>
      </c>
      <c r="N40" s="13">
        <f t="shared" si="22"/>
        <v>6.3397767155544749</v>
      </c>
      <c r="O40" s="73">
        <f t="shared" si="22"/>
        <v>0.47770948098121085</v>
      </c>
      <c r="P40" s="13">
        <f t="shared" si="22"/>
        <v>1.668936420198136</v>
      </c>
      <c r="Q40" s="13">
        <f t="shared" si="22"/>
        <v>8.0372464446383933</v>
      </c>
      <c r="R40" s="13">
        <f t="shared" si="22"/>
        <v>99.689353264146348</v>
      </c>
      <c r="S40" s="13">
        <f t="shared" si="22"/>
        <v>30.741075962698577</v>
      </c>
      <c r="T40" s="72">
        <f t="shared" si="22"/>
        <v>0</v>
      </c>
      <c r="U40" s="13">
        <f t="shared" si="22"/>
        <v>30.331756621220265</v>
      </c>
      <c r="V40" s="13"/>
      <c r="W40" s="13"/>
    </row>
    <row r="41" spans="1:23" s="15" customFormat="1" ht="27" thickBot="1" x14ac:dyDescent="0.45">
      <c r="A41" s="26" t="s">
        <v>117</v>
      </c>
      <c r="C41" s="15" t="s">
        <v>40</v>
      </c>
      <c r="E41" s="51">
        <f t="shared" ref="E41:U41" si="23">E40*E14/100</f>
        <v>143.18420420192516</v>
      </c>
      <c r="F41" s="51">
        <f t="shared" si="23"/>
        <v>24.421877721312317</v>
      </c>
      <c r="G41" s="51">
        <f t="shared" si="23"/>
        <v>60.081711127132905</v>
      </c>
      <c r="H41" s="51">
        <f t="shared" si="23"/>
        <v>67.449626228512884</v>
      </c>
      <c r="I41" s="51">
        <f t="shared" si="23"/>
        <v>55.949775905758152</v>
      </c>
      <c r="J41" s="51">
        <f t="shared" si="23"/>
        <v>21.502928192868616</v>
      </c>
      <c r="K41" s="51">
        <f t="shared" si="23"/>
        <v>424.05039274465912</v>
      </c>
      <c r="L41" s="51">
        <f t="shared" si="23"/>
        <v>21.376440379969392</v>
      </c>
      <c r="M41" s="51">
        <f t="shared" si="23"/>
        <v>803.64031925523977</v>
      </c>
      <c r="N41" s="51">
        <f t="shared" si="23"/>
        <v>160.07936206775051</v>
      </c>
      <c r="O41" s="51">
        <f t="shared" si="23"/>
        <v>29.197603477571604</v>
      </c>
      <c r="P41" s="51">
        <f t="shared" si="23"/>
        <v>1.0681193089268071</v>
      </c>
      <c r="Q41" s="51">
        <f t="shared" si="23"/>
        <v>1.9289391467132146</v>
      </c>
      <c r="R41" s="51">
        <f t="shared" si="23"/>
        <v>5135.99548016882</v>
      </c>
      <c r="S41" s="51">
        <f t="shared" si="23"/>
        <v>347.06674761886694</v>
      </c>
      <c r="T41" s="51">
        <f t="shared" si="23"/>
        <v>0</v>
      </c>
      <c r="U41" s="51">
        <f t="shared" si="23"/>
        <v>35.184837680615509</v>
      </c>
      <c r="V41" s="16"/>
      <c r="W41" s="16"/>
    </row>
    <row r="42" spans="1:23" ht="61.5" x14ac:dyDescent="0.9">
      <c r="A42" s="23" t="s">
        <v>89</v>
      </c>
      <c r="B42" s="84"/>
      <c r="C42" s="84"/>
      <c r="D42" s="84"/>
      <c r="E42" s="84" t="s">
        <v>90</v>
      </c>
      <c r="F42" s="48"/>
      <c r="G42" s="49"/>
    </row>
    <row r="43" spans="1:23" ht="26.25" x14ac:dyDescent="0.4">
      <c r="A43" s="24" t="s">
        <v>91</v>
      </c>
      <c r="B43" s="86" t="s">
        <v>92</v>
      </c>
      <c r="C43" s="84" t="s">
        <v>26</v>
      </c>
      <c r="D43" s="84">
        <v>0</v>
      </c>
    </row>
    <row r="44" spans="1:23" ht="26.25" x14ac:dyDescent="0.4">
      <c r="A44" s="82" t="s">
        <v>94</v>
      </c>
      <c r="C44" t="s">
        <v>20</v>
      </c>
      <c r="G44">
        <v>2.7</v>
      </c>
    </row>
    <row r="45" spans="1:23" s="84" customFormat="1" ht="52.5" x14ac:dyDescent="0.4">
      <c r="A45" s="83" t="s">
        <v>96</v>
      </c>
      <c r="C45" s="84" t="s">
        <v>95</v>
      </c>
      <c r="G45" s="84">
        <v>1.44</v>
      </c>
    </row>
    <row r="46" spans="1:23" x14ac:dyDescent="0.25">
      <c r="A46" s="85" t="s">
        <v>93</v>
      </c>
      <c r="B46" s="84"/>
      <c r="C46" s="84"/>
      <c r="D46" s="84"/>
      <c r="E46" s="84" t="s">
        <v>90</v>
      </c>
    </row>
    <row r="62" spans="1:23" s="2" customFormat="1" ht="23.25" x14ac:dyDescent="0.35">
      <c r="A62" s="7"/>
      <c r="E62" s="4"/>
      <c r="F62" s="4"/>
      <c r="G62" s="3"/>
      <c r="H62" s="3"/>
      <c r="W62" s="3"/>
    </row>
    <row r="63" spans="1:23" s="2" customFormat="1" ht="23.25" x14ac:dyDescent="0.35">
      <c r="D63" s="43"/>
    </row>
    <row r="64" spans="1:23" s="2" customFormat="1" ht="23.25" x14ac:dyDescent="0.35"/>
    <row r="65" spans="1:1" s="2" customFormat="1" ht="23.25" x14ac:dyDescent="0.35">
      <c r="A65" s="7"/>
    </row>
  </sheetData>
  <hyperlinks>
    <hyperlink ref="B11" r:id="rId1" xr:uid="{22066945-EE23-4647-9DC5-9C2EBD036753}"/>
    <hyperlink ref="B2" r:id="rId2" xr:uid="{225F62B5-75C2-4FBE-BA9F-7E33466675CE}"/>
    <hyperlink ref="C2" r:id="rId3" xr:uid="{A4D8CDCA-0C77-433C-9A9F-12CF7EB5779D}"/>
    <hyperlink ref="B21" r:id="rId4" xr:uid="{A9E2167F-FC09-4E50-86CD-2D0D53E4AF87}"/>
    <hyperlink ref="B31" r:id="rId5" xr:uid="{DFBBCFAB-DB2E-4542-9A63-4C7A22646ACD}"/>
    <hyperlink ref="B43" r:id="rId6" xr:uid="{FD2197C7-CE37-4FAD-9A4B-9E6F3D9A3EFE}"/>
  </hyperlinks>
  <pageMargins left="0.7" right="0.7" top="0.75" bottom="0.75" header="0.3" footer="0.3"/>
  <pageSetup paperSize="9" orientation="portrait" r:id="rId7"/>
  <drawing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36E05-4796-4A1A-8649-0743ED141114}">
  <dimension ref="C7:AD43"/>
  <sheetViews>
    <sheetView topLeftCell="A2" zoomScale="85" zoomScaleNormal="85" workbookViewId="0">
      <selection activeCell="S12" sqref="S12"/>
    </sheetView>
  </sheetViews>
  <sheetFormatPr defaultRowHeight="15.75" x14ac:dyDescent="0.25"/>
  <cols>
    <col min="4" max="4" width="20" customWidth="1"/>
    <col min="6" max="6" width="13.5" style="75" bestFit="1" customWidth="1"/>
    <col min="7" max="21" width="10.5" style="75" customWidth="1"/>
  </cols>
  <sheetData>
    <row r="7" spans="3:21" x14ac:dyDescent="0.25">
      <c r="C7" t="s">
        <v>86</v>
      </c>
      <c r="D7" t="s">
        <v>87</v>
      </c>
      <c r="F7" s="74"/>
      <c r="G7" s="74"/>
      <c r="H7" s="74"/>
      <c r="I7" s="74"/>
      <c r="J7" s="74"/>
      <c r="K7" s="74"/>
      <c r="L7" s="74"/>
      <c r="M7" s="74"/>
      <c r="N7" s="74"/>
      <c r="O7" s="74"/>
      <c r="P7" s="74"/>
      <c r="Q7" s="74"/>
      <c r="R7" s="74"/>
      <c r="S7" s="74"/>
      <c r="T7" s="74"/>
      <c r="U7" s="74"/>
    </row>
    <row r="8" spans="3:21" ht="26.25" x14ac:dyDescent="0.25">
      <c r="F8" s="76"/>
      <c r="G8" s="76" t="s">
        <v>115</v>
      </c>
      <c r="H8" s="76"/>
      <c r="I8" s="76"/>
      <c r="J8" s="76"/>
      <c r="K8" s="76"/>
      <c r="L8" s="76"/>
      <c r="M8" s="76"/>
      <c r="N8" s="76"/>
      <c r="O8" s="76"/>
      <c r="P8" s="76"/>
      <c r="Q8" s="76"/>
      <c r="R8" s="76"/>
      <c r="S8" s="76"/>
      <c r="T8" s="76"/>
      <c r="U8" s="76"/>
    </row>
    <row r="9" spans="3:21" x14ac:dyDescent="0.25">
      <c r="F9" s="76"/>
      <c r="G9" s="76"/>
      <c r="H9" s="76"/>
      <c r="I9" s="76"/>
      <c r="J9" s="76"/>
      <c r="K9" s="76"/>
      <c r="L9" s="76"/>
      <c r="M9" s="76"/>
      <c r="N9" s="76"/>
      <c r="O9" s="76"/>
      <c r="P9" s="76"/>
      <c r="Q9" s="76"/>
      <c r="R9" s="76"/>
      <c r="S9" s="76"/>
      <c r="T9" s="76"/>
      <c r="U9" s="76"/>
    </row>
    <row r="12" spans="3:21" ht="75" x14ac:dyDescent="0.25">
      <c r="F12" s="77"/>
      <c r="G12" s="78" t="s">
        <v>83</v>
      </c>
      <c r="H12" s="78" t="s">
        <v>113</v>
      </c>
      <c r="I12" s="78" t="s">
        <v>84</v>
      </c>
      <c r="J12" s="78" t="s">
        <v>114</v>
      </c>
      <c r="K12" s="80"/>
    </row>
    <row r="13" spans="3:21" x14ac:dyDescent="0.25">
      <c r="E13" t="s">
        <v>88</v>
      </c>
      <c r="F13" s="78" t="s">
        <v>4</v>
      </c>
      <c r="G13" s="79">
        <v>14</v>
      </c>
      <c r="H13" s="79">
        <v>6</v>
      </c>
      <c r="I13" s="79">
        <v>12</v>
      </c>
      <c r="J13" s="79">
        <v>5</v>
      </c>
      <c r="K13" s="81"/>
    </row>
    <row r="14" spans="3:21" x14ac:dyDescent="0.25">
      <c r="F14" s="78" t="s">
        <v>5</v>
      </c>
      <c r="G14" s="79">
        <v>18</v>
      </c>
      <c r="H14" s="79">
        <v>2</v>
      </c>
      <c r="I14" s="79">
        <v>6</v>
      </c>
      <c r="J14" s="79">
        <v>1</v>
      </c>
      <c r="K14" s="81"/>
    </row>
    <row r="15" spans="3:21" x14ac:dyDescent="0.25">
      <c r="F15" s="78" t="s">
        <v>16</v>
      </c>
      <c r="G15" s="79">
        <v>95</v>
      </c>
      <c r="H15" s="79">
        <v>16</v>
      </c>
      <c r="I15" s="79">
        <v>147</v>
      </c>
      <c r="J15" s="79">
        <v>25</v>
      </c>
      <c r="K15" s="81"/>
    </row>
    <row r="16" spans="3:21" x14ac:dyDescent="0.25">
      <c r="F16" s="78" t="s">
        <v>12</v>
      </c>
      <c r="G16" s="79">
        <v>177</v>
      </c>
      <c r="H16" s="79">
        <v>20</v>
      </c>
      <c r="I16" s="79">
        <v>129</v>
      </c>
      <c r="J16" s="79">
        <v>14</v>
      </c>
      <c r="K16" s="81"/>
    </row>
    <row r="17" spans="6:10" x14ac:dyDescent="0.25">
      <c r="F17" s="78" t="s">
        <v>13</v>
      </c>
      <c r="G17" s="79">
        <v>259</v>
      </c>
      <c r="H17" s="79">
        <v>16</v>
      </c>
      <c r="I17" s="79">
        <v>336</v>
      </c>
      <c r="J17" s="79">
        <v>21</v>
      </c>
    </row>
    <row r="18" spans="6:10" x14ac:dyDescent="0.25">
      <c r="F18" s="78" t="s">
        <v>6</v>
      </c>
      <c r="G18" s="79">
        <v>318</v>
      </c>
      <c r="H18" s="79">
        <v>55</v>
      </c>
      <c r="I18" s="79">
        <v>175</v>
      </c>
      <c r="J18" s="79">
        <v>30</v>
      </c>
    </row>
    <row r="19" spans="6:10" x14ac:dyDescent="0.25">
      <c r="F19" s="78" t="s">
        <v>10</v>
      </c>
      <c r="G19" s="79">
        <v>337</v>
      </c>
      <c r="H19" s="79">
        <v>32</v>
      </c>
      <c r="I19" s="79">
        <v>128</v>
      </c>
      <c r="J19" s="79">
        <v>12</v>
      </c>
    </row>
    <row r="20" spans="6:10" x14ac:dyDescent="0.25">
      <c r="F20" s="78" t="s">
        <v>14</v>
      </c>
      <c r="G20" s="79">
        <v>486</v>
      </c>
      <c r="H20" s="79">
        <v>65</v>
      </c>
      <c r="I20" s="79">
        <v>405</v>
      </c>
      <c r="J20" s="79">
        <v>54</v>
      </c>
    </row>
    <row r="21" spans="6:10" x14ac:dyDescent="0.25">
      <c r="F21" s="78" t="s">
        <v>15</v>
      </c>
      <c r="G21" s="79">
        <v>702</v>
      </c>
      <c r="H21" s="79">
        <v>44</v>
      </c>
      <c r="I21" s="79">
        <v>360</v>
      </c>
      <c r="J21" s="79">
        <v>22</v>
      </c>
    </row>
    <row r="22" spans="6:10" x14ac:dyDescent="0.25">
      <c r="F22" s="78" t="s">
        <v>17</v>
      </c>
      <c r="G22" s="79">
        <v>941</v>
      </c>
      <c r="H22" s="79">
        <v>43</v>
      </c>
      <c r="I22" s="79">
        <v>859</v>
      </c>
      <c r="J22" s="79">
        <v>39</v>
      </c>
    </row>
    <row r="23" spans="6:10" ht="30" x14ac:dyDescent="0.25">
      <c r="F23" s="78" t="s">
        <v>11</v>
      </c>
      <c r="G23" s="79">
        <v>1592</v>
      </c>
      <c r="H23" s="79">
        <v>60</v>
      </c>
      <c r="I23" s="79">
        <v>2544</v>
      </c>
      <c r="J23" s="79">
        <v>96</v>
      </c>
    </row>
    <row r="24" spans="6:10" ht="30" x14ac:dyDescent="0.25">
      <c r="F24" s="78" t="s">
        <v>7</v>
      </c>
      <c r="G24" s="79">
        <v>1963</v>
      </c>
      <c r="H24" s="79">
        <v>245</v>
      </c>
      <c r="I24" s="79">
        <v>960</v>
      </c>
      <c r="J24" s="79">
        <v>120</v>
      </c>
    </row>
    <row r="25" spans="6:10" x14ac:dyDescent="0.25">
      <c r="F25" s="78" t="s">
        <v>85</v>
      </c>
      <c r="G25" s="79">
        <v>4864</v>
      </c>
      <c r="H25" s="79">
        <v>201</v>
      </c>
      <c r="I25" s="79">
        <v>2082</v>
      </c>
      <c r="J25" s="79">
        <v>86</v>
      </c>
    </row>
    <row r="26" spans="6:10" x14ac:dyDescent="0.25">
      <c r="F26" s="78" t="s">
        <v>9</v>
      </c>
      <c r="G26" s="79">
        <v>7920</v>
      </c>
      <c r="H26" s="79">
        <v>2303</v>
      </c>
      <c r="I26" s="79">
        <v>4822</v>
      </c>
      <c r="J26" s="79">
        <v>1402</v>
      </c>
    </row>
    <row r="27" spans="6:10" ht="30" x14ac:dyDescent="0.25">
      <c r="F27" s="78" t="s">
        <v>2</v>
      </c>
      <c r="G27" s="79">
        <v>28923</v>
      </c>
      <c r="H27" s="79">
        <v>2016</v>
      </c>
      <c r="I27" s="79">
        <v>30816</v>
      </c>
      <c r="J27" s="79">
        <v>2148</v>
      </c>
    </row>
    <row r="39" spans="4:30" ht="33.75" x14ac:dyDescent="0.25">
      <c r="D39" s="8"/>
      <c r="E39" s="8"/>
      <c r="F39" s="8"/>
      <c r="G39" s="8"/>
      <c r="H39" s="8"/>
      <c r="I39" s="8"/>
      <c r="J39" s="8"/>
      <c r="K39" s="8"/>
      <c r="L39" s="8"/>
      <c r="M39" s="8"/>
      <c r="N39" s="8"/>
      <c r="O39" s="8"/>
      <c r="P39" s="8"/>
      <c r="Q39" s="8"/>
      <c r="R39" s="8"/>
    </row>
    <row r="40" spans="4:30" ht="23.25" x14ac:dyDescent="0.35">
      <c r="D40" s="13"/>
      <c r="E40" s="13"/>
      <c r="F40" s="13"/>
      <c r="G40" s="13"/>
      <c r="H40" s="13"/>
      <c r="I40" s="13"/>
      <c r="J40" s="13"/>
      <c r="K40" s="13"/>
      <c r="L40" s="13"/>
      <c r="M40" s="13"/>
      <c r="N40" s="13"/>
      <c r="O40" s="13"/>
      <c r="P40" s="13"/>
      <c r="Q40" s="13"/>
      <c r="R40" s="13"/>
    </row>
    <row r="41" spans="4:30" ht="33.75" x14ac:dyDescent="0.35">
      <c r="D41" s="13"/>
      <c r="E41" s="13"/>
      <c r="F41" s="13"/>
      <c r="G41" s="13"/>
      <c r="H41" s="13"/>
      <c r="I41" s="13"/>
      <c r="J41" s="13"/>
      <c r="K41" s="13"/>
      <c r="L41" s="13"/>
      <c r="M41" s="13"/>
      <c r="N41" s="13"/>
      <c r="O41" s="13"/>
      <c r="P41" s="13"/>
      <c r="Q41" s="13"/>
      <c r="R41" s="13"/>
      <c r="S41" s="8"/>
      <c r="T41" s="8"/>
      <c r="U41" s="8"/>
      <c r="V41" s="8"/>
      <c r="W41" s="8"/>
      <c r="X41" s="8"/>
      <c r="Y41" s="8"/>
      <c r="Z41" s="8"/>
      <c r="AA41" s="8"/>
      <c r="AB41" s="8"/>
      <c r="AC41" s="8"/>
      <c r="AD41" s="8"/>
    </row>
    <row r="42" spans="4:30" ht="23.25" x14ac:dyDescent="0.35">
      <c r="P42" s="13"/>
      <c r="Q42" s="13"/>
      <c r="R42" s="13"/>
      <c r="S42" s="13"/>
      <c r="T42" s="13"/>
      <c r="U42" s="13"/>
      <c r="V42" s="13"/>
      <c r="W42" s="13"/>
      <c r="X42" s="13"/>
      <c r="Y42" s="13"/>
      <c r="Z42" s="13"/>
      <c r="AA42" s="13"/>
      <c r="AB42" s="13"/>
      <c r="AC42" s="13"/>
      <c r="AD42" s="13"/>
    </row>
    <row r="43" spans="4:30" ht="23.25" x14ac:dyDescent="0.35">
      <c r="P43" s="13"/>
      <c r="Q43" s="13"/>
      <c r="R43" s="13"/>
      <c r="S43" s="13"/>
      <c r="T43" s="13"/>
      <c r="U43" s="13"/>
      <c r="V43" s="13"/>
      <c r="W43" s="13"/>
      <c r="X43" s="13"/>
      <c r="Y43" s="13"/>
      <c r="Z43" s="13"/>
      <c r="AA43" s="13"/>
      <c r="AB43" s="13"/>
      <c r="AC43" s="13"/>
      <c r="AD43" s="13"/>
    </row>
  </sheetData>
  <sortState xmlns:xlrd2="http://schemas.microsoft.com/office/spreadsheetml/2017/richdata2" ref="F13:I27">
    <sortCondition ref="G13:G2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6CE5-5152-431F-A0D5-142C6EC6C1DB}">
  <dimension ref="C4:K8"/>
  <sheetViews>
    <sheetView zoomScale="85" zoomScaleNormal="85" workbookViewId="0">
      <selection activeCell="N8" sqref="N8"/>
    </sheetView>
  </sheetViews>
  <sheetFormatPr defaultRowHeight="15.75" x14ac:dyDescent="0.25"/>
  <sheetData>
    <row r="4" spans="3:11" ht="47.25" x14ac:dyDescent="0.25">
      <c r="C4" t="s">
        <v>77</v>
      </c>
      <c r="D4" s="87" t="s">
        <v>99</v>
      </c>
      <c r="E4" t="s">
        <v>100</v>
      </c>
      <c r="F4" t="s">
        <v>101</v>
      </c>
      <c r="J4" s="88" t="s">
        <v>102</v>
      </c>
      <c r="K4" s="87" t="s">
        <v>103</v>
      </c>
    </row>
    <row r="5" spans="3:11" x14ac:dyDescent="0.25">
      <c r="C5" t="s">
        <v>98</v>
      </c>
      <c r="D5">
        <v>24524</v>
      </c>
      <c r="E5">
        <v>11456</v>
      </c>
      <c r="F5">
        <v>13906</v>
      </c>
      <c r="J5">
        <f>100*D5/E5</f>
        <v>214.07122905027933</v>
      </c>
      <c r="K5">
        <f>100*D5/F5</f>
        <v>176.35552998705595</v>
      </c>
    </row>
    <row r="6" spans="3:11" x14ac:dyDescent="0.25">
      <c r="C6" t="s">
        <v>85</v>
      </c>
      <c r="D6">
        <v>380</v>
      </c>
      <c r="E6">
        <v>4141</v>
      </c>
      <c r="F6">
        <v>2506</v>
      </c>
      <c r="J6" s="84">
        <f>100*D6/E6</f>
        <v>9.1765274088384441</v>
      </c>
      <c r="K6" s="84">
        <f>100*D6/F6</f>
        <v>15.163607342378292</v>
      </c>
    </row>
    <row r="7" spans="3:11" ht="23.25" x14ac:dyDescent="0.35">
      <c r="C7" t="s">
        <v>15</v>
      </c>
      <c r="D7">
        <v>581</v>
      </c>
      <c r="E7" s="60">
        <v>372</v>
      </c>
      <c r="F7">
        <v>325</v>
      </c>
      <c r="J7" s="84">
        <f>100*D7/E7</f>
        <v>156.18279569892474</v>
      </c>
      <c r="K7" s="84">
        <f>100*D7/F7</f>
        <v>178.76923076923077</v>
      </c>
    </row>
    <row r="8" spans="3:11" ht="31.5" x14ac:dyDescent="0.25">
      <c r="C8" s="87" t="s">
        <v>11</v>
      </c>
      <c r="D8">
        <v>209</v>
      </c>
      <c r="E8">
        <v>528</v>
      </c>
      <c r="F8">
        <v>765</v>
      </c>
      <c r="J8" s="84">
        <f>100*D8/E8</f>
        <v>39.583333333333336</v>
      </c>
      <c r="K8" s="84">
        <f>100*D8/F8</f>
        <v>27.320261437908496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05C4-F7BA-44F8-815B-2CB80C4AEF4C}">
  <dimension ref="A1:D3"/>
  <sheetViews>
    <sheetView zoomScale="85" zoomScaleNormal="85" workbookViewId="0">
      <selection activeCell="S6" sqref="S6"/>
    </sheetView>
  </sheetViews>
  <sheetFormatPr defaultRowHeight="15.75" x14ac:dyDescent="0.25"/>
  <cols>
    <col min="1" max="1" width="12" style="84" bestFit="1" customWidth="1"/>
    <col min="2" max="2" width="11.875" bestFit="1" customWidth="1"/>
    <col min="3" max="3" width="16.875" customWidth="1"/>
  </cols>
  <sheetData>
    <row r="1" spans="1:4" x14ac:dyDescent="0.25">
      <c r="A1" s="84" t="s">
        <v>107</v>
      </c>
      <c r="B1">
        <v>918.13</v>
      </c>
      <c r="C1" t="s">
        <v>19</v>
      </c>
    </row>
    <row r="2" spans="1:4" x14ac:dyDescent="0.25">
      <c r="A2" s="84" t="s">
        <v>108</v>
      </c>
      <c r="B2">
        <v>4140.9817351598176</v>
      </c>
      <c r="C2" s="84" t="s">
        <v>19</v>
      </c>
      <c r="D2">
        <f>100*B1/B2</f>
        <v>22.171795451412816</v>
      </c>
    </row>
    <row r="3" spans="1:4" x14ac:dyDescent="0.25">
      <c r="A3" s="84" t="s">
        <v>109</v>
      </c>
      <c r="B3">
        <v>2505.821917808219</v>
      </c>
      <c r="C3" s="84" t="s">
        <v>19</v>
      </c>
      <c r="D3">
        <f>100*B1/B3</f>
        <v>36.639874265409325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Compact</vt:lpstr>
      <vt:lpstr>Main</vt:lpstr>
      <vt:lpstr>Renewables for final demand</vt:lpstr>
      <vt:lpstr>Geothermal potentials</vt:lpstr>
      <vt:lpstr>WtE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MacGill</dc:creator>
  <cp:lastModifiedBy>Shayan Naderi</cp:lastModifiedBy>
  <dcterms:created xsi:type="dcterms:W3CDTF">2021-11-16T02:36:02Z</dcterms:created>
  <dcterms:modified xsi:type="dcterms:W3CDTF">2022-02-14T05:48:37Z</dcterms:modified>
</cp:coreProperties>
</file>