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 1" sheetId="1" r:id="rId4"/>
    <sheet state="visible" name="page 2" sheetId="2" r:id="rId5"/>
    <sheet state="visible" name="page 2B" sheetId="3" r:id="rId6"/>
    <sheet state="visible" name="page 3" sheetId="4" r:id="rId7"/>
  </sheets>
  <definedNames/>
  <calcPr/>
</workbook>
</file>

<file path=xl/sharedStrings.xml><?xml version="1.0" encoding="utf-8"?>
<sst xmlns="http://schemas.openxmlformats.org/spreadsheetml/2006/main" count="163" uniqueCount="76">
  <si>
    <t>REVENUE ANALYSIS</t>
  </si>
  <si>
    <t>Year</t>
  </si>
  <si>
    <t>Revenue from services(cr)</t>
  </si>
  <si>
    <t>Percentage change in services revenue</t>
  </si>
  <si>
    <t>Revenue from sale of traded goods(cr)</t>
  </si>
  <si>
    <t>Percentage change in goods revenue</t>
  </si>
  <si>
    <t>other revenue(cr)</t>
  </si>
  <si>
    <t>Total revenue(cr)</t>
  </si>
  <si>
    <t xml:space="preserve">Changes in revenue </t>
  </si>
  <si>
    <t>-</t>
  </si>
  <si>
    <t>Total</t>
  </si>
  <si>
    <t>PROFIT AND LOSS ACCOUNT ANALYSIS</t>
  </si>
  <si>
    <t>Particulars</t>
  </si>
  <si>
    <t>FY 2020 (₹ Cr)</t>
  </si>
  <si>
    <t>FY 2021 (₹ Cr)</t>
  </si>
  <si>
    <t>FY 2022 (₹ Cr)</t>
  </si>
  <si>
    <t>FY 2023 (₹ Cr)</t>
  </si>
  <si>
    <t>FY 2024 (₹ Cr)</t>
  </si>
  <si>
    <t>Net Profit Margin</t>
  </si>
  <si>
    <t>Gross Profit Margin</t>
  </si>
  <si>
    <t xml:space="preserve">Primary cost driver </t>
  </si>
  <si>
    <t>Highest in 2024 (in Cr)</t>
  </si>
  <si>
    <t>Average (in Cr)</t>
  </si>
  <si>
    <t>Revenue from Operations</t>
  </si>
  <si>
    <t>Employee Benefits Expense</t>
  </si>
  <si>
    <t>Other Income</t>
  </si>
  <si>
    <t>Other Expenses</t>
  </si>
  <si>
    <t>Total Income</t>
  </si>
  <si>
    <t>Purchases of Stock-in-Trade</t>
  </si>
  <si>
    <t>Expenses heads</t>
  </si>
  <si>
    <t>Average cost</t>
  </si>
  <si>
    <t>Changes in Inventories</t>
  </si>
  <si>
    <t>Finance Costs</t>
  </si>
  <si>
    <t>Revenue from operation growth</t>
  </si>
  <si>
    <t>Expense growth</t>
  </si>
  <si>
    <t>Depreciation &amp; Amortisation</t>
  </si>
  <si>
    <t>(2020 - 2024)</t>
  </si>
  <si>
    <t>Total Expenses</t>
  </si>
  <si>
    <t>Share of profit / (loss) of an associate and joint venture</t>
  </si>
  <si>
    <t xml:space="preserve">Exceptional items </t>
  </si>
  <si>
    <t>Profit / (Loss) Before Tax</t>
  </si>
  <si>
    <t>Current tax</t>
  </si>
  <si>
    <t>Deferred tax</t>
  </si>
  <si>
    <t>Profit / (Loss) after Tax</t>
  </si>
  <si>
    <t>Cost of goods sold</t>
  </si>
  <si>
    <t xml:space="preserve">Gross profit </t>
  </si>
  <si>
    <t>PROFIT AND LOSS ACCOUNT COMPARATIVE ANALYSIS (last four years)</t>
  </si>
  <si>
    <t>Zomato</t>
  </si>
  <si>
    <t>Swiggy</t>
  </si>
  <si>
    <t>company</t>
  </si>
  <si>
    <t xml:space="preserve">Profit / (Loss) </t>
  </si>
  <si>
    <t>Profit / (Loss) Before share of loss and exceptional item</t>
  </si>
  <si>
    <t>Cash flow statement analysis</t>
  </si>
  <si>
    <t>Cash flow statement</t>
  </si>
  <si>
    <t>FY</t>
  </si>
  <si>
    <t>Cash at Start (₹ Cr)</t>
  </si>
  <si>
    <t>Operating Cash Outflow (₹ Cr)</t>
  </si>
  <si>
    <t>Monthly Burn Rate (₹ Cr)</t>
  </si>
  <si>
    <t>Runway (Months)</t>
  </si>
  <si>
    <t xml:space="preserve">Cash flow from operating activity </t>
  </si>
  <si>
    <t>₹155.6 Cr</t>
  </si>
  <si>
    <t>0.9 months (~27 days)</t>
  </si>
  <si>
    <t xml:space="preserve">Cash flow from investing activity </t>
  </si>
  <si>
    <t>₹167.2 Cr</t>
  </si>
  <si>
    <t>2.0 months</t>
  </si>
  <si>
    <t xml:space="preserve">cash flow from financing activity </t>
  </si>
  <si>
    <t>₹306.5 Cr</t>
  </si>
  <si>
    <t>5.3 months</t>
  </si>
  <si>
    <t xml:space="preserve">Cash and cash equivalent at the beginning of the year </t>
  </si>
  <si>
    <t>₹392 Cr</t>
  </si>
  <si>
    <t>5.6 months</t>
  </si>
  <si>
    <t xml:space="preserve">Cash and cash equivalent at the end of the year </t>
  </si>
  <si>
    <t>₹218 Cr</t>
  </si>
  <si>
    <t>No Burn Rate</t>
  </si>
  <si>
    <t>Cash Generating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</si>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</sst>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-809]#,##0.00"/>
    <numFmt numFmtId="165" formatCode="[$₹]#,##0.0"/>
  </numFmts>
  <fonts count="28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b/>
      <sz val="11.0"/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0"/>
      <name val="Arial"/>
      <scheme val="minor"/>
    </font>
    <font>
      <color theme="1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>
      <sz val="11.0"/>
      <color theme="0"/>
      <name val="Arial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b/>
      <sz val="10.0"/>
      <color theme="1"/>
      <name val="Arial"/>
    </font>
    <font>
      <color theme="1"/>
      <name val="Arial"/>
    </font>
    <font>
      <b/>
      <color theme="1"/>
      <name val="Arial"/>
    </font>
    <font>
      <i/>
      <color theme="1"/>
      <name val="Arial"/>
    </font>
    <font>
      <b/>
      <color rgb="FFFFFFFF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b/>
      <color rgb="FF000000"/>
      <name val="Arial"/>
    </font>
    <font>
      <b/>
      <sz val="14.0"/>
      <color theme="1"/>
      <name val="Arial"/>
      <scheme val="minor"/>
    </font>
    <font>
      <b/>
      <sz val="10.0"/>
      <color rgb="FFFFFFFF"/>
      <name val="Arial"/>
      <scheme val="minor"/>
    </font>
    <font>
      <sz val="10.0"/>
      <color theme="1"/>
      <name val="Arial"/>
      <scheme val="minor"/>
    </font>
    <font>
      <b/>
      <color rgb="FFFFFFFF"/>
      <name val="Arial"/>
    </font>
    <font>
      <b/>
      <sz val="11.0"/>
      <color theme="1"/>
      <name val="Arial"/>
    </font>
    <font>
      <sz val="11.0"/>
      <color theme="1"/>
      <name val="Arial"/>
      <scheme val="minor"/>
    </font>
    <font>
      <sz val="11.0"/>
      <color theme="0"/>
      <name val="Arial"/>
      <scheme val="minor"/>
    </font>
    <font>
      <b/>
      <i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4" numFmtId="0" xfId="0" applyAlignment="1" applyBorder="1" applyFont="1">
      <alignment horizontal="right" readingOrder="0"/>
    </xf>
    <xf borderId="4" fillId="2" fontId="5" numFmtId="0" xfId="0" applyAlignment="1" applyBorder="1" applyFill="1" applyFont="1">
      <alignment horizontal="right" readingOrder="0"/>
    </xf>
    <xf borderId="4" fillId="3" fontId="5" numFmtId="0" xfId="0" applyAlignment="1" applyBorder="1" applyFill="1" applyFont="1">
      <alignment horizontal="right" readingOrder="0"/>
    </xf>
    <xf borderId="0" fillId="0" fontId="4" numFmtId="0" xfId="0" applyAlignment="1" applyFont="1">
      <alignment horizontal="right"/>
    </xf>
    <xf borderId="4" fillId="0" fontId="6" numFmtId="0" xfId="0" applyAlignment="1" applyBorder="1" applyFont="1">
      <alignment readingOrder="0"/>
    </xf>
    <xf borderId="4" fillId="2" fontId="7" numFmtId="3" xfId="0" applyAlignment="1" applyBorder="1" applyFont="1" applyNumberFormat="1">
      <alignment readingOrder="0"/>
    </xf>
    <xf borderId="4" fillId="0" fontId="6" numFmtId="3" xfId="0" applyAlignment="1" applyBorder="1" applyFont="1" applyNumberFormat="1">
      <alignment horizontal="center" readingOrder="0"/>
    </xf>
    <xf borderId="4" fillId="3" fontId="8" numFmtId="0" xfId="0" applyAlignment="1" applyBorder="1" applyFont="1">
      <alignment readingOrder="0"/>
    </xf>
    <xf borderId="4" fillId="0" fontId="6" numFmtId="0" xfId="0" applyAlignment="1" applyBorder="1" applyFont="1">
      <alignment horizontal="center" readingOrder="0"/>
    </xf>
    <xf borderId="4" fillId="0" fontId="6" numFmtId="3" xfId="0" applyBorder="1" applyFont="1" applyNumberFormat="1"/>
    <xf borderId="4" fillId="2" fontId="7" numFmtId="0" xfId="0" applyAlignment="1" applyBorder="1" applyFont="1">
      <alignment readingOrder="0"/>
    </xf>
    <xf borderId="4" fillId="0" fontId="6" numFmtId="10" xfId="0" applyAlignment="1" applyBorder="1" applyFont="1" applyNumberFormat="1">
      <alignment readingOrder="0"/>
    </xf>
    <xf borderId="4" fillId="0" fontId="6" numFmtId="10" xfId="0" applyBorder="1" applyFont="1" applyNumberFormat="1"/>
    <xf borderId="4" fillId="0" fontId="6" numFmtId="0" xfId="0" applyBorder="1" applyFont="1"/>
    <xf borderId="4" fillId="2" fontId="9" numFmtId="0" xfId="0" applyAlignment="1" applyBorder="1" applyFont="1">
      <alignment readingOrder="0"/>
    </xf>
    <xf borderId="4" fillId="3" fontId="8" numFmtId="3" xfId="0" applyAlignment="1" applyBorder="1" applyFont="1" applyNumberFormat="1">
      <alignment readingOrder="0"/>
    </xf>
    <xf borderId="4" fillId="2" fontId="9" numFmtId="3" xfId="0" applyAlignment="1" applyBorder="1" applyFont="1" applyNumberFormat="1">
      <alignment readingOrder="0"/>
    </xf>
    <xf borderId="4" fillId="0" fontId="3" numFmtId="0" xfId="0" applyAlignment="1" applyBorder="1" applyFont="1">
      <alignment readingOrder="0"/>
    </xf>
    <xf borderId="4" fillId="0" fontId="3" numFmtId="3" xfId="0" applyBorder="1" applyFont="1" applyNumberFormat="1"/>
    <xf borderId="4" fillId="0" fontId="3" numFmtId="0" xfId="0" applyBorder="1" applyFont="1"/>
    <xf borderId="0" fillId="0" fontId="10" numFmtId="0" xfId="0" applyFont="1"/>
    <xf borderId="0" fillId="0" fontId="6" numFmtId="10" xfId="0" applyFont="1" applyNumberForma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/>
    </xf>
    <xf borderId="4" fillId="0" fontId="11" numFmtId="0" xfId="0" applyAlignment="1" applyBorder="1" applyFont="1">
      <alignment horizontal="left" readingOrder="0"/>
    </xf>
    <xf borderId="4" fillId="0" fontId="11" numFmtId="0" xfId="0" applyAlignment="1" applyBorder="1" applyFont="1">
      <alignment horizontal="right" readingOrder="0"/>
    </xf>
    <xf borderId="4" fillId="0" fontId="12" numFmtId="0" xfId="0" applyAlignment="1" applyBorder="1" applyFont="1">
      <alignment horizontal="right" vertical="bottom"/>
    </xf>
    <xf borderId="0" fillId="0" fontId="11" numFmtId="0" xfId="0" applyAlignment="1" applyFont="1">
      <alignment horizontal="right"/>
    </xf>
    <xf borderId="4" fillId="0" fontId="11" numFmtId="0" xfId="0" applyAlignment="1" applyBorder="1" applyFont="1">
      <alignment horizontal="center" readingOrder="0"/>
    </xf>
    <xf borderId="4" fillId="4" fontId="11" numFmtId="0" xfId="0" applyAlignment="1" applyBorder="1" applyFill="1" applyFont="1">
      <alignment horizontal="center" readingOrder="0"/>
    </xf>
    <xf borderId="4" fillId="5" fontId="11" numFmtId="0" xfId="0" applyAlignment="1" applyBorder="1" applyFill="1" applyFont="1">
      <alignment horizontal="center" readingOrder="0"/>
    </xf>
    <xf borderId="0" fillId="0" fontId="11" numFmtId="0" xfId="0" applyFont="1"/>
    <xf borderId="4" fillId="0" fontId="6" numFmtId="0" xfId="0" applyAlignment="1" applyBorder="1" applyFont="1">
      <alignment horizontal="left" readingOrder="0"/>
    </xf>
    <xf borderId="4" fillId="5" fontId="6" numFmtId="3" xfId="0" applyAlignment="1" applyBorder="1" applyFont="1" applyNumberFormat="1">
      <alignment horizontal="right" readingOrder="0"/>
    </xf>
    <xf borderId="4" fillId="5" fontId="13" numFmtId="3" xfId="0" applyAlignment="1" applyBorder="1" applyFont="1" applyNumberFormat="1">
      <alignment horizontal="right" vertical="bottom"/>
    </xf>
    <xf borderId="4" fillId="4" fontId="6" numFmtId="10" xfId="0" applyAlignment="1" applyBorder="1" applyFont="1" applyNumberFormat="1">
      <alignment horizontal="center"/>
    </xf>
    <xf borderId="4" fillId="5" fontId="6" numFmtId="10" xfId="0" applyAlignment="1" applyBorder="1" applyFont="1" applyNumberFormat="1">
      <alignment horizontal="center"/>
    </xf>
    <xf borderId="4" fillId="0" fontId="6" numFmtId="3" xfId="0" applyAlignment="1" applyBorder="1" applyFont="1" applyNumberFormat="1">
      <alignment horizontal="center"/>
    </xf>
    <xf borderId="4" fillId="0" fontId="6" numFmtId="0" xfId="0" applyAlignment="1" applyBorder="1" applyFont="1">
      <alignment horizontal="right" readingOrder="0"/>
    </xf>
    <xf borderId="4" fillId="0" fontId="13" numFmtId="0" xfId="0" applyAlignment="1" applyBorder="1" applyFont="1">
      <alignment horizontal="right" vertical="bottom"/>
    </xf>
    <xf borderId="4" fillId="0" fontId="6" numFmtId="0" xfId="0" applyAlignment="1" applyBorder="1" applyFont="1">
      <alignment horizontal="center"/>
    </xf>
    <xf borderId="4" fillId="0" fontId="10" numFmtId="0" xfId="0" applyAlignment="1" applyBorder="1" applyFont="1">
      <alignment horizontal="left" readingOrder="0"/>
    </xf>
    <xf borderId="4" fillId="2" fontId="10" numFmtId="3" xfId="0" applyAlignment="1" applyBorder="1" applyFont="1" applyNumberFormat="1">
      <alignment horizontal="right" readingOrder="0"/>
    </xf>
    <xf borderId="4" fillId="0" fontId="10" numFmtId="3" xfId="0" applyAlignment="1" applyBorder="1" applyFont="1" applyNumberFormat="1">
      <alignment horizontal="right" readingOrder="0"/>
    </xf>
    <xf borderId="4" fillId="2" fontId="14" numFmtId="3" xfId="0" applyAlignment="1" applyBorder="1" applyFont="1" applyNumberFormat="1">
      <alignment horizontal="right" vertical="bottom"/>
    </xf>
    <xf borderId="0" fillId="0" fontId="10" numFmtId="0" xfId="0" applyAlignment="1" applyFont="1">
      <alignment horizontal="right"/>
    </xf>
    <xf borderId="0" fillId="0" fontId="6" numFmtId="0" xfId="0" applyAlignment="1" applyFont="1">
      <alignment horizontal="left" readingOrder="0"/>
    </xf>
    <xf borderId="0" fillId="0" fontId="10" numFmtId="10" xfId="0" applyAlignment="1" applyFont="1" applyNumberFormat="1">
      <alignment horizontal="center"/>
    </xf>
    <xf borderId="0" fillId="0" fontId="10" numFmtId="0" xfId="0" applyAlignment="1" applyFont="1">
      <alignment horizontal="center"/>
    </xf>
    <xf borderId="4" fillId="0" fontId="6" numFmtId="3" xfId="0" applyAlignment="1" applyBorder="1" applyFont="1" applyNumberFormat="1">
      <alignment horizontal="right" readingOrder="0"/>
    </xf>
    <xf borderId="4" fillId="0" fontId="13" numFmtId="3" xfId="0" applyAlignment="1" applyBorder="1" applyFont="1" applyNumberFormat="1">
      <alignment horizontal="right" vertical="bottom"/>
    </xf>
    <xf borderId="4" fillId="0" fontId="10" numFmtId="0" xfId="0" applyAlignment="1" applyBorder="1" applyFont="1">
      <alignment horizontal="center" readingOrder="0"/>
    </xf>
    <xf borderId="0" fillId="0" fontId="6" numFmtId="0" xfId="0" applyAlignment="1" applyFont="1">
      <alignment horizontal="center"/>
    </xf>
    <xf borderId="4" fillId="0" fontId="15" numFmtId="3" xfId="0" applyAlignment="1" applyBorder="1" applyFont="1" applyNumberFormat="1">
      <alignment horizontal="right" vertical="bottom"/>
    </xf>
    <xf borderId="0" fillId="0" fontId="10" numFmtId="0" xfId="0" applyAlignment="1" applyFont="1">
      <alignment horizontal="right" readingOrder="0"/>
    </xf>
    <xf borderId="4" fillId="2" fontId="16" numFmtId="0" xfId="0" applyAlignment="1" applyBorder="1" applyFont="1">
      <alignment horizontal="center" readingOrder="0"/>
    </xf>
    <xf borderId="4" fillId="6" fontId="17" numFmtId="0" xfId="0" applyAlignment="1" applyBorder="1" applyFill="1" applyFont="1">
      <alignment horizontal="center" readingOrder="0"/>
    </xf>
    <xf borderId="4" fillId="2" fontId="8" numFmtId="10" xfId="0" applyAlignment="1" applyBorder="1" applyFont="1" applyNumberFormat="1">
      <alignment horizontal="center"/>
    </xf>
    <xf borderId="4" fillId="6" fontId="18" numFmtId="10" xfId="0" applyAlignment="1" applyBorder="1" applyFont="1" applyNumberFormat="1">
      <alignment horizontal="center"/>
    </xf>
    <xf borderId="4" fillId="6" fontId="10" numFmtId="3" xfId="0" applyAlignment="1" applyBorder="1" applyFont="1" applyNumberFormat="1">
      <alignment horizontal="right" readingOrder="0"/>
    </xf>
    <xf borderId="4" fillId="6" fontId="19" numFmtId="3" xfId="0" applyAlignment="1" applyBorder="1" applyFont="1" applyNumberFormat="1">
      <alignment horizontal="right" vertical="bottom"/>
    </xf>
    <xf borderId="0" fillId="0" fontId="6" numFmtId="0" xfId="0" applyAlignment="1" applyFont="1">
      <alignment horizontal="right" readingOrder="0"/>
    </xf>
    <xf borderId="4" fillId="0" fontId="13" numFmtId="0" xfId="0" applyAlignment="1" applyBorder="1" applyFont="1">
      <alignment horizontal="right" readingOrder="0" vertical="bottom"/>
    </xf>
    <xf borderId="4" fillId="0" fontId="14" numFmtId="0" xfId="0" applyAlignment="1" applyBorder="1" applyFont="1">
      <alignment horizontal="left" vertical="bottom"/>
    </xf>
    <xf borderId="4" fillId="0" fontId="14" numFmtId="3" xfId="0" applyAlignment="1" applyBorder="1" applyFont="1" applyNumberFormat="1">
      <alignment horizontal="right" readingOrder="0" vertical="bottom"/>
    </xf>
    <xf borderId="4" fillId="0" fontId="14" numFmtId="3" xfId="0" applyAlignment="1" applyBorder="1" applyFont="1" applyNumberFormat="1">
      <alignment horizontal="right" vertical="bottom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4" fillId="4" fontId="10" numFmtId="3" xfId="0" applyAlignment="1" applyBorder="1" applyFont="1" applyNumberFormat="1">
      <alignment horizontal="right" readingOrder="0"/>
    </xf>
    <xf borderId="4" fillId="4" fontId="14" numFmtId="3" xfId="0" applyAlignment="1" applyBorder="1" applyFont="1" applyNumberFormat="1">
      <alignment horizontal="right" vertical="bottom"/>
    </xf>
    <xf borderId="0" fillId="0" fontId="6" numFmtId="0" xfId="0" applyAlignment="1" applyFont="1">
      <alignment horizontal="left"/>
    </xf>
    <xf borderId="0" fillId="0" fontId="10" numFmtId="0" xfId="0" applyAlignment="1" applyFont="1">
      <alignment horizontal="left" readingOrder="0"/>
    </xf>
    <xf borderId="0" fillId="0" fontId="6" numFmtId="3" xfId="0" applyAlignment="1" applyFont="1" applyNumberFormat="1">
      <alignment horizontal="right" readingOrder="0"/>
    </xf>
    <xf borderId="4" fillId="5" fontId="10" numFmtId="0" xfId="0" applyAlignment="1" applyBorder="1" applyFont="1">
      <alignment horizontal="left" readingOrder="0"/>
    </xf>
    <xf borderId="4" fillId="5" fontId="6" numFmtId="0" xfId="0" applyAlignment="1" applyBorder="1" applyFont="1">
      <alignment horizontal="right" readingOrder="0"/>
    </xf>
    <xf borderId="4" fillId="5" fontId="6" numFmtId="3" xfId="0" applyAlignment="1" applyBorder="1" applyFont="1" applyNumberFormat="1">
      <alignment horizontal="right"/>
    </xf>
    <xf borderId="0" fillId="0" fontId="20" numFmtId="0" xfId="0" applyAlignment="1" applyFont="1">
      <alignment horizontal="center" readingOrder="0"/>
    </xf>
    <xf borderId="0" fillId="0" fontId="11" numFmtId="0" xfId="0" applyAlignment="1" applyFont="1">
      <alignment horizontal="left" readingOrder="0"/>
    </xf>
    <xf borderId="1" fillId="4" fontId="21" numFmtId="0" xfId="0" applyAlignment="1" applyBorder="1" applyFont="1">
      <alignment horizontal="center" readingOrder="0"/>
    </xf>
    <xf borderId="1" fillId="7" fontId="21" numFmtId="0" xfId="0" applyAlignment="1" applyBorder="1" applyFill="1" applyFont="1">
      <alignment horizontal="center" readingOrder="0"/>
    </xf>
    <xf borderId="0" fillId="0" fontId="22" numFmtId="0" xfId="0" applyFont="1"/>
    <xf borderId="4" fillId="7" fontId="21" numFmtId="0" xfId="0" applyAlignment="1" applyBorder="1" applyFont="1">
      <alignment horizontal="left" readingOrder="0"/>
    </xf>
    <xf borderId="0" fillId="0" fontId="23" numFmtId="0" xfId="0" applyAlignment="1" applyFont="1">
      <alignment vertical="bottom"/>
    </xf>
    <xf borderId="4" fillId="8" fontId="23" numFmtId="0" xfId="0" applyAlignment="1" applyBorder="1" applyFill="1" applyFont="1">
      <alignment vertical="bottom"/>
    </xf>
    <xf borderId="1" fillId="4" fontId="23" numFmtId="0" xfId="0" applyAlignment="1" applyBorder="1" applyFont="1">
      <alignment horizontal="center" vertical="bottom"/>
    </xf>
    <xf borderId="4" fillId="0" fontId="12" numFmtId="0" xfId="0" applyAlignment="1" applyBorder="1" applyFont="1">
      <alignment horizontal="center" vertical="bottom"/>
    </xf>
    <xf borderId="4" fillId="0" fontId="14" numFmtId="0" xfId="0" applyAlignment="1" applyBorder="1" applyFont="1">
      <alignment vertical="bottom"/>
    </xf>
    <xf borderId="4" fillId="0" fontId="14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right"/>
    </xf>
    <xf borderId="0" fillId="0" fontId="14" numFmtId="3" xfId="0" applyAlignment="1" applyFont="1" applyNumberFormat="1">
      <alignment vertical="bottom"/>
    </xf>
    <xf borderId="4" fillId="0" fontId="14" numFmtId="3" xfId="0" applyAlignment="1" applyBorder="1" applyFont="1" applyNumberFormat="1">
      <alignment vertical="bottom"/>
    </xf>
    <xf borderId="4" fillId="0" fontId="10" numFmtId="0" xfId="0" applyAlignment="1" applyBorder="1" applyFont="1">
      <alignment horizontal="right"/>
    </xf>
    <xf borderId="4" fillId="0" fontId="10" numFmtId="0" xfId="0" applyBorder="1" applyFont="1"/>
    <xf borderId="4" fillId="0" fontId="19" numFmtId="3" xfId="0" applyAlignment="1" applyBorder="1" applyFont="1" applyNumberFormat="1">
      <alignment horizontal="right" vertical="bottom"/>
    </xf>
    <xf borderId="4" fillId="0" fontId="10" numFmtId="0" xfId="0" applyAlignment="1" applyBorder="1" applyFont="1">
      <alignment horizontal="right" readingOrder="0"/>
    </xf>
    <xf borderId="4" fillId="0" fontId="14" numFmtId="0" xfId="0" applyAlignment="1" applyBorder="1" applyFont="1">
      <alignment horizontal="right" readingOrder="0" vertical="bottom"/>
    </xf>
    <xf borderId="0" fillId="0" fontId="10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4" fillId="0" fontId="3" numFmtId="0" xfId="0" applyAlignment="1" applyBorder="1" applyFont="1">
      <alignment horizontal="left" readingOrder="0"/>
    </xf>
    <xf borderId="4" fillId="0" fontId="24" numFmtId="0" xfId="0" applyAlignment="1" applyBorder="1" applyFont="1">
      <alignment horizontal="left" vertical="bottom"/>
    </xf>
    <xf borderId="4" fillId="0" fontId="10" numFmtId="164" xfId="0" applyAlignment="1" applyBorder="1" applyFont="1" applyNumberFormat="1">
      <alignment horizontal="left" readingOrder="0"/>
    </xf>
    <xf borderId="4" fillId="0" fontId="25" numFmtId="0" xfId="0" applyAlignment="1" applyBorder="1" applyFont="1">
      <alignment horizontal="left" readingOrder="0"/>
    </xf>
    <xf borderId="4" fillId="2" fontId="26" numFmtId="0" xfId="0" applyAlignment="1" applyBorder="1" applyFont="1">
      <alignment horizontal="left"/>
    </xf>
    <xf borderId="4" fillId="2" fontId="26" numFmtId="0" xfId="0" applyAlignment="1" applyBorder="1" applyFont="1">
      <alignment horizontal="left" readingOrder="0"/>
    </xf>
    <xf borderId="4" fillId="9" fontId="6" numFmtId="164" xfId="0" applyAlignment="1" applyBorder="1" applyFill="1" applyFont="1" applyNumberFormat="1">
      <alignment horizontal="left" readingOrder="0"/>
    </xf>
    <xf borderId="4" fillId="2" fontId="7" numFmtId="0" xfId="0" applyAlignment="1" applyBorder="1" applyFont="1">
      <alignment horizontal="left" readingOrder="0"/>
    </xf>
    <xf borderId="4" fillId="2" fontId="7" numFmtId="2" xfId="0" applyAlignment="1" applyBorder="1" applyFont="1" applyNumberFormat="1">
      <alignment horizontal="left"/>
    </xf>
    <xf borderId="4" fillId="9" fontId="6" numFmtId="0" xfId="0" applyAlignment="1" applyBorder="1" applyFont="1">
      <alignment horizontal="left" readingOrder="0"/>
    </xf>
    <xf borderId="4" fillId="0" fontId="25" numFmtId="0" xfId="0" applyAlignment="1" applyBorder="1" applyFont="1">
      <alignment horizontal="left"/>
    </xf>
    <xf borderId="4" fillId="9" fontId="3" numFmtId="0" xfId="0" applyAlignment="1" applyBorder="1" applyFont="1">
      <alignment horizontal="left"/>
    </xf>
    <xf borderId="4" fillId="9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left"/>
    </xf>
    <xf borderId="0" fillId="0" fontId="27" numFmtId="0" xfId="0" applyAlignment="1" applyFont="1">
      <alignment horizontal="left" readingOrder="0"/>
    </xf>
    <xf borderId="0" fillId="0" fontId="6" numFmtId="165" xfId="0" applyAlignment="1" applyFont="1" applyNumberFormat="1">
      <alignment horizontal="left"/>
    </xf>
    <xf borderId="0" fillId="0" fontId="6" numFmtId="3" xfId="0" applyAlignment="1" applyFont="1" applyNumberFormat="1">
      <alignment readingOrder="0"/>
    </xf>
    <xf borderId="4" fillId="0" fontId="10" numFmtId="0" xfId="0" applyAlignment="1" applyBorder="1" applyFont="1">
      <alignment readingOrder="0"/>
    </xf>
    <xf borderId="0" fillId="0" fontId="6" numFmtId="2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'page 1'!$B$2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'page 1'!$A$3:$A$7</c:f>
            </c:strRef>
          </c:cat>
          <c:val>
            <c:numRef>
              <c:f>'page 1'!$B$3:$B$7</c:f>
              <c:numCache/>
            </c:numRef>
          </c:val>
        </c:ser>
        <c:ser>
          <c:idx val="1"/>
          <c:order val="1"/>
          <c:tx>
            <c:strRef>
              <c:f>'page 1'!$D$2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'page 1'!$A$3:$A$7</c:f>
            </c:strRef>
          </c:cat>
          <c:val>
            <c:numRef>
              <c:f>'page 1'!$D$3:$D$7</c:f>
              <c:numCache/>
            </c:numRef>
          </c:val>
        </c:ser>
        <c:axId val="1626037532"/>
        <c:axId val="1526491737"/>
      </c:bar3DChart>
      <c:catAx>
        <c:axId val="16260375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491737"/>
      </c:catAx>
      <c:valAx>
        <c:axId val="15264917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03753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0000"/>
                </a:solidFill>
                <a:latin typeface="+mn-lt"/>
              </a:defRPr>
            </a:pPr>
            <a:r>
              <a:rPr b="1">
                <a:solidFill>
                  <a:srgbClr val="FF0000"/>
                </a:solidFill>
                <a:latin typeface="+mn-lt"/>
              </a:rPr>
              <a:t>Net Profit Margin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'page 2'!$I$2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'page 2'!$H$3:$H$7</c:f>
            </c:strRef>
          </c:cat>
          <c:val>
            <c:numRef>
              <c:f>'page 2'!$I$3:$I$7</c:f>
              <c:numCache/>
            </c:numRef>
          </c:val>
          <c:smooth val="1"/>
        </c:ser>
        <c:axId val="1300566392"/>
        <c:axId val="1357681854"/>
      </c:lineChart>
      <c:catAx>
        <c:axId val="130056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681854"/>
      </c:catAx>
      <c:valAx>
        <c:axId val="1357681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Profit Margin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566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93C47D"/>
                </a:solidFill>
                <a:latin typeface="+mn-lt"/>
              </a:defRPr>
            </a:pPr>
            <a:r>
              <a:rPr b="1">
                <a:solidFill>
                  <a:srgbClr val="93C47D"/>
                </a:solidFill>
                <a:latin typeface="+mn-lt"/>
              </a:rPr>
              <a:t>Gross Profit Margin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'page 2'!$J$2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'page 2'!$H$3:$H$7</c:f>
            </c:strRef>
          </c:cat>
          <c:val>
            <c:numRef>
              <c:f>'page 2'!$J$3:$J$7</c:f>
              <c:numCache/>
            </c:numRef>
          </c:val>
          <c:smooth val="1"/>
        </c:ser>
        <c:axId val="1478298134"/>
        <c:axId val="553403595"/>
      </c:lineChart>
      <c:catAx>
        <c:axId val="1478298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403595"/>
      </c:catAx>
      <c:valAx>
        <c:axId val="553403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Gross Profit Margin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298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cost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'page 2'!$M$6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'page 2'!$L$7:$L$12</c:f>
            </c:strRef>
          </c:cat>
          <c:val>
            <c:numRef>
              <c:f>'page 2'!$M$7:$M$12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from Operations and Profit / (Loss)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'page 2B'!$L$4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'page 2B'!$M$3:$P$3</c:f>
            </c:strRef>
          </c:cat>
          <c:val>
            <c:numRef>
              <c:f>'page 2B'!$M$4:$P$4</c:f>
              <c:numCache/>
            </c:numRef>
          </c:val>
          <c:smooth val="0"/>
        </c:ser>
        <c:ser>
          <c:idx val="1"/>
          <c:order val="1"/>
          <c:tx>
            <c:strRef>
              <c:f>'page 2B'!$L$5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'page 2B'!$M$3:$P$3</c:f>
            </c:strRef>
          </c:cat>
          <c:val>
            <c:numRef>
              <c:f>'page 2B'!$M$5:$P$5</c:f>
              <c:numCache/>
            </c:numRef>
          </c:val>
          <c:smooth val="0"/>
        </c:ser>
        <c:axId val="1536369228"/>
        <c:axId val="689142966"/>
      </c:lineChart>
      <c:catAx>
        <c:axId val="1536369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financial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142966"/>
      </c:catAx>
      <c:valAx>
        <c:axId val="689142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369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from Operations and Profit / (Loss)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'page 2B'!$R$4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'page 2B'!$S$3:$V$3</c:f>
            </c:strRef>
          </c:cat>
          <c:val>
            <c:numRef>
              <c:f>'page 2B'!$S$4:$V$4</c:f>
              <c:numCache/>
            </c:numRef>
          </c:val>
          <c:smooth val="0"/>
        </c:ser>
        <c:ser>
          <c:idx val="1"/>
          <c:order val="1"/>
          <c:tx>
            <c:strRef>
              <c:f>'page 2B'!$R$5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'page 2B'!$S$3:$V$3</c:f>
            </c:strRef>
          </c:cat>
          <c:val>
            <c:numRef>
              <c:f>'page 2B'!$S$5:$V$5</c:f>
              <c:numCache/>
            </c:numRef>
          </c:val>
          <c:smooth val="0"/>
        </c:ser>
        <c:axId val="251425136"/>
        <c:axId val="59452667"/>
      </c:lineChart>
      <c:catAx>
        <c:axId val="25142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financial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52667"/>
      </c:catAx>
      <c:valAx>
        <c:axId val="59452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425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Burn Rate (₹ Cr) (20 - 23)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'page 3'!$K$3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'page 3'!$H$4:$H$8</c:f>
            </c:strRef>
          </c:cat>
          <c:val>
            <c:numRef>
              <c:f>'page 3'!$K$4:$K$8</c:f>
              <c:numCache/>
            </c:numRef>
          </c:val>
          <c:smooth val="0"/>
        </c:ser>
        <c:axId val="768060300"/>
        <c:axId val="1391613143"/>
      </c:lineChart>
      <c:catAx>
        <c:axId val="768060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613143"/>
      </c:catAx>
      <c:valAx>
        <c:axId val="1391613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Monthly Burn Rate (₹ Cr)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060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cash flow from operating, financing and investing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'page 3'!$B$14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'page 3'!$A$15:$A$17</c:f>
            </c:strRef>
          </c:cat>
          <c:val>
            <c:numRef>
              <c:f>'page 3'!$B$15:$B$17</c:f>
              <c:numCache/>
            </c:numRef>
          </c:val>
        </c:ser>
        <c:axId val="1726824202"/>
        <c:axId val="716442627"/>
      </c:barChart>
      <c:catAx>
        <c:axId val="1726824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Particulars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442627"/>
      </c:catAx>
      <c:valAx>
        <c:axId val="716442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824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1733550</xdr:colOff>
      <xdr:row>8</xdr:row>
      <xdr:rowOff>180975</xdr:rowOff>
    </xdr:from>
    <xdr:ext cx="6829425" cy="4229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26</xdr:row>
      <xdr:rowOff>152400</xdr:rowOff>
    </xdr:from>
    <xdr:ext cx="4572000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19050</xdr:colOff>
      <xdr:row>11</xdr:row>
      <xdr:rowOff>171450</xdr:rowOff>
    </xdr:from>
    <xdr:ext cx="4572000" cy="2809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952500</xdr:colOff>
      <xdr:row>13</xdr:row>
      <xdr:rowOff>0</xdr:rowOff>
    </xdr:from>
    <xdr:ext cx="3724275" cy="23050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942975</xdr:colOff>
      <xdr:row>5</xdr:row>
      <xdr:rowOff>161925</xdr:rowOff>
    </xdr:from>
    <xdr:ext cx="5410200" cy="3352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714375</xdr:colOff>
      <xdr:row>5</xdr:row>
      <xdr:rowOff>161925</xdr:rowOff>
    </xdr:from>
    <xdr:ext cx="5505450" cy="3409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8</xdr:row>
      <xdr:rowOff>190500</xdr:rowOff>
    </xdr:from>
    <xdr:ext cx="5819775" cy="36195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180975</xdr:rowOff>
    </xdr:from>
    <xdr:ext cx="4362450" cy="27051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7.0"/>
    <col customWidth="1" min="2" max="2" width="26.13"/>
    <col customWidth="1" min="3" max="3" width="38.5"/>
    <col customWidth="1" min="4" max="4" width="37.63"/>
    <col customWidth="1" min="5" max="5" width="37.0"/>
    <col customWidth="1" min="6" max="6" width="24.25"/>
    <col customWidth="1" min="7" max="7" width="17.13"/>
    <col customWidth="1" min="8" max="8" width="20.5"/>
  </cols>
  <sheetData>
    <row r="1" ht="27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5" t="s">
        <v>3</v>
      </c>
      <c r="D2" s="7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>
        <v>2020.0</v>
      </c>
      <c r="B3" s="10">
        <v>2112.456</v>
      </c>
      <c r="C3" s="11" t="s">
        <v>9</v>
      </c>
      <c r="D3" s="12">
        <v>17.55</v>
      </c>
      <c r="E3" s="13" t="s">
        <v>9</v>
      </c>
      <c r="F3" s="9">
        <v>206.34</v>
      </c>
      <c r="G3" s="14">
        <f t="shared" ref="G3:G5" si="1">SUM(B3:F3)</f>
        <v>2336.346</v>
      </c>
      <c r="H3" s="13" t="s">
        <v>9</v>
      </c>
    </row>
    <row r="4">
      <c r="A4" s="9">
        <v>2021.0</v>
      </c>
      <c r="B4" s="15">
        <v>1715.6</v>
      </c>
      <c r="C4" s="16">
        <f t="shared" ref="C4:C7" si="2">(B4-B3)/B3</f>
        <v>-0.1878647413</v>
      </c>
      <c r="D4" s="12">
        <v>200.2</v>
      </c>
      <c r="E4" s="17">
        <f t="shared" ref="E4:E7" si="3">(D4-D3)/D3</f>
        <v>10.40740741</v>
      </c>
      <c r="F4" s="9">
        <v>78.0</v>
      </c>
      <c r="G4" s="18">
        <f t="shared" si="1"/>
        <v>2004.019543</v>
      </c>
      <c r="H4" s="14">
        <f t="shared" ref="H4:H7" si="4">G4-G3</f>
        <v>-332.3264573</v>
      </c>
    </row>
    <row r="5">
      <c r="A5" s="9">
        <v>2022.0</v>
      </c>
      <c r="B5" s="19">
        <v>3578.7</v>
      </c>
      <c r="C5" s="16">
        <f t="shared" si="2"/>
        <v>1.085975752</v>
      </c>
      <c r="D5" s="20">
        <v>540.9</v>
      </c>
      <c r="E5" s="17">
        <f t="shared" si="3"/>
        <v>1.701798202</v>
      </c>
      <c r="F5" s="9">
        <v>72.8</v>
      </c>
      <c r="G5" s="18">
        <f t="shared" si="1"/>
        <v>4195.187774</v>
      </c>
      <c r="H5" s="18">
        <f t="shared" si="4"/>
        <v>2191.168231</v>
      </c>
    </row>
    <row r="6">
      <c r="A6" s="9">
        <v>2023.0</v>
      </c>
      <c r="B6" s="21">
        <v>5562.8</v>
      </c>
      <c r="C6" s="16">
        <f t="shared" si="2"/>
        <v>0.5544192025</v>
      </c>
      <c r="D6" s="12">
        <v>1472.4</v>
      </c>
      <c r="E6" s="17">
        <f t="shared" si="3"/>
        <v>1.722129784</v>
      </c>
      <c r="F6" s="9">
        <v>44.2</v>
      </c>
      <c r="G6" s="14">
        <f>sum(B6,D6,F6)</f>
        <v>7079.4</v>
      </c>
      <c r="H6" s="14">
        <f t="shared" si="4"/>
        <v>2884.212226</v>
      </c>
    </row>
    <row r="7">
      <c r="A7" s="9">
        <v>2024.0</v>
      </c>
      <c r="B7" s="15">
        <v>8943.0</v>
      </c>
      <c r="C7" s="16">
        <f t="shared" si="2"/>
        <v>0.6076436327</v>
      </c>
      <c r="D7" s="12">
        <v>3171.0</v>
      </c>
      <c r="E7" s="17">
        <f t="shared" si="3"/>
        <v>1.153626732</v>
      </c>
      <c r="F7" s="13" t="s">
        <v>9</v>
      </c>
      <c r="G7" s="18">
        <f>SUM(B7,D7,)</f>
        <v>12114</v>
      </c>
      <c r="H7" s="14">
        <f t="shared" si="4"/>
        <v>5034.6</v>
      </c>
    </row>
    <row r="8">
      <c r="A8" s="22" t="s">
        <v>10</v>
      </c>
      <c r="B8" s="23">
        <f>sum(B3:B7)</f>
        <v>21912.556</v>
      </c>
      <c r="C8" s="24"/>
      <c r="D8" s="24">
        <f>sum(D3:D7)</f>
        <v>5402.05</v>
      </c>
      <c r="E8" s="22"/>
      <c r="F8" s="24">
        <f>sum(F3:F6)</f>
        <v>401.34</v>
      </c>
      <c r="G8" s="23">
        <f>sum(G3:G7)</f>
        <v>27728.95332</v>
      </c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13">
      <c r="E13" s="26"/>
    </row>
    <row r="23">
      <c r="F23" s="27"/>
    </row>
  </sheetData>
  <mergeCells count="1">
    <mergeCell ref="A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5"/>
    <col customWidth="1" min="2" max="6" width="13.25"/>
    <col customWidth="1" min="7" max="7" width="6.75"/>
    <col customWidth="1" min="8" max="8" width="16.13"/>
    <col customWidth="1" min="9" max="9" width="26.38"/>
    <col customWidth="1" min="10" max="10" width="18.13"/>
    <col customWidth="1" min="12" max="12" width="21.88"/>
    <col customWidth="1" min="13" max="13" width="20.38"/>
    <col customWidth="1" min="14" max="14" width="14.13"/>
  </cols>
  <sheetData>
    <row r="1" ht="27.75" customHeight="1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28"/>
      <c r="P1" s="28"/>
      <c r="Q1" s="28"/>
      <c r="R1" s="28"/>
      <c r="S1" s="28"/>
      <c r="T1" s="28"/>
      <c r="U1" s="28"/>
    </row>
    <row r="2" ht="27.75" customHeight="1">
      <c r="A2" s="29" t="s">
        <v>12</v>
      </c>
      <c r="B2" s="30" t="s">
        <v>13</v>
      </c>
      <c r="C2" s="30" t="s">
        <v>14</v>
      </c>
      <c r="D2" s="30" t="s">
        <v>15</v>
      </c>
      <c r="E2" s="30" t="s">
        <v>16</v>
      </c>
      <c r="F2" s="31" t="s">
        <v>17</v>
      </c>
      <c r="G2" s="32"/>
      <c r="H2" s="33" t="s">
        <v>1</v>
      </c>
      <c r="I2" s="34" t="s">
        <v>18</v>
      </c>
      <c r="J2" s="35" t="s">
        <v>19</v>
      </c>
      <c r="K2" s="32"/>
      <c r="L2" s="29" t="s">
        <v>20</v>
      </c>
      <c r="M2" s="33" t="s">
        <v>21</v>
      </c>
      <c r="N2" s="33" t="s">
        <v>22</v>
      </c>
      <c r="O2" s="32"/>
      <c r="P2" s="32"/>
      <c r="Q2" s="32"/>
      <c r="R2" s="32"/>
      <c r="S2" s="32"/>
      <c r="T2" s="32"/>
      <c r="U2" s="32"/>
      <c r="V2" s="36"/>
      <c r="W2" s="36"/>
      <c r="X2" s="36"/>
      <c r="Y2" s="36"/>
      <c r="Z2" s="36"/>
    </row>
    <row r="3">
      <c r="A3" s="37" t="s">
        <v>23</v>
      </c>
      <c r="B3" s="38">
        <f>23363.49/10</f>
        <v>2336.349</v>
      </c>
      <c r="C3" s="38">
        <f>19938/10</f>
        <v>1993.8</v>
      </c>
      <c r="D3" s="38">
        <v>4192.4</v>
      </c>
      <c r="E3" s="38">
        <v>7079.0</v>
      </c>
      <c r="F3" s="39">
        <v>12114.0</v>
      </c>
      <c r="G3" s="28"/>
      <c r="H3" s="13">
        <v>2020.0</v>
      </c>
      <c r="I3" s="40">
        <f>B18/B3</f>
        <v>-1.049148479</v>
      </c>
      <c r="J3" s="41">
        <f>B22/B3</f>
        <v>0.952917993</v>
      </c>
      <c r="K3" s="28"/>
      <c r="L3" s="37" t="s">
        <v>24</v>
      </c>
      <c r="M3" s="42">
        <f>MAX(B8:F8)</f>
        <v>1659</v>
      </c>
      <c r="N3" s="42">
        <f>AVERAGE(B8:F8)</f>
        <v>1223.782</v>
      </c>
      <c r="O3" s="28"/>
      <c r="P3" s="28"/>
      <c r="Q3" s="28"/>
      <c r="R3" s="28"/>
      <c r="S3" s="28"/>
      <c r="T3" s="28"/>
      <c r="U3" s="28"/>
    </row>
    <row r="4">
      <c r="A4" s="37" t="s">
        <v>25</v>
      </c>
      <c r="B4" s="43">
        <f>1494.11/10</f>
        <v>149.411</v>
      </c>
      <c r="C4" s="43">
        <f>1246/10</f>
        <v>124.6</v>
      </c>
      <c r="D4" s="43">
        <v>494.9</v>
      </c>
      <c r="E4" s="43">
        <v>682.0</v>
      </c>
      <c r="F4" s="44">
        <v>847.0</v>
      </c>
      <c r="G4" s="28"/>
      <c r="H4" s="13">
        <v>2021.0</v>
      </c>
      <c r="I4" s="40">
        <f>C18/C3</f>
        <v>-0.409469355</v>
      </c>
      <c r="J4" s="41">
        <f>C22/C3</f>
        <v>0.9037516301</v>
      </c>
      <c r="K4" s="28"/>
      <c r="L4" s="37" t="s">
        <v>26</v>
      </c>
      <c r="M4" s="45">
        <f>MAX(B11:F11)</f>
        <v>7531</v>
      </c>
      <c r="N4" s="45">
        <f>AVERAGE(B11:F11)</f>
        <v>4459.145</v>
      </c>
      <c r="O4" s="28"/>
      <c r="P4" s="28"/>
      <c r="Q4" s="28"/>
      <c r="R4" s="28"/>
      <c r="S4" s="28"/>
      <c r="T4" s="28"/>
      <c r="U4" s="28"/>
    </row>
    <row r="5">
      <c r="A5" s="46" t="s">
        <v>27</v>
      </c>
      <c r="B5" s="47">
        <f>24857.6/10</f>
        <v>2485.76</v>
      </c>
      <c r="C5" s="48">
        <f>21184/10</f>
        <v>2118.4</v>
      </c>
      <c r="D5" s="48">
        <f>SUM(D3:D4)</f>
        <v>4687.3</v>
      </c>
      <c r="E5" s="48">
        <v>7761.0</v>
      </c>
      <c r="F5" s="49">
        <v>12961.0</v>
      </c>
      <c r="G5" s="50"/>
      <c r="H5" s="13">
        <v>2022.0</v>
      </c>
      <c r="I5" s="40">
        <f>D18/D3</f>
        <v>-0.2915513787</v>
      </c>
      <c r="J5" s="41">
        <f>D22/D3</f>
        <v>0.8748688102</v>
      </c>
      <c r="K5" s="50"/>
      <c r="L5" s="51"/>
      <c r="M5" s="52"/>
      <c r="N5" s="53"/>
      <c r="O5" s="50"/>
      <c r="P5" s="50"/>
      <c r="Q5" s="50"/>
      <c r="R5" s="50"/>
      <c r="S5" s="50"/>
      <c r="T5" s="50"/>
      <c r="U5" s="50"/>
      <c r="V5" s="25"/>
      <c r="W5" s="25"/>
      <c r="X5" s="25"/>
      <c r="Y5" s="25"/>
      <c r="Z5" s="25"/>
    </row>
    <row r="6">
      <c r="A6" s="37" t="s">
        <v>28</v>
      </c>
      <c r="B6" s="54" t="s">
        <v>9</v>
      </c>
      <c r="C6" s="54">
        <f>2029 /10</f>
        <v>202.9</v>
      </c>
      <c r="D6" s="54">
        <v>552.4</v>
      </c>
      <c r="E6" s="54">
        <v>1438.0</v>
      </c>
      <c r="F6" s="55">
        <v>2887.0</v>
      </c>
      <c r="G6" s="28"/>
      <c r="H6" s="13">
        <v>2023.0</v>
      </c>
      <c r="I6" s="40">
        <f>E18/E3</f>
        <v>-0.1369684984</v>
      </c>
      <c r="J6" s="41">
        <f>E22/E3</f>
        <v>0.8029100155</v>
      </c>
      <c r="K6" s="28"/>
      <c r="L6" s="46" t="s">
        <v>29</v>
      </c>
      <c r="M6" s="56" t="s">
        <v>30</v>
      </c>
      <c r="N6" s="57"/>
      <c r="O6" s="28"/>
      <c r="P6" s="28"/>
      <c r="Q6" s="28"/>
      <c r="R6" s="28"/>
      <c r="S6" s="28"/>
      <c r="T6" s="28"/>
      <c r="U6" s="28"/>
    </row>
    <row r="7">
      <c r="A7" s="37" t="s">
        <v>31</v>
      </c>
      <c r="B7" s="54" t="s">
        <v>9</v>
      </c>
      <c r="C7" s="43">
        <f>-110/10</f>
        <v>-11</v>
      </c>
      <c r="D7" s="43">
        <v>-27.8</v>
      </c>
      <c r="E7" s="43">
        <v>-43.0</v>
      </c>
      <c r="F7" s="44">
        <v>-5.0</v>
      </c>
      <c r="G7" s="28"/>
      <c r="H7" s="13">
        <v>2024.0</v>
      </c>
      <c r="I7" s="40">
        <f>F18/F3</f>
        <v>0.01906884596</v>
      </c>
      <c r="J7" s="41">
        <f>F22/F3</f>
        <v>0.7620934456</v>
      </c>
      <c r="K7" s="28"/>
      <c r="L7" s="37" t="s">
        <v>28</v>
      </c>
      <c r="M7" s="42">
        <f t="shared" ref="M7:M12" si="1">AVERAGE(B6:F6)</f>
        <v>1270.075</v>
      </c>
      <c r="N7" s="57"/>
      <c r="O7" s="28"/>
      <c r="P7" s="28"/>
      <c r="Q7" s="28"/>
      <c r="R7" s="28"/>
      <c r="S7" s="28"/>
      <c r="T7" s="28"/>
      <c r="U7" s="28"/>
    </row>
    <row r="8">
      <c r="A8" s="37" t="s">
        <v>24</v>
      </c>
      <c r="B8" s="54">
        <f>6210.1/10</f>
        <v>621.01</v>
      </c>
      <c r="C8" s="54">
        <f>7408 /10</f>
        <v>740.8</v>
      </c>
      <c r="D8" s="54">
        <v>1633.1</v>
      </c>
      <c r="E8" s="54">
        <v>1465.0</v>
      </c>
      <c r="F8" s="58">
        <v>1659.0</v>
      </c>
      <c r="G8" s="28"/>
      <c r="H8" s="57"/>
      <c r="I8" s="57"/>
      <c r="J8" s="57"/>
      <c r="K8" s="28"/>
      <c r="L8" s="37" t="s">
        <v>31</v>
      </c>
      <c r="M8" s="42">
        <f t="shared" si="1"/>
        <v>-21.7</v>
      </c>
      <c r="N8" s="57"/>
      <c r="O8" s="28"/>
      <c r="P8" s="28"/>
      <c r="Q8" s="28"/>
      <c r="R8" s="28"/>
      <c r="S8" s="28"/>
      <c r="T8" s="28"/>
      <c r="U8" s="28"/>
    </row>
    <row r="9">
      <c r="A9" s="37" t="s">
        <v>32</v>
      </c>
      <c r="B9" s="43">
        <f>111.26/10</f>
        <v>11.126</v>
      </c>
      <c r="C9" s="43">
        <f>101/10</f>
        <v>10.1</v>
      </c>
      <c r="D9" s="43">
        <v>12.0</v>
      </c>
      <c r="E9" s="43">
        <f>487/10</f>
        <v>48.7</v>
      </c>
      <c r="F9" s="44">
        <v>72.0</v>
      </c>
      <c r="G9" s="59"/>
      <c r="H9" s="56" t="s">
        <v>1</v>
      </c>
      <c r="I9" s="60" t="s">
        <v>33</v>
      </c>
      <c r="J9" s="61" t="s">
        <v>34</v>
      </c>
      <c r="K9" s="28"/>
      <c r="L9" s="37" t="s">
        <v>24</v>
      </c>
      <c r="M9" s="42">
        <f t="shared" si="1"/>
        <v>1223.782</v>
      </c>
      <c r="N9" s="57"/>
      <c r="O9" s="28"/>
      <c r="P9" s="28"/>
      <c r="Q9" s="28"/>
      <c r="R9" s="28"/>
      <c r="S9" s="28"/>
      <c r="T9" s="28"/>
      <c r="U9" s="28"/>
    </row>
    <row r="10">
      <c r="A10" s="37" t="s">
        <v>35</v>
      </c>
      <c r="B10" s="54">
        <f>735.98/10</f>
        <v>73.598</v>
      </c>
      <c r="C10" s="43">
        <f>1377/10</f>
        <v>137.7</v>
      </c>
      <c r="D10" s="43">
        <v>150.3</v>
      </c>
      <c r="E10" s="43">
        <v>437.0</v>
      </c>
      <c r="F10" s="44">
        <v>526.0</v>
      </c>
      <c r="G10" s="59"/>
      <c r="H10" s="56" t="s">
        <v>36</v>
      </c>
      <c r="I10" s="62">
        <f>(F3-B3)/B3</f>
        <v>4.185013027</v>
      </c>
      <c r="J10" s="63">
        <f>(F12-B12)/B12</f>
        <v>1.737826235</v>
      </c>
      <c r="K10" s="28"/>
      <c r="L10" s="37" t="s">
        <v>32</v>
      </c>
      <c r="M10" s="45">
        <f t="shared" si="1"/>
        <v>30.7852</v>
      </c>
      <c r="N10" s="57"/>
      <c r="O10" s="28"/>
      <c r="P10" s="28"/>
      <c r="Q10" s="28"/>
      <c r="R10" s="28"/>
      <c r="S10" s="28"/>
      <c r="T10" s="28"/>
      <c r="U10" s="28"/>
    </row>
    <row r="11">
      <c r="A11" s="37" t="s">
        <v>26</v>
      </c>
      <c r="B11" s="43">
        <f>39220.25/10</f>
        <v>3922.025</v>
      </c>
      <c r="C11" s="54">
        <f>15283/10</f>
        <v>1528.3</v>
      </c>
      <c r="D11" s="54">
        <v>3885.4</v>
      </c>
      <c r="E11" s="54">
        <v>5429.0</v>
      </c>
      <c r="F11" s="58">
        <v>7531.0</v>
      </c>
      <c r="G11" s="28"/>
      <c r="H11" s="28"/>
      <c r="I11" s="28"/>
      <c r="J11" s="28"/>
      <c r="K11" s="28"/>
      <c r="L11" s="37" t="s">
        <v>35</v>
      </c>
      <c r="M11" s="42">
        <f t="shared" si="1"/>
        <v>264.9196</v>
      </c>
      <c r="N11" s="57"/>
      <c r="O11" s="28"/>
      <c r="P11" s="28"/>
      <c r="Q11" s="28"/>
      <c r="R11" s="28"/>
      <c r="S11" s="28"/>
      <c r="T11" s="28"/>
      <c r="U11" s="28"/>
    </row>
    <row r="12">
      <c r="A12" s="46" t="s">
        <v>37</v>
      </c>
      <c r="B12" s="64">
        <f>46277.59/10</f>
        <v>4627.759</v>
      </c>
      <c r="C12" s="54">
        <f>26088/10</f>
        <v>2608.8</v>
      </c>
      <c r="D12" s="48">
        <f>sum(D6:D11)</f>
        <v>6205.4</v>
      </c>
      <c r="E12" s="48">
        <v>8775.0</v>
      </c>
      <c r="F12" s="65">
        <v>12670.0</v>
      </c>
      <c r="G12" s="50"/>
      <c r="H12" s="59"/>
      <c r="I12" s="66"/>
      <c r="J12" s="66"/>
      <c r="K12" s="66"/>
      <c r="L12" s="37" t="s">
        <v>26</v>
      </c>
      <c r="M12" s="45">
        <f t="shared" si="1"/>
        <v>4459.145</v>
      </c>
      <c r="N12" s="53"/>
      <c r="O12" s="50"/>
      <c r="P12" s="50"/>
      <c r="Q12" s="50"/>
      <c r="R12" s="50"/>
      <c r="S12" s="50"/>
      <c r="T12" s="50"/>
      <c r="U12" s="50"/>
      <c r="V12" s="25"/>
      <c r="W12" s="25"/>
      <c r="X12" s="25"/>
      <c r="Y12" s="25"/>
      <c r="Z12" s="25"/>
    </row>
    <row r="13">
      <c r="A13" s="37" t="s">
        <v>38</v>
      </c>
      <c r="B13" s="43" t="s">
        <v>9</v>
      </c>
      <c r="C13" s="43" t="s">
        <v>9</v>
      </c>
      <c r="D13" s="43">
        <v>0.3</v>
      </c>
      <c r="E13" s="43">
        <v>-0.3</v>
      </c>
      <c r="F13" s="67" t="s">
        <v>9</v>
      </c>
      <c r="G13" s="28"/>
      <c r="H13" s="59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>
      <c r="A14" s="37" t="s">
        <v>39</v>
      </c>
      <c r="B14" s="43">
        <f>-3091.78/10</f>
        <v>-309.178</v>
      </c>
      <c r="C14" s="43">
        <f>-3247/10</f>
        <v>-324.7</v>
      </c>
      <c r="D14" s="43">
        <v>297.4</v>
      </c>
      <c r="E14" s="43">
        <v>0.1</v>
      </c>
      <c r="F14" s="67" t="s">
        <v>9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>
      <c r="A15" s="68" t="s">
        <v>40</v>
      </c>
      <c r="B15" s="69">
        <f>-24511.77/10</f>
        <v>-2451.177</v>
      </c>
      <c r="C15" s="48">
        <f>-8151/10</f>
        <v>-815.1</v>
      </c>
      <c r="D15" s="69">
        <v>-1220.3</v>
      </c>
      <c r="E15" s="69">
        <v>-1014.2</v>
      </c>
      <c r="F15" s="70">
        <f>(F5-F12)</f>
        <v>291</v>
      </c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2"/>
      <c r="W15" s="72"/>
      <c r="X15" s="72"/>
      <c r="Y15" s="72"/>
      <c r="Z15" s="72"/>
    </row>
    <row r="16">
      <c r="A16" s="37" t="s">
        <v>41</v>
      </c>
      <c r="B16" s="43" t="s">
        <v>9</v>
      </c>
      <c r="C16" s="43">
        <f>13/10</f>
        <v>1.3</v>
      </c>
      <c r="D16" s="43">
        <v>-2.0</v>
      </c>
      <c r="E16" s="43">
        <v>-0.4</v>
      </c>
      <c r="F16" s="67">
        <v>1.0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>
      <c r="A17" s="37" t="s">
        <v>42</v>
      </c>
      <c r="B17" s="43" t="s">
        <v>9</v>
      </c>
      <c r="C17" s="43" t="s">
        <v>9</v>
      </c>
      <c r="D17" s="43" t="s">
        <v>9</v>
      </c>
      <c r="E17" s="43">
        <v>-44.0</v>
      </c>
      <c r="F17" s="67">
        <v>-61.0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>
      <c r="A18" s="46" t="s">
        <v>43</v>
      </c>
      <c r="B18" s="73">
        <f>-24511.77/10</f>
        <v>-2451.177</v>
      </c>
      <c r="C18" s="73">
        <f>-8164/10</f>
        <v>-816.4</v>
      </c>
      <c r="D18" s="73">
        <f>SUM(D15:D16)</f>
        <v>-1222.3</v>
      </c>
      <c r="E18" s="73">
        <v>-969.6</v>
      </c>
      <c r="F18" s="74">
        <f>SUM(F15:F17)</f>
        <v>231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25"/>
      <c r="W18" s="25"/>
      <c r="X18" s="25"/>
      <c r="Y18" s="25"/>
      <c r="Z18" s="25"/>
    </row>
    <row r="19">
      <c r="A19" s="75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>
      <c r="A20" s="76"/>
      <c r="B20" s="66"/>
      <c r="C20" s="66"/>
      <c r="D20" s="66"/>
      <c r="E20" s="66"/>
      <c r="F20" s="7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>
      <c r="A21" s="78" t="s">
        <v>44</v>
      </c>
      <c r="B21" s="79">
        <v>110.0</v>
      </c>
      <c r="C21" s="79">
        <v>191.9</v>
      </c>
      <c r="D21" s="79">
        <v>524.6</v>
      </c>
      <c r="E21" s="79">
        <v>1395.2</v>
      </c>
      <c r="F21" s="38">
        <v>2882.0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>
      <c r="A22" s="78" t="s">
        <v>45</v>
      </c>
      <c r="B22" s="80">
        <f t="shared" ref="B22:F22" si="2">B3-B21</f>
        <v>2226.349</v>
      </c>
      <c r="C22" s="80">
        <f t="shared" si="2"/>
        <v>1801.9</v>
      </c>
      <c r="D22" s="80">
        <f t="shared" si="2"/>
        <v>3667.8</v>
      </c>
      <c r="E22" s="80">
        <f t="shared" si="2"/>
        <v>5683.8</v>
      </c>
      <c r="F22" s="80">
        <f t="shared" si="2"/>
        <v>9232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>
      <c r="A23" s="75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</sheetData>
  <mergeCells count="1">
    <mergeCell ref="A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13"/>
    <col customWidth="1" min="2" max="5" width="13.25"/>
    <col customWidth="1" min="12" max="12" width="20.13"/>
    <col customWidth="1" min="17" max="17" width="9.5"/>
    <col customWidth="1" min="18" max="18" width="21.38"/>
  </cols>
  <sheetData>
    <row r="1" ht="30.0" customHeight="1">
      <c r="A1" s="81" t="s">
        <v>46</v>
      </c>
      <c r="J1" s="81"/>
    </row>
    <row r="2">
      <c r="A2" s="82"/>
      <c r="B2" s="83" t="s">
        <v>47</v>
      </c>
      <c r="C2" s="2"/>
      <c r="D2" s="2"/>
      <c r="E2" s="3"/>
      <c r="F2" s="84" t="s">
        <v>48</v>
      </c>
      <c r="G2" s="2"/>
      <c r="H2" s="2"/>
      <c r="I2" s="3"/>
      <c r="J2" s="85"/>
      <c r="K2" s="85"/>
      <c r="L2" s="86" t="s">
        <v>49</v>
      </c>
      <c r="M2" s="84" t="s">
        <v>48</v>
      </c>
      <c r="N2" s="2"/>
      <c r="O2" s="2"/>
      <c r="P2" s="3"/>
      <c r="Q2" s="87"/>
      <c r="R2" s="88" t="s">
        <v>49</v>
      </c>
      <c r="S2" s="89" t="s">
        <v>47</v>
      </c>
      <c r="T2" s="2"/>
      <c r="U2" s="2"/>
      <c r="V2" s="3"/>
      <c r="W2" s="85"/>
      <c r="X2" s="85"/>
      <c r="Y2" s="85"/>
      <c r="Z2" s="85"/>
    </row>
    <row r="3">
      <c r="A3" s="29" t="s">
        <v>12</v>
      </c>
      <c r="B3" s="33" t="s">
        <v>14</v>
      </c>
      <c r="C3" s="33" t="s">
        <v>15</v>
      </c>
      <c r="D3" s="33" t="s">
        <v>16</v>
      </c>
      <c r="E3" s="90" t="s">
        <v>17</v>
      </c>
      <c r="F3" s="33" t="s">
        <v>14</v>
      </c>
      <c r="G3" s="33" t="s">
        <v>15</v>
      </c>
      <c r="H3" s="33" t="s">
        <v>16</v>
      </c>
      <c r="I3" s="90" t="s">
        <v>17</v>
      </c>
      <c r="J3" s="85"/>
      <c r="K3" s="85"/>
      <c r="L3" s="29" t="s">
        <v>12</v>
      </c>
      <c r="M3" s="33" t="s">
        <v>14</v>
      </c>
      <c r="N3" s="33" t="s">
        <v>15</v>
      </c>
      <c r="O3" s="33" t="s">
        <v>16</v>
      </c>
      <c r="P3" s="90" t="s">
        <v>17</v>
      </c>
      <c r="Q3" s="72"/>
      <c r="R3" s="91" t="s">
        <v>12</v>
      </c>
      <c r="S3" s="92" t="s">
        <v>14</v>
      </c>
      <c r="T3" s="92" t="s">
        <v>15</v>
      </c>
      <c r="U3" s="92" t="s">
        <v>16</v>
      </c>
      <c r="V3" s="92" t="s">
        <v>17</v>
      </c>
      <c r="W3" s="85"/>
      <c r="X3" s="85"/>
      <c r="Y3" s="85"/>
      <c r="Z3" s="85"/>
    </row>
    <row r="4">
      <c r="A4" s="37" t="s">
        <v>23</v>
      </c>
      <c r="B4" s="54">
        <f>19938/10</f>
        <v>1993.8</v>
      </c>
      <c r="C4" s="54">
        <v>4192.4</v>
      </c>
      <c r="D4" s="54">
        <v>7079.0</v>
      </c>
      <c r="E4" s="55">
        <v>12114.0</v>
      </c>
      <c r="F4" s="93">
        <v>2546.9</v>
      </c>
      <c r="G4" s="93">
        <v>5704.9</v>
      </c>
      <c r="H4" s="18">
        <v>8264.596000000001</v>
      </c>
      <c r="I4" s="18">
        <v>11247.39</v>
      </c>
      <c r="L4" s="46" t="s">
        <v>23</v>
      </c>
      <c r="M4" s="93">
        <v>2546.9</v>
      </c>
      <c r="N4" s="93">
        <v>5704.9</v>
      </c>
      <c r="O4" s="18">
        <v>8264.596000000001</v>
      </c>
      <c r="P4" s="18">
        <v>11247.39</v>
      </c>
      <c r="Q4" s="94"/>
      <c r="R4" s="95" t="s">
        <v>23</v>
      </c>
      <c r="S4" s="55">
        <f>19938/10</f>
        <v>1993.8</v>
      </c>
      <c r="T4" s="55">
        <v>4192.4</v>
      </c>
      <c r="U4" s="55">
        <v>7079.0</v>
      </c>
      <c r="V4" s="55">
        <v>12114.0</v>
      </c>
    </row>
    <row r="5">
      <c r="A5" s="37" t="s">
        <v>25</v>
      </c>
      <c r="B5" s="43">
        <f>1246/10</f>
        <v>124.6</v>
      </c>
      <c r="C5" s="43">
        <v>494.9</v>
      </c>
      <c r="D5" s="43">
        <v>682.0</v>
      </c>
      <c r="E5" s="44">
        <v>847.0</v>
      </c>
      <c r="F5" s="93">
        <v>129.0</v>
      </c>
      <c r="G5" s="93">
        <v>414.9</v>
      </c>
      <c r="H5" s="93">
        <v>449.85699999999997</v>
      </c>
      <c r="I5" s="18">
        <v>386.959</v>
      </c>
      <c r="L5" s="46" t="s">
        <v>50</v>
      </c>
      <c r="M5" s="93">
        <v>-1425.6</v>
      </c>
      <c r="N5" s="93">
        <v>-3403.6</v>
      </c>
      <c r="O5" s="93">
        <v>-4098.046</v>
      </c>
      <c r="P5" s="18">
        <v>-2251.952</v>
      </c>
      <c r="Q5" s="72"/>
      <c r="R5" s="91" t="s">
        <v>50</v>
      </c>
      <c r="S5" s="44">
        <v>-491.0</v>
      </c>
      <c r="T5" s="44">
        <v>-1518.0</v>
      </c>
      <c r="U5" s="44">
        <v>-1014.0</v>
      </c>
      <c r="V5" s="44">
        <v>291.0</v>
      </c>
    </row>
    <row r="6">
      <c r="A6" s="46" t="s">
        <v>27</v>
      </c>
      <c r="B6" s="48">
        <f>21184/10</f>
        <v>2118.4</v>
      </c>
      <c r="C6" s="48">
        <f>SUM(C4:C5)</f>
        <v>4687.3</v>
      </c>
      <c r="D6" s="48">
        <v>7761.0</v>
      </c>
      <c r="E6" s="70">
        <v>12961.0</v>
      </c>
      <c r="F6" s="96">
        <v>2675.9</v>
      </c>
      <c r="G6" s="96">
        <v>6119.8</v>
      </c>
      <c r="H6" s="96">
        <v>8714.453</v>
      </c>
      <c r="I6" s="97">
        <v>11634.349</v>
      </c>
      <c r="J6" s="25"/>
      <c r="K6" s="25"/>
      <c r="L6" s="59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37" t="s">
        <v>28</v>
      </c>
      <c r="B7" s="54">
        <f>2029 /10</f>
        <v>202.9</v>
      </c>
      <c r="C7" s="54">
        <v>552.4</v>
      </c>
      <c r="D7" s="54">
        <v>1438.0</v>
      </c>
      <c r="E7" s="55">
        <v>2887.0</v>
      </c>
      <c r="F7" s="93">
        <v>526.6</v>
      </c>
      <c r="G7" s="93">
        <v>2224.5</v>
      </c>
      <c r="H7" s="93">
        <v>3301.951</v>
      </c>
      <c r="I7" s="18">
        <v>4554.75</v>
      </c>
      <c r="L7" s="66"/>
    </row>
    <row r="8">
      <c r="A8" s="37" t="s">
        <v>31</v>
      </c>
      <c r="B8" s="43">
        <f>-110/10</f>
        <v>-11</v>
      </c>
      <c r="C8" s="43">
        <v>-27.8</v>
      </c>
      <c r="D8" s="43">
        <v>-43.0</v>
      </c>
      <c r="E8" s="44">
        <v>-5.0</v>
      </c>
      <c r="F8" s="93">
        <v>5.6</v>
      </c>
      <c r="G8" s="93">
        <v>-7.5</v>
      </c>
      <c r="H8" s="93">
        <v>6.923</v>
      </c>
      <c r="I8" s="18">
        <v>-11.634</v>
      </c>
      <c r="L8" s="66"/>
    </row>
    <row r="9">
      <c r="A9" s="37" t="s">
        <v>24</v>
      </c>
      <c r="B9" s="54">
        <f>7408 /10</f>
        <v>740.8</v>
      </c>
      <c r="C9" s="54">
        <v>1633.1</v>
      </c>
      <c r="D9" s="54">
        <v>1465.0</v>
      </c>
      <c r="E9" s="58">
        <v>1659.0</v>
      </c>
      <c r="F9" s="93">
        <v>1085.3</v>
      </c>
      <c r="G9" s="93">
        <v>1708.5</v>
      </c>
      <c r="H9" s="93">
        <v>2129.82</v>
      </c>
      <c r="I9" s="18">
        <v>2012.164</v>
      </c>
      <c r="L9" s="66"/>
    </row>
    <row r="10">
      <c r="A10" s="37" t="s">
        <v>32</v>
      </c>
      <c r="B10" s="43">
        <f>101/10</f>
        <v>10.1</v>
      </c>
      <c r="C10" s="43">
        <v>12.0</v>
      </c>
      <c r="D10" s="43">
        <f>487/10</f>
        <v>48.7</v>
      </c>
      <c r="E10" s="44">
        <v>72.0</v>
      </c>
      <c r="F10" s="93">
        <v>72.9</v>
      </c>
      <c r="G10" s="93">
        <v>48.4</v>
      </c>
      <c r="H10" s="93">
        <v>58.19199999999999</v>
      </c>
      <c r="I10" s="18">
        <v>71.40299999999999</v>
      </c>
      <c r="L10" s="66"/>
    </row>
    <row r="11">
      <c r="A11" s="37" t="s">
        <v>35</v>
      </c>
      <c r="B11" s="43">
        <f>1377/10</f>
        <v>137.7</v>
      </c>
      <c r="C11" s="43">
        <v>150.3</v>
      </c>
      <c r="D11" s="43">
        <v>437.0</v>
      </c>
      <c r="E11" s="44">
        <v>526.0</v>
      </c>
      <c r="F11" s="93">
        <v>220.9</v>
      </c>
      <c r="G11" s="93">
        <v>170.1</v>
      </c>
      <c r="H11" s="93">
        <v>285.786</v>
      </c>
      <c r="I11" s="18">
        <v>420.58500000000004</v>
      </c>
      <c r="L11" s="66"/>
    </row>
    <row r="12">
      <c r="A12" s="37" t="s">
        <v>26</v>
      </c>
      <c r="B12" s="54">
        <f>15283/10</f>
        <v>1528.3</v>
      </c>
      <c r="C12" s="54">
        <v>3885.4</v>
      </c>
      <c r="D12" s="54">
        <v>5429.0</v>
      </c>
      <c r="E12" s="58">
        <v>7531.0</v>
      </c>
      <c r="F12" s="93">
        <v>2190.2</v>
      </c>
      <c r="G12" s="93">
        <v>5379.4</v>
      </c>
      <c r="H12" s="93">
        <v>7029.728</v>
      </c>
      <c r="I12" s="18">
        <v>6839.033</v>
      </c>
      <c r="L12" s="28"/>
    </row>
    <row r="13">
      <c r="A13" s="46" t="s">
        <v>37</v>
      </c>
      <c r="B13" s="48">
        <f>26088/10</f>
        <v>2608.8</v>
      </c>
      <c r="C13" s="48">
        <f>sum(C7:C12)</f>
        <v>6205.4</v>
      </c>
      <c r="D13" s="48">
        <v>8775.0</v>
      </c>
      <c r="E13" s="98">
        <v>12670.0</v>
      </c>
      <c r="F13" s="96">
        <v>4101.5</v>
      </c>
      <c r="G13" s="96">
        <v>9523.4</v>
      </c>
      <c r="H13" s="96">
        <v>12812.499</v>
      </c>
      <c r="I13" s="97">
        <v>13886.301000000001</v>
      </c>
      <c r="J13" s="25"/>
      <c r="K13" s="25"/>
      <c r="L13" s="59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46" t="s">
        <v>51</v>
      </c>
      <c r="B14" s="99">
        <v>-491.0</v>
      </c>
      <c r="C14" s="99">
        <v>-1518.0</v>
      </c>
      <c r="D14" s="99">
        <v>-1014.0</v>
      </c>
      <c r="E14" s="100">
        <v>291.0</v>
      </c>
      <c r="F14" s="96">
        <v>-1425.6</v>
      </c>
      <c r="G14" s="96">
        <v>-3403.6</v>
      </c>
      <c r="H14" s="96">
        <v>-4098.046</v>
      </c>
      <c r="I14" s="97">
        <v>-2251.952</v>
      </c>
      <c r="J14" s="25"/>
      <c r="K14" s="25"/>
      <c r="L14" s="59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37" t="s">
        <v>38</v>
      </c>
      <c r="B15" s="43" t="s">
        <v>9</v>
      </c>
      <c r="C15" s="43">
        <v>0.3</v>
      </c>
      <c r="D15" s="43">
        <v>-0.3</v>
      </c>
      <c r="E15" s="67" t="s">
        <v>9</v>
      </c>
      <c r="F15" s="93">
        <v>-5.3</v>
      </c>
      <c r="G15" s="93">
        <v>-1.0</v>
      </c>
      <c r="H15" s="93">
        <v>-0.10300000000000001</v>
      </c>
      <c r="I15" s="18">
        <v>-6.614</v>
      </c>
      <c r="L15" s="66"/>
    </row>
    <row r="16">
      <c r="A16" s="37" t="s">
        <v>39</v>
      </c>
      <c r="B16" s="43">
        <f>-3247/10</f>
        <v>-324.7</v>
      </c>
      <c r="C16" s="43">
        <v>297.4</v>
      </c>
      <c r="D16" s="43">
        <v>0.1</v>
      </c>
      <c r="E16" s="67" t="s">
        <v>9</v>
      </c>
      <c r="F16" s="93">
        <v>-148.1</v>
      </c>
      <c r="G16" s="93">
        <v>-173.2</v>
      </c>
      <c r="H16" s="93">
        <v>-9.256</v>
      </c>
      <c r="I16" s="18">
        <v>-30.594</v>
      </c>
      <c r="L16" s="66"/>
    </row>
    <row r="17">
      <c r="A17" s="68" t="s">
        <v>40</v>
      </c>
      <c r="B17" s="48">
        <f>-8151/10</f>
        <v>-815.1</v>
      </c>
      <c r="C17" s="69">
        <v>-1220.3</v>
      </c>
      <c r="D17" s="69">
        <v>-1014.2</v>
      </c>
      <c r="E17" s="70">
        <f>(E6-E13)</f>
        <v>291</v>
      </c>
      <c r="F17" s="96">
        <v>-1579.0</v>
      </c>
      <c r="G17" s="96">
        <v>-3577.8</v>
      </c>
      <c r="H17" s="96">
        <v>-4107.405000000001</v>
      </c>
      <c r="I17" s="97">
        <v>-2289.16</v>
      </c>
      <c r="J17" s="25"/>
      <c r="K17" s="25"/>
      <c r="L17" s="59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37" t="s">
        <v>41</v>
      </c>
      <c r="B18" s="43">
        <f>13/10</f>
        <v>1.3</v>
      </c>
      <c r="C18" s="43">
        <v>-2.0</v>
      </c>
      <c r="D18" s="43">
        <v>-0.4</v>
      </c>
      <c r="E18" s="67">
        <v>1.0</v>
      </c>
      <c r="F18" s="43" t="s">
        <v>9</v>
      </c>
      <c r="G18" s="43" t="s">
        <v>9</v>
      </c>
      <c r="H18" s="43" t="s">
        <v>9</v>
      </c>
      <c r="I18" s="43" t="s">
        <v>9</v>
      </c>
      <c r="L18" s="66"/>
      <c r="M18" s="66"/>
    </row>
    <row r="19">
      <c r="A19" s="37" t="s">
        <v>42</v>
      </c>
      <c r="B19" s="43" t="s">
        <v>9</v>
      </c>
      <c r="C19" s="43" t="s">
        <v>9</v>
      </c>
      <c r="D19" s="43">
        <v>-44.0</v>
      </c>
      <c r="E19" s="67">
        <v>-61.0</v>
      </c>
      <c r="F19" s="43" t="s">
        <v>9</v>
      </c>
      <c r="G19" s="43" t="s">
        <v>9</v>
      </c>
      <c r="H19" s="43" t="s">
        <v>9</v>
      </c>
      <c r="I19" s="43" t="s">
        <v>9</v>
      </c>
      <c r="L19" s="66"/>
      <c r="M19" s="66"/>
    </row>
    <row r="20">
      <c r="A20" s="46" t="s">
        <v>43</v>
      </c>
      <c r="B20" s="48">
        <f>-8164/10</f>
        <v>-816.4</v>
      </c>
      <c r="C20" s="48">
        <f>SUM(C17:C18)</f>
        <v>-1222.3</v>
      </c>
      <c r="D20" s="48">
        <v>-969.6</v>
      </c>
      <c r="E20" s="70">
        <f>SUM(E17:E19)</f>
        <v>231</v>
      </c>
      <c r="F20" s="96">
        <v>-1579.0</v>
      </c>
      <c r="G20" s="96">
        <v>-3577.8</v>
      </c>
      <c r="H20" s="96">
        <v>-4107.405000000001</v>
      </c>
      <c r="I20" s="97">
        <v>-2289.16</v>
      </c>
      <c r="J20" s="25"/>
      <c r="K20" s="25"/>
      <c r="L20" s="59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9">
      <c r="F29" s="101"/>
      <c r="G29" s="101"/>
    </row>
    <row r="36">
      <c r="F36" s="101"/>
      <c r="G36" s="101"/>
    </row>
    <row r="37">
      <c r="F37" s="101"/>
      <c r="G37" s="101"/>
    </row>
    <row r="40">
      <c r="G40" s="101"/>
    </row>
    <row r="43">
      <c r="G43" s="101"/>
    </row>
  </sheetData>
  <mergeCells count="5">
    <mergeCell ref="A1:I1"/>
    <mergeCell ref="B2:E2"/>
    <mergeCell ref="F2:I2"/>
    <mergeCell ref="M2:P2"/>
    <mergeCell ref="S2:V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  <col customWidth="1" min="2" max="6" width="13.25"/>
    <col customWidth="1" min="8" max="8" width="6.63"/>
    <col customWidth="1" min="9" max="9" width="16.13"/>
    <col customWidth="1" min="10" max="10" width="24.88"/>
    <col customWidth="1" min="11" max="11" width="20.63"/>
    <col customWidth="1" min="12" max="12" width="17.63"/>
  </cols>
  <sheetData>
    <row r="1">
      <c r="A1" s="102" t="s">
        <v>52</v>
      </c>
    </row>
    <row r="2">
      <c r="A2" s="102" t="s">
        <v>53</v>
      </c>
      <c r="G2" s="102"/>
      <c r="H2" s="102"/>
      <c r="I2" s="102"/>
      <c r="J2" s="102"/>
      <c r="K2" s="102"/>
      <c r="L2" s="102"/>
    </row>
    <row r="3">
      <c r="A3" s="103" t="s">
        <v>12</v>
      </c>
      <c r="B3" s="103" t="s">
        <v>13</v>
      </c>
      <c r="C3" s="103" t="s">
        <v>14</v>
      </c>
      <c r="D3" s="103" t="s">
        <v>15</v>
      </c>
      <c r="E3" s="103" t="s">
        <v>16</v>
      </c>
      <c r="F3" s="104" t="s">
        <v>17</v>
      </c>
      <c r="G3" s="85"/>
      <c r="H3" s="46" t="s">
        <v>54</v>
      </c>
      <c r="I3" s="105" t="s">
        <v>55</v>
      </c>
      <c r="J3" s="46" t="s">
        <v>56</v>
      </c>
      <c r="K3" s="46" t="s">
        <v>57</v>
      </c>
      <c r="L3" s="46" t="s">
        <v>58</v>
      </c>
      <c r="M3" s="85"/>
    </row>
    <row r="4">
      <c r="A4" s="106" t="s">
        <v>59</v>
      </c>
      <c r="B4" s="107">
        <v>-2073.9049999999997</v>
      </c>
      <c r="C4" s="107">
        <v>-1017.9</v>
      </c>
      <c r="D4" s="107">
        <v>-693.0</v>
      </c>
      <c r="E4" s="108">
        <v>-844.0</v>
      </c>
      <c r="F4" s="108">
        <v>646.0</v>
      </c>
      <c r="H4" s="46">
        <v>2020.0</v>
      </c>
      <c r="I4" s="109" t="s">
        <v>60</v>
      </c>
      <c r="J4" s="110">
        <v>-2073.9</v>
      </c>
      <c r="K4" s="111">
        <f>2073.9/12</f>
        <v>172.825</v>
      </c>
      <c r="L4" s="112" t="s">
        <v>61</v>
      </c>
    </row>
    <row r="5">
      <c r="A5" s="106" t="s">
        <v>62</v>
      </c>
      <c r="B5" s="113">
        <v>1642.873</v>
      </c>
      <c r="C5" s="113">
        <v>-5243.6</v>
      </c>
      <c r="D5" s="113">
        <v>-7937.8</v>
      </c>
      <c r="E5" s="106">
        <v>457.0</v>
      </c>
      <c r="F5" s="106">
        <v>-347.0</v>
      </c>
      <c r="H5" s="46">
        <v>2021.0</v>
      </c>
      <c r="I5" s="109" t="s">
        <v>63</v>
      </c>
      <c r="J5" s="110">
        <v>-1017.9</v>
      </c>
      <c r="K5" s="111">
        <f>1017.9/12</f>
        <v>84.825</v>
      </c>
      <c r="L5" s="112" t="s">
        <v>64</v>
      </c>
    </row>
    <row r="6">
      <c r="A6" s="106" t="s">
        <v>65</v>
      </c>
      <c r="B6" s="113">
        <v>362.283</v>
      </c>
      <c r="C6" s="113">
        <v>6401.9</v>
      </c>
      <c r="D6" s="113">
        <v>8749.8</v>
      </c>
      <c r="E6" s="106">
        <v>-127.0</v>
      </c>
      <c r="F6" s="106">
        <v>-207.0</v>
      </c>
      <c r="H6" s="46">
        <v>2022.0</v>
      </c>
      <c r="I6" s="109" t="s">
        <v>66</v>
      </c>
      <c r="J6" s="110">
        <v>-693.0</v>
      </c>
      <c r="K6" s="111">
        <f>693/12</f>
        <v>57.75</v>
      </c>
      <c r="L6" s="112" t="s">
        <v>67</v>
      </c>
    </row>
    <row r="7">
      <c r="A7" s="103" t="s">
        <v>68</v>
      </c>
      <c r="B7" s="114">
        <v>155.629</v>
      </c>
      <c r="C7" s="114">
        <v>167.2</v>
      </c>
      <c r="D7" s="114">
        <v>306.5</v>
      </c>
      <c r="E7" s="115">
        <v>392.0</v>
      </c>
      <c r="F7" s="115">
        <v>218.0</v>
      </c>
      <c r="G7" s="25"/>
      <c r="H7" s="46">
        <v>2023.0</v>
      </c>
      <c r="I7" s="109" t="s">
        <v>69</v>
      </c>
      <c r="J7" s="110">
        <v>-844.0</v>
      </c>
      <c r="K7" s="111">
        <f>844/12</f>
        <v>70.33333333</v>
      </c>
      <c r="L7" s="112" t="s">
        <v>70</v>
      </c>
      <c r="M7" s="25"/>
    </row>
    <row r="8">
      <c r="A8" s="103" t="s">
        <v>71</v>
      </c>
      <c r="B8" s="116">
        <v>90.049</v>
      </c>
      <c r="C8" s="116">
        <v>306.5</v>
      </c>
      <c r="D8" s="116">
        <v>392.3</v>
      </c>
      <c r="E8" s="103">
        <v>218.0</v>
      </c>
      <c r="F8" s="103">
        <v>309.0</v>
      </c>
      <c r="G8" s="25"/>
      <c r="H8" s="46">
        <v>2024.0</v>
      </c>
      <c r="I8" s="112" t="s">
        <v>72</v>
      </c>
      <c r="J8" s="110">
        <v>646.0</v>
      </c>
      <c r="K8" s="110" t="s">
        <v>73</v>
      </c>
      <c r="L8" s="112" t="s">
        <v>74</v>
      </c>
      <c r="M8" s="25"/>
    </row>
    <row r="9">
      <c r="H9" s="76"/>
      <c r="I9" s="76"/>
    </row>
    <row r="10">
      <c r="H10" s="117"/>
      <c r="I10" s="118"/>
    </row>
    <row r="11">
      <c r="H11" s="117"/>
      <c r="I11" s="118"/>
    </row>
    <row r="12">
      <c r="H12" s="117"/>
      <c r="I12" s="118"/>
    </row>
    <row r="13">
      <c r="C13" s="119"/>
      <c r="D13" s="119"/>
      <c r="H13" s="117"/>
      <c r="I13" s="76"/>
    </row>
    <row r="14">
      <c r="A14" s="120" t="s">
        <v>12</v>
      </c>
      <c r="B14" s="120" t="s">
        <v>75</v>
      </c>
      <c r="C14" s="119"/>
      <c r="D14" s="119"/>
      <c r="I14" s="121"/>
    </row>
    <row r="15">
      <c r="A15" s="46" t="s">
        <v>59</v>
      </c>
      <c r="B15" s="18">
        <f t="shared" ref="B15:B17" si="1">AVERAGE(B4:F4)</f>
        <v>-796.561</v>
      </c>
      <c r="C15" s="119"/>
      <c r="D15" s="119"/>
      <c r="I15" s="121"/>
    </row>
    <row r="16">
      <c r="A16" s="46" t="s">
        <v>62</v>
      </c>
      <c r="B16" s="18">
        <f t="shared" si="1"/>
        <v>-2285.7054</v>
      </c>
      <c r="C16" s="119"/>
      <c r="D16" s="119"/>
      <c r="I16" s="121"/>
    </row>
    <row r="17">
      <c r="A17" s="46" t="s">
        <v>65</v>
      </c>
      <c r="B17" s="18">
        <f t="shared" si="1"/>
        <v>3035.9966</v>
      </c>
      <c r="C17" s="119"/>
      <c r="D17" s="119"/>
      <c r="I17" s="121"/>
    </row>
    <row r="18">
      <c r="I18" s="51"/>
    </row>
  </sheetData>
  <mergeCells count="2">
    <mergeCell ref="A1:L1"/>
    <mergeCell ref="A2:F2"/>
  </mergeCells>
  <drawing r:id="rId1"/>
</worksheet>
</file>