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azia\Desktop\new resume\"/>
    </mc:Choice>
  </mc:AlternateContent>
  <xr:revisionPtr revIDLastSave="0" documentId="13_ncr:1_{BE68A886-9A6F-499D-B33A-AA92A973C8F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nalysis &gt; &gt;" sheetId="9" r:id="rId1"/>
    <sheet name="Division Performance" sheetId="3" r:id="rId2"/>
    <sheet name="Payment Sheet" sheetId="4" r:id="rId3"/>
    <sheet name="Aging Schedule" sheetId="5" r:id="rId4"/>
    <sheet name="Source &gt; &gt;" sheetId="10" r:id="rId5"/>
    <sheet name="Vendor Invoices" sheetId="6" r:id="rId6"/>
    <sheet name="Payment HIstory" sheetId="7" r:id="rId7"/>
    <sheet name="Vendor Details" sheetId="8" r:id="rId8"/>
  </sheets>
  <definedNames>
    <definedName name="_xlnm._FilterDatabase" localSheetId="2" hidden="1">'Payment Sheet'!$Q$4:$S$93</definedName>
    <definedName name="_xlnm._FilterDatabase" localSheetId="7" hidden="1">'Vendor Details'!$B$3:$G$33</definedName>
    <definedName name="_xlnm._FilterDatabase" localSheetId="5" hidden="1">'Vendor Invoices'!$C$5:$XFD$205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3" l="1"/>
  <c r="N7" i="3"/>
  <c r="N8" i="3"/>
  <c r="N9" i="3"/>
  <c r="M9" i="3"/>
  <c r="M8" i="3"/>
  <c r="M7" i="3"/>
  <c r="M6" i="3"/>
  <c r="L9" i="3"/>
  <c r="L8" i="3"/>
  <c r="L7" i="3"/>
  <c r="L6" i="3"/>
  <c r="J9" i="3"/>
  <c r="J8" i="3"/>
  <c r="J7" i="3"/>
  <c r="J6" i="3"/>
  <c r="I9" i="3"/>
  <c r="I8" i="3"/>
  <c r="I7" i="3"/>
  <c r="I6" i="3"/>
  <c r="H9" i="3"/>
  <c r="H8" i="3"/>
  <c r="H7" i="3"/>
  <c r="H6" i="3"/>
  <c r="F6" i="3"/>
  <c r="F7" i="3"/>
  <c r="F8" i="3"/>
  <c r="F9" i="3"/>
  <c r="E9" i="3"/>
  <c r="E8" i="3"/>
  <c r="E7" i="3"/>
  <c r="E6" i="3"/>
  <c r="S205" i="6"/>
  <c r="S204" i="6"/>
  <c r="S203" i="6"/>
  <c r="S202" i="6"/>
  <c r="S201" i="6"/>
  <c r="S200" i="6"/>
  <c r="S199" i="6"/>
  <c r="S198" i="6"/>
  <c r="S197" i="6"/>
  <c r="S196" i="6"/>
  <c r="S195" i="6"/>
  <c r="S194" i="6"/>
  <c r="S193" i="6"/>
  <c r="S192" i="6"/>
  <c r="S191" i="6"/>
  <c r="S190" i="6"/>
  <c r="S189" i="6"/>
  <c r="S188" i="6"/>
  <c r="S187" i="6"/>
  <c r="S186" i="6"/>
  <c r="S185" i="6"/>
  <c r="S184" i="6"/>
  <c r="S183" i="6"/>
  <c r="S182" i="6"/>
  <c r="S181" i="6"/>
  <c r="S180" i="6"/>
  <c r="S179" i="6"/>
  <c r="S178" i="6"/>
  <c r="S177" i="6"/>
  <c r="S176" i="6"/>
  <c r="S175" i="6"/>
  <c r="S174" i="6"/>
  <c r="S173" i="6"/>
  <c r="S172" i="6"/>
  <c r="S171" i="6"/>
  <c r="S170" i="6"/>
  <c r="S169" i="6"/>
  <c r="S168" i="6"/>
  <c r="S167" i="6"/>
  <c r="S166" i="6"/>
  <c r="S165" i="6"/>
  <c r="S164" i="6"/>
  <c r="S163" i="6"/>
  <c r="S162" i="6"/>
  <c r="S161" i="6"/>
  <c r="S160" i="6"/>
  <c r="S159" i="6"/>
  <c r="S158" i="6"/>
  <c r="S157" i="6"/>
  <c r="S156" i="6"/>
  <c r="S155" i="6"/>
  <c r="S154" i="6"/>
  <c r="S153" i="6"/>
  <c r="S152" i="6"/>
  <c r="S151" i="6"/>
  <c r="S150" i="6"/>
  <c r="S149" i="6"/>
  <c r="S148" i="6"/>
  <c r="S147" i="6"/>
  <c r="S146" i="6"/>
  <c r="S145" i="6"/>
  <c r="S144" i="6"/>
  <c r="S143" i="6"/>
  <c r="S142" i="6"/>
  <c r="S141" i="6"/>
  <c r="S140" i="6"/>
  <c r="S139" i="6"/>
  <c r="S138" i="6"/>
  <c r="S137" i="6"/>
  <c r="S136" i="6"/>
  <c r="S135" i="6"/>
  <c r="S134" i="6"/>
  <c r="S133" i="6"/>
  <c r="S132" i="6"/>
  <c r="S131" i="6"/>
  <c r="S130" i="6"/>
  <c r="S129" i="6"/>
  <c r="S128" i="6"/>
  <c r="S127" i="6"/>
  <c r="S126" i="6"/>
  <c r="S125" i="6"/>
  <c r="S124" i="6"/>
  <c r="S123" i="6"/>
  <c r="S122" i="6"/>
  <c r="S121" i="6"/>
  <c r="S120" i="6"/>
  <c r="S119" i="6"/>
  <c r="S118" i="6"/>
  <c r="S117" i="6"/>
  <c r="S116" i="6"/>
  <c r="S115" i="6"/>
  <c r="S114" i="6"/>
  <c r="S113" i="6"/>
  <c r="S112" i="6"/>
  <c r="S111" i="6"/>
  <c r="S110" i="6"/>
  <c r="S109" i="6"/>
  <c r="S108" i="6"/>
  <c r="S107" i="6"/>
  <c r="S106" i="6"/>
  <c r="S105" i="6"/>
  <c r="S104" i="6"/>
  <c r="S103" i="6"/>
  <c r="S102" i="6"/>
  <c r="S101" i="6"/>
  <c r="S100" i="6"/>
  <c r="S99" i="6"/>
  <c r="S98" i="6"/>
  <c r="S97" i="6"/>
  <c r="S96" i="6"/>
  <c r="S95" i="6"/>
  <c r="S94" i="6"/>
  <c r="S93" i="6"/>
  <c r="S92" i="6"/>
  <c r="S91" i="6"/>
  <c r="S90" i="6"/>
  <c r="S89" i="6"/>
  <c r="S88" i="6"/>
  <c r="S87" i="6"/>
  <c r="S86" i="6"/>
  <c r="S85" i="6"/>
  <c r="S84" i="6"/>
  <c r="S83" i="6"/>
  <c r="S82" i="6"/>
  <c r="S81" i="6"/>
  <c r="S80" i="6"/>
  <c r="S79" i="6"/>
  <c r="S78" i="6"/>
  <c r="S77" i="6"/>
  <c r="S76" i="6"/>
  <c r="S75" i="6"/>
  <c r="S74" i="6"/>
  <c r="S73" i="6"/>
  <c r="S72" i="6"/>
  <c r="S71" i="6"/>
  <c r="S70" i="6"/>
  <c r="S69" i="6"/>
  <c r="S68" i="6"/>
  <c r="S67" i="6"/>
  <c r="S66" i="6"/>
  <c r="S65" i="6"/>
  <c r="S64" i="6"/>
  <c r="S63" i="6"/>
  <c r="S62" i="6"/>
  <c r="S61" i="6"/>
  <c r="S60" i="6"/>
  <c r="S59" i="6"/>
  <c r="S58" i="6"/>
  <c r="S57" i="6"/>
  <c r="S56" i="6"/>
  <c r="S55" i="6"/>
  <c r="S54" i="6"/>
  <c r="S53" i="6"/>
  <c r="S52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5" i="6"/>
  <c r="S24" i="6"/>
  <c r="S23" i="6"/>
  <c r="S22" i="6"/>
  <c r="S21" i="6"/>
  <c r="S20" i="6"/>
  <c r="S19" i="6"/>
  <c r="S18" i="6"/>
  <c r="S17" i="6"/>
  <c r="S16" i="6"/>
  <c r="S15" i="6"/>
  <c r="S14" i="6"/>
  <c r="S13" i="6"/>
  <c r="S12" i="6"/>
  <c r="S11" i="6"/>
  <c r="S10" i="6"/>
  <c r="S9" i="6"/>
  <c r="S8" i="6"/>
  <c r="S7" i="6"/>
  <c r="S6" i="6"/>
  <c r="D9" i="3"/>
  <c r="D8" i="3"/>
  <c r="D7" i="3"/>
  <c r="D6" i="3"/>
  <c r="D5" i="4" a="1"/>
  <c r="D5" i="4" s="1"/>
  <c r="C5" i="4" a="1"/>
  <c r="C5" i="4" s="1"/>
  <c r="C3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4" i="8"/>
  <c r="I6" i="6" a="1"/>
  <c r="L18" i="6" s="1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0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M18" i="6" l="1"/>
  <c r="L93" i="6"/>
  <c r="M93" i="6" s="1"/>
  <c r="L30" i="6"/>
  <c r="M30" i="6" s="1"/>
  <c r="L205" i="6"/>
  <c r="M205" i="6" s="1"/>
  <c r="L162" i="6"/>
  <c r="M162" i="6" s="1"/>
  <c r="L81" i="6"/>
  <c r="M81" i="6" s="1"/>
  <c r="L21" i="6"/>
  <c r="M21" i="6" s="1"/>
  <c r="L146" i="6"/>
  <c r="M146" i="6" s="1"/>
  <c r="L63" i="6"/>
  <c r="M63" i="6" s="1"/>
  <c r="L117" i="6"/>
  <c r="M117" i="6" s="1"/>
  <c r="L42" i="6"/>
  <c r="M42" i="6" s="1"/>
  <c r="P18" i="6"/>
  <c r="Q18" i="6" s="1" a="1"/>
  <c r="Q18" i="6" s="1"/>
  <c r="P42" i="6"/>
  <c r="L200" i="6"/>
  <c r="P200" i="6" s="1"/>
  <c r="L161" i="6"/>
  <c r="L142" i="6"/>
  <c r="M142" i="6" s="1"/>
  <c r="L116" i="6"/>
  <c r="P116" i="6" s="1"/>
  <c r="L91" i="6"/>
  <c r="M91" i="6" s="1"/>
  <c r="L79" i="6"/>
  <c r="M79" i="6" s="1"/>
  <c r="L59" i="6"/>
  <c r="M59" i="6" s="1"/>
  <c r="L38" i="6"/>
  <c r="M38" i="6" s="1"/>
  <c r="L25" i="6"/>
  <c r="M25" i="6" s="1"/>
  <c r="L192" i="6"/>
  <c r="M192" i="6" s="1"/>
  <c r="L159" i="6"/>
  <c r="M159" i="6" s="1"/>
  <c r="L137" i="6"/>
  <c r="M137" i="6" s="1"/>
  <c r="L100" i="6"/>
  <c r="P100" i="6" s="1"/>
  <c r="L88" i="6"/>
  <c r="M88" i="6" s="1"/>
  <c r="L70" i="6"/>
  <c r="M70" i="6" s="1"/>
  <c r="L54" i="6"/>
  <c r="P54" i="6" s="1"/>
  <c r="L37" i="6"/>
  <c r="M37" i="6" s="1"/>
  <c r="L23" i="6"/>
  <c r="M23" i="6" s="1"/>
  <c r="L175" i="6"/>
  <c r="M175" i="6" s="1"/>
  <c r="L154" i="6"/>
  <c r="P154" i="6" s="1"/>
  <c r="L131" i="6"/>
  <c r="L96" i="6"/>
  <c r="M96" i="6" s="1"/>
  <c r="L83" i="6"/>
  <c r="M83" i="6" s="1"/>
  <c r="L69" i="6"/>
  <c r="M69" i="6" s="1"/>
  <c r="L53" i="6"/>
  <c r="P53" i="6" s="1"/>
  <c r="L33" i="6"/>
  <c r="M33" i="6" s="1"/>
  <c r="N42" i="6"/>
  <c r="O42" i="6" s="1"/>
  <c r="N93" i="6"/>
  <c r="O93" i="6" s="1"/>
  <c r="N21" i="6"/>
  <c r="O21" i="6" s="1"/>
  <c r="N159" i="6"/>
  <c r="O159" i="6" s="1"/>
  <c r="N30" i="6"/>
  <c r="O30" i="6" s="1"/>
  <c r="N18" i="6"/>
  <c r="O18" i="6" s="1"/>
  <c r="J10" i="6"/>
  <c r="L10" i="6" s="1"/>
  <c r="J14" i="6"/>
  <c r="L14" i="6" s="1"/>
  <c r="J18" i="6"/>
  <c r="J22" i="6"/>
  <c r="L22" i="6" s="1"/>
  <c r="M22" i="6" s="1"/>
  <c r="J26" i="6"/>
  <c r="L26" i="6" s="1"/>
  <c r="J30" i="6"/>
  <c r="J34" i="6"/>
  <c r="L34" i="6" s="1"/>
  <c r="M34" i="6" s="1"/>
  <c r="J38" i="6"/>
  <c r="J42" i="6"/>
  <c r="J46" i="6"/>
  <c r="L46" i="6" s="1"/>
  <c r="M46" i="6" s="1"/>
  <c r="J50" i="6"/>
  <c r="L50" i="6" s="1"/>
  <c r="M50" i="6" s="1"/>
  <c r="J54" i="6"/>
  <c r="J58" i="6"/>
  <c r="L58" i="6" s="1"/>
  <c r="J62" i="6"/>
  <c r="L62" i="6" s="1"/>
  <c r="M62" i="6" s="1"/>
  <c r="J66" i="6"/>
  <c r="L66" i="6" s="1"/>
  <c r="J70" i="6"/>
  <c r="J74" i="6"/>
  <c r="L74" i="6" s="1"/>
  <c r="J78" i="6"/>
  <c r="L78" i="6" s="1"/>
  <c r="M78" i="6" s="1"/>
  <c r="J82" i="6"/>
  <c r="L82" i="6" s="1"/>
  <c r="J86" i="6"/>
  <c r="L86" i="6" s="1"/>
  <c r="J90" i="6"/>
  <c r="L90" i="6" s="1"/>
  <c r="J94" i="6"/>
  <c r="L94" i="6" s="1"/>
  <c r="M94" i="6" s="1"/>
  <c r="J98" i="6"/>
  <c r="L98" i="6" s="1"/>
  <c r="M98" i="6" s="1"/>
  <c r="J102" i="6"/>
  <c r="L102" i="6" s="1"/>
  <c r="J106" i="6"/>
  <c r="L106" i="6" s="1"/>
  <c r="J110" i="6"/>
  <c r="L110" i="6" s="1"/>
  <c r="J114" i="6"/>
  <c r="L114" i="6" s="1"/>
  <c r="M114" i="6" s="1"/>
  <c r="J118" i="6"/>
  <c r="J122" i="6"/>
  <c r="L122" i="6" s="1"/>
  <c r="J126" i="6"/>
  <c r="L126" i="6" s="1"/>
  <c r="M126" i="6" s="1"/>
  <c r="J130" i="6"/>
  <c r="J134" i="6"/>
  <c r="L134" i="6" s="1"/>
  <c r="J138" i="6"/>
  <c r="L138" i="6" s="1"/>
  <c r="J142" i="6"/>
  <c r="J7" i="6"/>
  <c r="L7" i="6" s="1"/>
  <c r="J11" i="6"/>
  <c r="J15" i="6"/>
  <c r="J19" i="6"/>
  <c r="L19" i="6" s="1"/>
  <c r="M19" i="6" s="1"/>
  <c r="J23" i="6"/>
  <c r="J27" i="6"/>
  <c r="L27" i="6" s="1"/>
  <c r="J31" i="6"/>
  <c r="L31" i="6" s="1"/>
  <c r="M31" i="6" s="1"/>
  <c r="J35" i="6"/>
  <c r="L35" i="6" s="1"/>
  <c r="M35" i="6" s="1"/>
  <c r="J39" i="6"/>
  <c r="L39" i="6" s="1"/>
  <c r="J43" i="6"/>
  <c r="L43" i="6" s="1"/>
  <c r="M43" i="6" s="1"/>
  <c r="J47" i="6"/>
  <c r="L47" i="6" s="1"/>
  <c r="J51" i="6"/>
  <c r="L51" i="6" s="1"/>
  <c r="J55" i="6"/>
  <c r="L55" i="6" s="1"/>
  <c r="J59" i="6"/>
  <c r="J63" i="6"/>
  <c r="J67" i="6"/>
  <c r="L67" i="6" s="1"/>
  <c r="J71" i="6"/>
  <c r="L71" i="6" s="1"/>
  <c r="J75" i="6"/>
  <c r="L75" i="6" s="1"/>
  <c r="J79" i="6"/>
  <c r="J83" i="6"/>
  <c r="J8" i="6"/>
  <c r="L8" i="6" s="1"/>
  <c r="J12" i="6"/>
  <c r="L12" i="6" s="1"/>
  <c r="J16" i="6"/>
  <c r="L16" i="6" s="1"/>
  <c r="J20" i="6"/>
  <c r="L20" i="6" s="1"/>
  <c r="J24" i="6"/>
  <c r="L24" i="6" s="1"/>
  <c r="M24" i="6" s="1"/>
  <c r="J28" i="6"/>
  <c r="L28" i="6" s="1"/>
  <c r="J32" i="6"/>
  <c r="J36" i="6"/>
  <c r="L36" i="6" s="1"/>
  <c r="M36" i="6" s="1"/>
  <c r="J40" i="6"/>
  <c r="L40" i="6" s="1"/>
  <c r="J44" i="6"/>
  <c r="L44" i="6" s="1"/>
  <c r="J48" i="6"/>
  <c r="J52" i="6"/>
  <c r="J56" i="6"/>
  <c r="L56" i="6" s="1"/>
  <c r="M56" i="6" s="1"/>
  <c r="J60" i="6"/>
  <c r="L60" i="6" s="1"/>
  <c r="J64" i="6"/>
  <c r="L64" i="6" s="1"/>
  <c r="J68" i="6"/>
  <c r="L68" i="6" s="1"/>
  <c r="J72" i="6"/>
  <c r="L72" i="6" s="1"/>
  <c r="M72" i="6" s="1"/>
  <c r="J76" i="6"/>
  <c r="L76" i="6" s="1"/>
  <c r="M76" i="6" s="1"/>
  <c r="J80" i="6"/>
  <c r="J84" i="6"/>
  <c r="L84" i="6" s="1"/>
  <c r="J88" i="6"/>
  <c r="J92" i="6"/>
  <c r="L92" i="6" s="1"/>
  <c r="J96" i="6"/>
  <c r="J100" i="6"/>
  <c r="J104" i="6"/>
  <c r="L104" i="6" s="1"/>
  <c r="J108" i="6"/>
  <c r="L108" i="6" s="1"/>
  <c r="M108" i="6" s="1"/>
  <c r="J112" i="6"/>
  <c r="L112" i="6" s="1"/>
  <c r="J116" i="6"/>
  <c r="J120" i="6"/>
  <c r="L120" i="6" s="1"/>
  <c r="J124" i="6"/>
  <c r="J128" i="6"/>
  <c r="L128" i="6" s="1"/>
  <c r="J132" i="6"/>
  <c r="L132" i="6" s="1"/>
  <c r="J136" i="6"/>
  <c r="L136" i="6" s="1"/>
  <c r="M136" i="6" s="1"/>
  <c r="J140" i="6"/>
  <c r="L140" i="6" s="1"/>
  <c r="J144" i="6"/>
  <c r="L144" i="6" s="1"/>
  <c r="L196" i="6"/>
  <c r="M196" i="6" s="1"/>
  <c r="L190" i="6"/>
  <c r="M190" i="6" s="1"/>
  <c r="L185" i="6"/>
  <c r="M185" i="6" s="1"/>
  <c r="L172" i="6"/>
  <c r="M172" i="6" s="1"/>
  <c r="L155" i="6"/>
  <c r="M155" i="6" s="1"/>
  <c r="L149" i="6"/>
  <c r="M149" i="6" s="1"/>
  <c r="L130" i="6"/>
  <c r="L124" i="6"/>
  <c r="M124" i="6" s="1"/>
  <c r="L118" i="6"/>
  <c r="L113" i="6"/>
  <c r="M113" i="6" s="1"/>
  <c r="L80" i="6"/>
  <c r="M80" i="6" s="1"/>
  <c r="L52" i="6"/>
  <c r="M52" i="6" s="1"/>
  <c r="L48" i="6"/>
  <c r="M48" i="6" s="1"/>
  <c r="L32" i="6"/>
  <c r="M32" i="6" s="1"/>
  <c r="L15" i="6"/>
  <c r="M15" i="6" s="1"/>
  <c r="L11" i="6"/>
  <c r="M11" i="6" s="1"/>
  <c r="J205" i="6"/>
  <c r="J201" i="6"/>
  <c r="L201" i="6" s="1"/>
  <c r="J197" i="6"/>
  <c r="L197" i="6" s="1"/>
  <c r="J193" i="6"/>
  <c r="L193" i="6" s="1"/>
  <c r="J189" i="6"/>
  <c r="L189" i="6" s="1"/>
  <c r="J185" i="6"/>
  <c r="J181" i="6"/>
  <c r="L181" i="6" s="1"/>
  <c r="J177" i="6"/>
  <c r="L177" i="6" s="1"/>
  <c r="J173" i="6"/>
  <c r="L173" i="6" s="1"/>
  <c r="M173" i="6" s="1"/>
  <c r="J169" i="6"/>
  <c r="L169" i="6" s="1"/>
  <c r="J165" i="6"/>
  <c r="L165" i="6" s="1"/>
  <c r="J161" i="6"/>
  <c r="J157" i="6"/>
  <c r="L157" i="6" s="1"/>
  <c r="J153" i="6"/>
  <c r="L153" i="6" s="1"/>
  <c r="M153" i="6" s="1"/>
  <c r="J149" i="6"/>
  <c r="J145" i="6"/>
  <c r="L145" i="6" s="1"/>
  <c r="J137" i="6"/>
  <c r="J129" i="6"/>
  <c r="L129" i="6" s="1"/>
  <c r="M129" i="6" s="1"/>
  <c r="J121" i="6"/>
  <c r="L121" i="6" s="1"/>
  <c r="J113" i="6"/>
  <c r="J105" i="6"/>
  <c r="L105" i="6" s="1"/>
  <c r="J97" i="6"/>
  <c r="L97" i="6" s="1"/>
  <c r="M97" i="6" s="1"/>
  <c r="J89" i="6"/>
  <c r="L89" i="6" s="1"/>
  <c r="J77" i="6"/>
  <c r="L77" i="6" s="1"/>
  <c r="J61" i="6"/>
  <c r="L61" i="6" s="1"/>
  <c r="J45" i="6"/>
  <c r="L45" i="6" s="1"/>
  <c r="J29" i="6"/>
  <c r="L29" i="6" s="1"/>
  <c r="J13" i="6"/>
  <c r="L13" i="6" s="1"/>
  <c r="J204" i="6"/>
  <c r="L204" i="6" s="1"/>
  <c r="J200" i="6"/>
  <c r="J196" i="6"/>
  <c r="J192" i="6"/>
  <c r="J188" i="6"/>
  <c r="L188" i="6" s="1"/>
  <c r="J184" i="6"/>
  <c r="L184" i="6" s="1"/>
  <c r="J180" i="6"/>
  <c r="L180" i="6" s="1"/>
  <c r="J176" i="6"/>
  <c r="L176" i="6" s="1"/>
  <c r="J172" i="6"/>
  <c r="J168" i="6"/>
  <c r="L168" i="6" s="1"/>
  <c r="J164" i="6"/>
  <c r="L164" i="6" s="1"/>
  <c r="J160" i="6"/>
  <c r="L160" i="6" s="1"/>
  <c r="J156" i="6"/>
  <c r="L156" i="6" s="1"/>
  <c r="J152" i="6"/>
  <c r="L152" i="6" s="1"/>
  <c r="J148" i="6"/>
  <c r="L148" i="6" s="1"/>
  <c r="J143" i="6"/>
  <c r="L143" i="6" s="1"/>
  <c r="J135" i="6"/>
  <c r="L135" i="6" s="1"/>
  <c r="J127" i="6"/>
  <c r="L127" i="6" s="1"/>
  <c r="J119" i="6"/>
  <c r="L119" i="6" s="1"/>
  <c r="J111" i="6"/>
  <c r="L111" i="6" s="1"/>
  <c r="M111" i="6" s="1"/>
  <c r="J103" i="6"/>
  <c r="L103" i="6" s="1"/>
  <c r="J95" i="6"/>
  <c r="L95" i="6" s="1"/>
  <c r="J87" i="6"/>
  <c r="L87" i="6" s="1"/>
  <c r="J73" i="6"/>
  <c r="L73" i="6" s="1"/>
  <c r="J57" i="6"/>
  <c r="L57" i="6" s="1"/>
  <c r="M57" i="6" s="1"/>
  <c r="J41" i="6"/>
  <c r="L41" i="6" s="1"/>
  <c r="J25" i="6"/>
  <c r="J9" i="6"/>
  <c r="L9" i="6" s="1"/>
  <c r="J203" i="6"/>
  <c r="L203" i="6" s="1"/>
  <c r="J199" i="6"/>
  <c r="L199" i="6" s="1"/>
  <c r="J195" i="6"/>
  <c r="L195" i="6" s="1"/>
  <c r="J191" i="6"/>
  <c r="L191" i="6" s="1"/>
  <c r="M191" i="6" s="1"/>
  <c r="J187" i="6"/>
  <c r="L187" i="6" s="1"/>
  <c r="J183" i="6"/>
  <c r="L183" i="6" s="1"/>
  <c r="J179" i="6"/>
  <c r="L179" i="6" s="1"/>
  <c r="J175" i="6"/>
  <c r="J171" i="6"/>
  <c r="L171" i="6" s="1"/>
  <c r="M171" i="6" s="1"/>
  <c r="J167" i="6"/>
  <c r="L167" i="6" s="1"/>
  <c r="J163" i="6"/>
  <c r="L163" i="6" s="1"/>
  <c r="J159" i="6"/>
  <c r="J155" i="6"/>
  <c r="J151" i="6"/>
  <c r="L151" i="6" s="1"/>
  <c r="M151" i="6" s="1"/>
  <c r="J147" i="6"/>
  <c r="L147" i="6" s="1"/>
  <c r="J141" i="6"/>
  <c r="L141" i="6" s="1"/>
  <c r="J133" i="6"/>
  <c r="L133" i="6" s="1"/>
  <c r="M133" i="6" s="1"/>
  <c r="J125" i="6"/>
  <c r="L125" i="6" s="1"/>
  <c r="J117" i="6"/>
  <c r="J109" i="6"/>
  <c r="L109" i="6" s="1"/>
  <c r="J101" i="6"/>
  <c r="L101" i="6" s="1"/>
  <c r="J93" i="6"/>
  <c r="J85" i="6"/>
  <c r="L85" i="6" s="1"/>
  <c r="J69" i="6"/>
  <c r="J53" i="6"/>
  <c r="J37" i="6"/>
  <c r="J21" i="6"/>
  <c r="J202" i="6"/>
  <c r="L202" i="6" s="1"/>
  <c r="J198" i="6"/>
  <c r="L198" i="6" s="1"/>
  <c r="J194" i="6"/>
  <c r="L194" i="6" s="1"/>
  <c r="J190" i="6"/>
  <c r="J186" i="6"/>
  <c r="L186" i="6" s="1"/>
  <c r="J182" i="6"/>
  <c r="L182" i="6" s="1"/>
  <c r="M182" i="6" s="1"/>
  <c r="J178" i="6"/>
  <c r="L178" i="6" s="1"/>
  <c r="J174" i="6"/>
  <c r="L174" i="6" s="1"/>
  <c r="M174" i="6" s="1"/>
  <c r="J170" i="6"/>
  <c r="L170" i="6" s="1"/>
  <c r="M170" i="6" s="1"/>
  <c r="J166" i="6"/>
  <c r="L166" i="6" s="1"/>
  <c r="J162" i="6"/>
  <c r="J158" i="6"/>
  <c r="L158" i="6" s="1"/>
  <c r="J154" i="6"/>
  <c r="J150" i="6"/>
  <c r="L150" i="6" s="1"/>
  <c r="J146" i="6"/>
  <c r="J139" i="6"/>
  <c r="L139" i="6" s="1"/>
  <c r="J131" i="6"/>
  <c r="J123" i="6"/>
  <c r="L123" i="6" s="1"/>
  <c r="J115" i="6"/>
  <c r="L115" i="6" s="1"/>
  <c r="J107" i="6"/>
  <c r="L107" i="6" s="1"/>
  <c r="J99" i="6"/>
  <c r="L99" i="6" s="1"/>
  <c r="J91" i="6"/>
  <c r="J81" i="6"/>
  <c r="J65" i="6"/>
  <c r="L65" i="6" s="1"/>
  <c r="M65" i="6" s="1"/>
  <c r="J49" i="6"/>
  <c r="L49" i="6" s="1"/>
  <c r="J33" i="6"/>
  <c r="J17" i="6"/>
  <c r="L17" i="6" s="1"/>
  <c r="I8" i="7"/>
  <c r="I6" i="6"/>
  <c r="N23" i="6" l="1"/>
  <c r="O23" i="6" s="1"/>
  <c r="P81" i="6"/>
  <c r="N81" i="6"/>
  <c r="O81" i="6" s="1"/>
  <c r="P93" i="6"/>
  <c r="N117" i="6"/>
  <c r="O117" i="6" s="1"/>
  <c r="P117" i="6"/>
  <c r="N205" i="6"/>
  <c r="O205" i="6" s="1"/>
  <c r="N33" i="6"/>
  <c r="O33" i="6" s="1"/>
  <c r="N79" i="6"/>
  <c r="O79" i="6" s="1"/>
  <c r="N88" i="6"/>
  <c r="O88" i="6" s="1"/>
  <c r="N192" i="6"/>
  <c r="O192" i="6" s="1"/>
  <c r="P96" i="6"/>
  <c r="Q96" i="6" s="1" a="1"/>
  <c r="Q96" i="6" s="1"/>
  <c r="N96" i="6"/>
  <c r="O96" i="6" s="1"/>
  <c r="P38" i="6"/>
  <c r="N59" i="6"/>
  <c r="O59" i="6" s="1"/>
  <c r="P205" i="6"/>
  <c r="Q205" i="6" s="1" a="1"/>
  <c r="Q205" i="6" s="1"/>
  <c r="N63" i="6"/>
  <c r="O63" i="6" s="1"/>
  <c r="P30" i="6"/>
  <c r="P63" i="6"/>
  <c r="P21" i="6"/>
  <c r="R21" i="6" s="1"/>
  <c r="N162" i="6"/>
  <c r="O162" i="6" s="1"/>
  <c r="P94" i="6"/>
  <c r="P83" i="6"/>
  <c r="P72" i="6"/>
  <c r="Q72" i="6" s="1" a="1"/>
  <c r="Q72" i="6" s="1"/>
  <c r="P126" i="6"/>
  <c r="R126" i="6" s="1"/>
  <c r="P19" i="6"/>
  <c r="R19" i="6" s="1"/>
  <c r="P69" i="6"/>
  <c r="P43" i="6"/>
  <c r="Q43" i="6" s="1" a="1"/>
  <c r="Q43" i="6" s="1"/>
  <c r="P33" i="6"/>
  <c r="Q33" i="6" s="1" a="1"/>
  <c r="Q33" i="6" s="1"/>
  <c r="P36" i="6"/>
  <c r="P196" i="6"/>
  <c r="M99" i="6"/>
  <c r="P99" i="6"/>
  <c r="Q99" i="6" s="1" a="1"/>
  <c r="Q99" i="6" s="1"/>
  <c r="Q90" i="6" a="1"/>
  <c r="Q90" i="6" s="1"/>
  <c r="M90" i="6"/>
  <c r="R90" i="6"/>
  <c r="P90" i="6"/>
  <c r="R150" i="6"/>
  <c r="Q150" i="6" a="1"/>
  <c r="Q150" i="6" s="1"/>
  <c r="P150" i="6"/>
  <c r="M150" i="6"/>
  <c r="R166" i="6"/>
  <c r="Q166" i="6" a="1"/>
  <c r="Q166" i="6" s="1"/>
  <c r="P166" i="6"/>
  <c r="M166" i="6"/>
  <c r="R198" i="6"/>
  <c r="Q198" i="6" a="1"/>
  <c r="Q198" i="6" s="1"/>
  <c r="P198" i="6"/>
  <c r="M198" i="6"/>
  <c r="R101" i="6"/>
  <c r="P101" i="6"/>
  <c r="M101" i="6"/>
  <c r="Q101" i="6" a="1"/>
  <c r="Q101" i="6" s="1"/>
  <c r="Q204" i="6" a="1"/>
  <c r="Q204" i="6" s="1"/>
  <c r="R204" i="6"/>
  <c r="P204" i="6"/>
  <c r="M204" i="6"/>
  <c r="M61" i="6"/>
  <c r="Q61" i="6" a="1"/>
  <c r="Q61" i="6" s="1"/>
  <c r="P61" i="6"/>
  <c r="R61" i="6"/>
  <c r="R105" i="6"/>
  <c r="Q105" i="6" a="1"/>
  <c r="Q105" i="6" s="1"/>
  <c r="P105" i="6"/>
  <c r="M105" i="6"/>
  <c r="Q157" i="6" a="1"/>
  <c r="Q157" i="6" s="1"/>
  <c r="R157" i="6"/>
  <c r="P157" i="6"/>
  <c r="M157" i="6"/>
  <c r="Q144" i="6" a="1"/>
  <c r="Q144" i="6" s="1"/>
  <c r="R144" i="6"/>
  <c r="P144" i="6"/>
  <c r="M144" i="6"/>
  <c r="R128" i="6"/>
  <c r="M128" i="6"/>
  <c r="P128" i="6"/>
  <c r="Q128" i="6" a="1"/>
  <c r="Q128" i="6" s="1"/>
  <c r="P16" i="6"/>
  <c r="Q16" i="6" a="1"/>
  <c r="Q16" i="6" s="1"/>
  <c r="M16" i="6"/>
  <c r="R16" i="6"/>
  <c r="Q138" i="6" a="1"/>
  <c r="Q138" i="6" s="1"/>
  <c r="M138" i="6"/>
  <c r="P138" i="6"/>
  <c r="R138" i="6"/>
  <c r="Q106" i="6" a="1"/>
  <c r="Q106" i="6" s="1"/>
  <c r="R106" i="6"/>
  <c r="P106" i="6"/>
  <c r="M106" i="6"/>
  <c r="R74" i="6"/>
  <c r="P74" i="6"/>
  <c r="Q74" i="6" a="1"/>
  <c r="Q74" i="6" s="1"/>
  <c r="M74" i="6"/>
  <c r="Q58" i="6" a="1"/>
  <c r="Q58" i="6" s="1"/>
  <c r="P58" i="6"/>
  <c r="R58" i="6"/>
  <c r="M58" i="6"/>
  <c r="R26" i="6"/>
  <c r="M26" i="6"/>
  <c r="P26" i="6"/>
  <c r="Q26" i="6" a="1"/>
  <c r="Q26" i="6" s="1"/>
  <c r="R49" i="6"/>
  <c r="Q49" i="6" a="1"/>
  <c r="Q49" i="6" s="1"/>
  <c r="P49" i="6"/>
  <c r="M49" i="6"/>
  <c r="R202" i="6"/>
  <c r="P202" i="6"/>
  <c r="Q202" i="6" a="1"/>
  <c r="Q202" i="6" s="1"/>
  <c r="M202" i="6"/>
  <c r="R109" i="6"/>
  <c r="P109" i="6"/>
  <c r="M109" i="6"/>
  <c r="Q109" i="6" a="1"/>
  <c r="Q109" i="6" s="1"/>
  <c r="Q9" i="6" a="1"/>
  <c r="Q9" i="6" s="1"/>
  <c r="R9" i="6"/>
  <c r="M9" i="6"/>
  <c r="P9" i="6"/>
  <c r="P73" i="6"/>
  <c r="R73" i="6"/>
  <c r="Q73" i="6" a="1"/>
  <c r="Q73" i="6" s="1"/>
  <c r="M73" i="6"/>
  <c r="R143" i="6"/>
  <c r="P143" i="6"/>
  <c r="Q143" i="6" a="1"/>
  <c r="Q143" i="6" s="1"/>
  <c r="M143" i="6"/>
  <c r="R160" i="6"/>
  <c r="P160" i="6"/>
  <c r="Q160" i="6" a="1"/>
  <c r="Q160" i="6" s="1"/>
  <c r="M160" i="6"/>
  <c r="R176" i="6"/>
  <c r="Q176" i="6" a="1"/>
  <c r="Q176" i="6" s="1"/>
  <c r="P176" i="6"/>
  <c r="M176" i="6"/>
  <c r="R13" i="6"/>
  <c r="Q13" i="6" a="1"/>
  <c r="Q13" i="6" s="1"/>
  <c r="P13" i="6"/>
  <c r="M13" i="6"/>
  <c r="Q77" i="6" a="1"/>
  <c r="Q77" i="6" s="1"/>
  <c r="M77" i="6"/>
  <c r="P77" i="6"/>
  <c r="R77" i="6"/>
  <c r="R145" i="6"/>
  <c r="Q145" i="6" a="1"/>
  <c r="Q145" i="6" s="1"/>
  <c r="P145" i="6"/>
  <c r="M145" i="6"/>
  <c r="Q177" i="6" a="1"/>
  <c r="Q177" i="6" s="1"/>
  <c r="M177" i="6"/>
  <c r="P177" i="6"/>
  <c r="R177" i="6"/>
  <c r="R193" i="6"/>
  <c r="P193" i="6"/>
  <c r="M193" i="6"/>
  <c r="Q193" i="6" a="1"/>
  <c r="Q193" i="6" s="1"/>
  <c r="N130" i="6"/>
  <c r="M130" i="6"/>
  <c r="R140" i="6"/>
  <c r="Q140" i="6" a="1"/>
  <c r="Q140" i="6" s="1"/>
  <c r="P140" i="6"/>
  <c r="M140" i="6"/>
  <c r="Q92" i="6" a="1"/>
  <c r="Q92" i="6" s="1"/>
  <c r="P92" i="6"/>
  <c r="M92" i="6"/>
  <c r="R92" i="6"/>
  <c r="R60" i="6"/>
  <c r="Q60" i="6" a="1"/>
  <c r="Q60" i="6" s="1"/>
  <c r="P60" i="6"/>
  <c r="M60" i="6"/>
  <c r="Q44" i="6" a="1"/>
  <c r="Q44" i="6" s="1"/>
  <c r="M44" i="6"/>
  <c r="R44" i="6"/>
  <c r="P44" i="6"/>
  <c r="R28" i="6"/>
  <c r="P28" i="6"/>
  <c r="M28" i="6"/>
  <c r="Q28" i="6" a="1"/>
  <c r="Q28" i="6" s="1"/>
  <c r="P12" i="6"/>
  <c r="M12" i="6"/>
  <c r="R12" i="6"/>
  <c r="Q12" i="6" a="1"/>
  <c r="Q12" i="6" s="1"/>
  <c r="Q75" i="6" a="1"/>
  <c r="Q75" i="6" s="1"/>
  <c r="R75" i="6"/>
  <c r="M75" i="6"/>
  <c r="P75" i="6"/>
  <c r="Q27" i="6" a="1"/>
  <c r="Q27" i="6" s="1"/>
  <c r="P27" i="6"/>
  <c r="R27" i="6"/>
  <c r="M27" i="6"/>
  <c r="R134" i="6"/>
  <c r="Q134" i="6" a="1"/>
  <c r="Q134" i="6" s="1"/>
  <c r="P134" i="6"/>
  <c r="M134" i="6"/>
  <c r="Q102" i="6" a="1"/>
  <c r="Q102" i="6" s="1"/>
  <c r="R102" i="6"/>
  <c r="P102" i="6"/>
  <c r="M102" i="6"/>
  <c r="R86" i="6"/>
  <c r="Q86" i="6" a="1"/>
  <c r="Q86" i="6" s="1"/>
  <c r="P86" i="6"/>
  <c r="M86" i="6"/>
  <c r="N83" i="6"/>
  <c r="O83" i="6" s="1"/>
  <c r="N175" i="6"/>
  <c r="O175" i="6" s="1"/>
  <c r="N142" i="6"/>
  <c r="O142" i="6" s="1"/>
  <c r="N146" i="6"/>
  <c r="O146" i="6" s="1"/>
  <c r="N154" i="6"/>
  <c r="M154" i="6"/>
  <c r="N54" i="6"/>
  <c r="M54" i="6"/>
  <c r="N116" i="6"/>
  <c r="M116" i="6"/>
  <c r="P22" i="6"/>
  <c r="P62" i="6"/>
  <c r="Q62" i="6" s="1" a="1"/>
  <c r="Q62" i="6" s="1"/>
  <c r="P98" i="6"/>
  <c r="Q98" i="6" s="1" a="1"/>
  <c r="Q98" i="6" s="1"/>
  <c r="P130" i="6"/>
  <c r="Q130" i="6" s="1" a="1"/>
  <c r="Q130" i="6" s="1"/>
  <c r="P162" i="6"/>
  <c r="P190" i="6"/>
  <c r="R190" i="6" s="1"/>
  <c r="P129" i="6"/>
  <c r="Q129" i="6" s="1" a="1"/>
  <c r="Q129" i="6" s="1"/>
  <c r="P23" i="6"/>
  <c r="R23" i="6" s="1"/>
  <c r="P59" i="6"/>
  <c r="P91" i="6"/>
  <c r="Q91" i="6" s="1" a="1"/>
  <c r="Q91" i="6" s="1"/>
  <c r="P151" i="6"/>
  <c r="Q151" i="6" s="1" a="1"/>
  <c r="Q151" i="6" s="1"/>
  <c r="P175" i="6"/>
  <c r="R175" i="6" s="1"/>
  <c r="P137" i="6"/>
  <c r="P185" i="6"/>
  <c r="Q185" i="6" s="1" a="1"/>
  <c r="Q185" i="6" s="1"/>
  <c r="P48" i="6"/>
  <c r="Q48" i="6" s="1" a="1"/>
  <c r="Q48" i="6" s="1"/>
  <c r="P76" i="6"/>
  <c r="R76" i="6" s="1"/>
  <c r="P136" i="6"/>
  <c r="P113" i="6"/>
  <c r="R113" i="6" s="1"/>
  <c r="Q123" i="6" a="1"/>
  <c r="Q123" i="6" s="1"/>
  <c r="R123" i="6"/>
  <c r="P123" i="6"/>
  <c r="M123" i="6"/>
  <c r="Q187" i="6" a="1"/>
  <c r="Q187" i="6" s="1"/>
  <c r="R187" i="6"/>
  <c r="P187" i="6"/>
  <c r="M187" i="6"/>
  <c r="R203" i="6"/>
  <c r="P203" i="6"/>
  <c r="M203" i="6"/>
  <c r="Q203" i="6" a="1"/>
  <c r="Q203" i="6" s="1"/>
  <c r="Q103" i="6" a="1"/>
  <c r="Q103" i="6" s="1"/>
  <c r="R103" i="6"/>
  <c r="P103" i="6"/>
  <c r="M103" i="6"/>
  <c r="R135" i="6"/>
  <c r="Q135" i="6" a="1"/>
  <c r="Q135" i="6" s="1"/>
  <c r="P135" i="6"/>
  <c r="M135" i="6"/>
  <c r="R156" i="6"/>
  <c r="Q156" i="6" a="1"/>
  <c r="Q156" i="6" s="1"/>
  <c r="P156" i="6"/>
  <c r="M156" i="6"/>
  <c r="Q188" i="6" a="1"/>
  <c r="Q188" i="6" s="1"/>
  <c r="P188" i="6"/>
  <c r="R188" i="6"/>
  <c r="M188" i="6"/>
  <c r="R189" i="6"/>
  <c r="P189" i="6"/>
  <c r="Q189" i="6" a="1"/>
  <c r="Q189" i="6" s="1"/>
  <c r="M189" i="6"/>
  <c r="Q112" i="6" a="1"/>
  <c r="Q112" i="6" s="1"/>
  <c r="M112" i="6"/>
  <c r="R112" i="6"/>
  <c r="P112" i="6"/>
  <c r="N53" i="6"/>
  <c r="M53" i="6"/>
  <c r="R186" i="6"/>
  <c r="Q186" i="6" a="1"/>
  <c r="Q186" i="6" s="1"/>
  <c r="P186" i="6"/>
  <c r="M186" i="6"/>
  <c r="R141" i="6"/>
  <c r="Q141" i="6" a="1"/>
  <c r="Q141" i="6" s="1"/>
  <c r="M141" i="6"/>
  <c r="P141" i="6"/>
  <c r="Q107" i="6" a="1"/>
  <c r="Q107" i="6" s="1"/>
  <c r="P107" i="6"/>
  <c r="M107" i="6"/>
  <c r="R107" i="6"/>
  <c r="Q139" i="6" a="1"/>
  <c r="Q139" i="6" s="1"/>
  <c r="R139" i="6"/>
  <c r="P139" i="6"/>
  <c r="M139" i="6"/>
  <c r="R158" i="6"/>
  <c r="Q158" i="6" a="1"/>
  <c r="Q158" i="6" s="1"/>
  <c r="P158" i="6"/>
  <c r="M158" i="6"/>
  <c r="Q85" i="6" a="1"/>
  <c r="Q85" i="6" s="1"/>
  <c r="P85" i="6"/>
  <c r="R85" i="6"/>
  <c r="M85" i="6"/>
  <c r="Q147" i="6" a="1"/>
  <c r="Q147" i="6" s="1"/>
  <c r="P147" i="6"/>
  <c r="R147" i="6"/>
  <c r="M147" i="6"/>
  <c r="Q163" i="6" a="1"/>
  <c r="Q163" i="6" s="1"/>
  <c r="R163" i="6"/>
  <c r="P163" i="6"/>
  <c r="M163" i="6"/>
  <c r="R179" i="6"/>
  <c r="P179" i="6"/>
  <c r="Q179" i="6" a="1"/>
  <c r="Q179" i="6" s="1"/>
  <c r="M179" i="6"/>
  <c r="Q195" i="6" a="1"/>
  <c r="Q195" i="6" s="1"/>
  <c r="R195" i="6"/>
  <c r="P195" i="6"/>
  <c r="M195" i="6"/>
  <c r="Q87" i="6" a="1"/>
  <c r="Q87" i="6" s="1"/>
  <c r="P87" i="6"/>
  <c r="R87" i="6"/>
  <c r="M87" i="6"/>
  <c r="R119" i="6"/>
  <c r="P119" i="6"/>
  <c r="Q119" i="6" a="1"/>
  <c r="Q119" i="6" s="1"/>
  <c r="M119" i="6"/>
  <c r="Q148" i="6" a="1"/>
  <c r="Q148" i="6" s="1"/>
  <c r="R148" i="6"/>
  <c r="P148" i="6"/>
  <c r="M148" i="6"/>
  <c r="Q164" i="6" a="1"/>
  <c r="Q164" i="6" s="1"/>
  <c r="P164" i="6"/>
  <c r="R164" i="6"/>
  <c r="M164" i="6"/>
  <c r="R180" i="6"/>
  <c r="P180" i="6"/>
  <c r="Q180" i="6" a="1"/>
  <c r="Q180" i="6" s="1"/>
  <c r="M180" i="6"/>
  <c r="Q29" i="6" a="1"/>
  <c r="Q29" i="6" s="1"/>
  <c r="P29" i="6"/>
  <c r="R29" i="6"/>
  <c r="M29" i="6"/>
  <c r="R89" i="6"/>
  <c r="Q89" i="6" a="1"/>
  <c r="Q89" i="6" s="1"/>
  <c r="M89" i="6"/>
  <c r="P89" i="6"/>
  <c r="Q121" i="6" a="1"/>
  <c r="Q121" i="6" s="1"/>
  <c r="P121" i="6"/>
  <c r="R121" i="6"/>
  <c r="M121" i="6"/>
  <c r="R165" i="6"/>
  <c r="Q165" i="6" a="1"/>
  <c r="Q165" i="6" s="1"/>
  <c r="P165" i="6"/>
  <c r="M165" i="6"/>
  <c r="Q181" i="6" a="1"/>
  <c r="Q181" i="6" s="1"/>
  <c r="R181" i="6"/>
  <c r="M181" i="6"/>
  <c r="P181" i="6"/>
  <c r="R197" i="6"/>
  <c r="P197" i="6"/>
  <c r="M197" i="6"/>
  <c r="Q197" i="6" a="1"/>
  <c r="Q197" i="6" s="1"/>
  <c r="R120" i="6"/>
  <c r="Q120" i="6" a="1"/>
  <c r="Q120" i="6" s="1"/>
  <c r="M120" i="6"/>
  <c r="P120" i="6"/>
  <c r="R104" i="6"/>
  <c r="Q104" i="6" a="1"/>
  <c r="Q104" i="6" s="1"/>
  <c r="P104" i="6"/>
  <c r="M104" i="6"/>
  <c r="P40" i="6"/>
  <c r="R40" i="6"/>
  <c r="M40" i="6"/>
  <c r="Q40" i="6" a="1"/>
  <c r="Q40" i="6" s="1"/>
  <c r="R8" i="6"/>
  <c r="Q8" i="6" a="1"/>
  <c r="Q8" i="6" s="1"/>
  <c r="M8" i="6"/>
  <c r="P8" i="6"/>
  <c r="Q71" i="6" a="1"/>
  <c r="Q71" i="6" s="1"/>
  <c r="R71" i="6"/>
  <c r="P71" i="6"/>
  <c r="M71" i="6"/>
  <c r="R55" i="6"/>
  <c r="P55" i="6"/>
  <c r="M55" i="6"/>
  <c r="Q55" i="6" a="1"/>
  <c r="Q55" i="6" s="1"/>
  <c r="Q39" i="6" a="1"/>
  <c r="Q39" i="6" s="1"/>
  <c r="R39" i="6"/>
  <c r="P39" i="6"/>
  <c r="M39" i="6"/>
  <c r="P7" i="6"/>
  <c r="Q7" i="6" a="1"/>
  <c r="Q7" i="6" s="1"/>
  <c r="M7" i="6"/>
  <c r="R7" i="6"/>
  <c r="P82" i="6"/>
  <c r="R82" i="6"/>
  <c r="M82" i="6"/>
  <c r="Q82" i="6" a="1"/>
  <c r="Q82" i="6" s="1"/>
  <c r="P66" i="6"/>
  <c r="R66" i="6"/>
  <c r="Q66" i="6" a="1"/>
  <c r="Q66" i="6" s="1"/>
  <c r="M66" i="6"/>
  <c r="N91" i="6"/>
  <c r="O91" i="6" s="1"/>
  <c r="P46" i="6"/>
  <c r="Q46" i="6" s="1" a="1"/>
  <c r="Q46" i="6" s="1"/>
  <c r="P70" i="6"/>
  <c r="Q70" i="6" s="1" a="1"/>
  <c r="Q70" i="6" s="1"/>
  <c r="P114" i="6"/>
  <c r="Q114" i="6" s="1" a="1"/>
  <c r="Q114" i="6" s="1"/>
  <c r="P142" i="6"/>
  <c r="P170" i="6"/>
  <c r="Q170" i="6" s="1" a="1"/>
  <c r="Q170" i="6" s="1"/>
  <c r="P11" i="6"/>
  <c r="R11" i="6" s="1"/>
  <c r="P31" i="6"/>
  <c r="Q31" i="6" s="1" a="1"/>
  <c r="Q31" i="6" s="1"/>
  <c r="P155" i="6"/>
  <c r="P191" i="6"/>
  <c r="Q191" i="6" s="1" a="1"/>
  <c r="Q191" i="6" s="1"/>
  <c r="P149" i="6"/>
  <c r="Q149" i="6" s="1" a="1"/>
  <c r="Q149" i="6" s="1"/>
  <c r="P24" i="6"/>
  <c r="R24" i="6" s="1"/>
  <c r="P52" i="6"/>
  <c r="P80" i="6"/>
  <c r="Q80" i="6" s="1" a="1"/>
  <c r="Q80" i="6" s="1"/>
  <c r="P108" i="6"/>
  <c r="Q108" i="6" s="1" a="1"/>
  <c r="Q108" i="6" s="1"/>
  <c r="P172" i="6"/>
  <c r="R172" i="6" s="1"/>
  <c r="P57" i="6"/>
  <c r="P133" i="6"/>
  <c r="Q133" i="6" s="1" a="1"/>
  <c r="Q133" i="6" s="1"/>
  <c r="Q64" i="6" a="1"/>
  <c r="Q64" i="6" s="1"/>
  <c r="M64" i="6"/>
  <c r="R64" i="6"/>
  <c r="P64" i="6"/>
  <c r="Q47" i="6" a="1"/>
  <c r="Q47" i="6" s="1"/>
  <c r="P47" i="6"/>
  <c r="R47" i="6"/>
  <c r="M47" i="6"/>
  <c r="Q122" i="6" a="1"/>
  <c r="Q122" i="6" s="1"/>
  <c r="R122" i="6"/>
  <c r="P122" i="6"/>
  <c r="M122" i="6"/>
  <c r="P10" i="6"/>
  <c r="R10" i="6"/>
  <c r="Q10" i="6" a="1"/>
  <c r="Q10" i="6" s="1"/>
  <c r="M10" i="6"/>
  <c r="N131" i="6"/>
  <c r="M131" i="6"/>
  <c r="N100" i="6"/>
  <c r="M100" i="6"/>
  <c r="N200" i="6"/>
  <c r="M200" i="6"/>
  <c r="P182" i="6"/>
  <c r="P131" i="6"/>
  <c r="Q131" i="6" s="1" a="1"/>
  <c r="Q131" i="6" s="1"/>
  <c r="P171" i="6"/>
  <c r="Q171" i="6" s="1" a="1"/>
  <c r="Q171" i="6" s="1"/>
  <c r="P173" i="6"/>
  <c r="Q173" i="6" s="1" a="1"/>
  <c r="Q173" i="6" s="1"/>
  <c r="P124" i="6"/>
  <c r="P37" i="6"/>
  <c r="Q37" i="6" s="1" a="1"/>
  <c r="Q37" i="6" s="1"/>
  <c r="Q17" i="6" a="1"/>
  <c r="Q17" i="6" s="1"/>
  <c r="P17" i="6"/>
  <c r="M17" i="6"/>
  <c r="R17" i="6"/>
  <c r="R115" i="6"/>
  <c r="Q115" i="6" a="1"/>
  <c r="Q115" i="6" s="1"/>
  <c r="P115" i="6"/>
  <c r="M115" i="6"/>
  <c r="Q178" i="6" a="1"/>
  <c r="Q178" i="6" s="1"/>
  <c r="R178" i="6"/>
  <c r="M178" i="6"/>
  <c r="P178" i="6"/>
  <c r="Q194" i="6" a="1"/>
  <c r="Q194" i="6" s="1"/>
  <c r="R194" i="6"/>
  <c r="M194" i="6"/>
  <c r="P194" i="6"/>
  <c r="R125" i="6"/>
  <c r="Q125" i="6" a="1"/>
  <c r="Q125" i="6" s="1"/>
  <c r="P125" i="6"/>
  <c r="M125" i="6"/>
  <c r="R167" i="6"/>
  <c r="Q167" i="6" a="1"/>
  <c r="Q167" i="6" s="1"/>
  <c r="M167" i="6"/>
  <c r="P167" i="6"/>
  <c r="Q183" i="6" a="1"/>
  <c r="Q183" i="6" s="1"/>
  <c r="R183" i="6"/>
  <c r="P183" i="6"/>
  <c r="M183" i="6"/>
  <c r="Q199" i="6" a="1"/>
  <c r="Q199" i="6" s="1"/>
  <c r="P199" i="6"/>
  <c r="R199" i="6"/>
  <c r="M199" i="6"/>
  <c r="R41" i="6"/>
  <c r="P41" i="6"/>
  <c r="M41" i="6"/>
  <c r="Q41" i="6" a="1"/>
  <c r="Q41" i="6" s="1"/>
  <c r="P95" i="6"/>
  <c r="R95" i="6"/>
  <c r="Q95" i="6" a="1"/>
  <c r="Q95" i="6" s="1"/>
  <c r="M95" i="6"/>
  <c r="R127" i="6"/>
  <c r="Q127" i="6" a="1"/>
  <c r="Q127" i="6" s="1"/>
  <c r="P127" i="6"/>
  <c r="M127" i="6"/>
  <c r="R152" i="6"/>
  <c r="Q152" i="6" a="1"/>
  <c r="Q152" i="6" s="1"/>
  <c r="P152" i="6"/>
  <c r="M152" i="6"/>
  <c r="Q168" i="6" a="1"/>
  <c r="Q168" i="6" s="1"/>
  <c r="R168" i="6"/>
  <c r="P168" i="6"/>
  <c r="M168" i="6"/>
  <c r="R184" i="6"/>
  <c r="P184" i="6"/>
  <c r="Q184" i="6" a="1"/>
  <c r="Q184" i="6" s="1"/>
  <c r="M184" i="6"/>
  <c r="M45" i="6"/>
  <c r="P45" i="6"/>
  <c r="Q45" i="6" a="1"/>
  <c r="Q45" i="6" s="1"/>
  <c r="R45" i="6"/>
  <c r="R169" i="6"/>
  <c r="Q169" i="6" a="1"/>
  <c r="Q169" i="6" s="1"/>
  <c r="P169" i="6"/>
  <c r="M169" i="6"/>
  <c r="Q201" i="6" a="1"/>
  <c r="Q201" i="6" s="1"/>
  <c r="M201" i="6"/>
  <c r="R201" i="6"/>
  <c r="P201" i="6"/>
  <c r="N118" i="6"/>
  <c r="M118" i="6"/>
  <c r="Q132" i="6" a="1"/>
  <c r="Q132" i="6" s="1"/>
  <c r="R132" i="6"/>
  <c r="P132" i="6"/>
  <c r="M132" i="6"/>
  <c r="R84" i="6"/>
  <c r="Q84" i="6" a="1"/>
  <c r="Q84" i="6" s="1"/>
  <c r="P84" i="6"/>
  <c r="M84" i="6"/>
  <c r="P68" i="6"/>
  <c r="M68" i="6"/>
  <c r="R68" i="6"/>
  <c r="Q68" i="6" a="1"/>
  <c r="Q68" i="6" s="1"/>
  <c r="R20" i="6"/>
  <c r="M20" i="6"/>
  <c r="Q20" i="6" a="1"/>
  <c r="Q20" i="6" s="1"/>
  <c r="P20" i="6"/>
  <c r="R67" i="6"/>
  <c r="P67" i="6"/>
  <c r="Q67" i="6" a="1"/>
  <c r="Q67" i="6" s="1"/>
  <c r="M67" i="6"/>
  <c r="P51" i="6"/>
  <c r="R51" i="6"/>
  <c r="Q51" i="6" a="1"/>
  <c r="Q51" i="6" s="1"/>
  <c r="M51" i="6"/>
  <c r="R110" i="6"/>
  <c r="Q110" i="6" a="1"/>
  <c r="Q110" i="6" s="1"/>
  <c r="P110" i="6"/>
  <c r="M110" i="6"/>
  <c r="R14" i="6"/>
  <c r="P14" i="6"/>
  <c r="Q14" i="6" a="1"/>
  <c r="Q14" i="6" s="1"/>
  <c r="M14" i="6"/>
  <c r="N37" i="6"/>
  <c r="O37" i="6" s="1"/>
  <c r="N70" i="6"/>
  <c r="O70" i="6" s="1"/>
  <c r="N161" i="6"/>
  <c r="M161" i="6"/>
  <c r="P34" i="6"/>
  <c r="P50" i="6"/>
  <c r="R50" i="6" s="1"/>
  <c r="P78" i="6"/>
  <c r="Q78" i="6" s="1" a="1"/>
  <c r="Q78" i="6" s="1"/>
  <c r="P118" i="6"/>
  <c r="R118" i="6" s="1"/>
  <c r="P146" i="6"/>
  <c r="P174" i="6"/>
  <c r="R174" i="6" s="1"/>
  <c r="P97" i="6"/>
  <c r="R97" i="6" s="1"/>
  <c r="P15" i="6"/>
  <c r="R15" i="6" s="1"/>
  <c r="P35" i="6"/>
  <c r="P79" i="6"/>
  <c r="Q79" i="6" s="1" a="1"/>
  <c r="Q79" i="6" s="1"/>
  <c r="P111" i="6"/>
  <c r="R111" i="6" s="1"/>
  <c r="P159" i="6"/>
  <c r="R159" i="6" s="1"/>
  <c r="P161" i="6"/>
  <c r="P32" i="6"/>
  <c r="R32" i="6" s="1"/>
  <c r="P56" i="6"/>
  <c r="Q56" i="6" s="1" a="1"/>
  <c r="Q56" i="6" s="1"/>
  <c r="P88" i="6"/>
  <c r="Q88" i="6" s="1" a="1"/>
  <c r="Q88" i="6" s="1"/>
  <c r="P192" i="6"/>
  <c r="P25" i="6"/>
  <c r="Q25" i="6" s="1" a="1"/>
  <c r="Q25" i="6" s="1"/>
  <c r="P65" i="6"/>
  <c r="Q65" i="6" s="1" a="1"/>
  <c r="Q65" i="6" s="1"/>
  <c r="P153" i="6"/>
  <c r="Q153" i="6" s="1" a="1"/>
  <c r="Q153" i="6" s="1"/>
  <c r="R18" i="6"/>
  <c r="Q38" i="6" a="1"/>
  <c r="Q38" i="6" s="1"/>
  <c r="R38" i="6"/>
  <c r="Q83" i="6" a="1"/>
  <c r="Q83" i="6" s="1"/>
  <c r="R83" i="6"/>
  <c r="Q36" i="6" a="1"/>
  <c r="Q36" i="6" s="1"/>
  <c r="R36" i="6"/>
  <c r="Q196" i="6" a="1"/>
  <c r="Q196" i="6" s="1"/>
  <c r="R196" i="6"/>
  <c r="Q22" i="6" a="1"/>
  <c r="Q22" i="6" s="1"/>
  <c r="R22" i="6"/>
  <c r="Q100" i="6" a="1"/>
  <c r="Q100" i="6" s="1"/>
  <c r="R100" i="6"/>
  <c r="Q136" i="6" a="1"/>
  <c r="Q136" i="6" s="1"/>
  <c r="R136" i="6"/>
  <c r="Q53" i="6" a="1"/>
  <c r="Q53" i="6" s="1"/>
  <c r="R53" i="6"/>
  <c r="Q30" i="6" a="1"/>
  <c r="Q30" i="6" s="1"/>
  <c r="R30" i="6"/>
  <c r="R70" i="6"/>
  <c r="Q142" i="6" a="1"/>
  <c r="Q142" i="6" s="1"/>
  <c r="R142" i="6"/>
  <c r="Q63" i="6" a="1"/>
  <c r="Q63" i="6" s="1"/>
  <c r="R63" i="6"/>
  <c r="Q155" i="6" a="1"/>
  <c r="Q155" i="6" s="1"/>
  <c r="R155" i="6"/>
  <c r="Q52" i="6" a="1"/>
  <c r="Q52" i="6" s="1"/>
  <c r="R52" i="6"/>
  <c r="Q57" i="6" a="1"/>
  <c r="Q57" i="6" s="1"/>
  <c r="R57" i="6"/>
  <c r="Q54" i="6" a="1"/>
  <c r="Q54" i="6" s="1"/>
  <c r="R54" i="6"/>
  <c r="Q94" i="6" a="1"/>
  <c r="Q94" i="6" s="1"/>
  <c r="R94" i="6"/>
  <c r="Q154" i="6" a="1"/>
  <c r="Q154" i="6" s="1"/>
  <c r="R154" i="6"/>
  <c r="Q182" i="6" a="1"/>
  <c r="Q182" i="6" s="1"/>
  <c r="R182" i="6"/>
  <c r="Q117" i="6" a="1"/>
  <c r="Q117" i="6" s="1"/>
  <c r="R117" i="6"/>
  <c r="Q93" i="6" a="1"/>
  <c r="Q93" i="6" s="1"/>
  <c r="R93" i="6"/>
  <c r="Q124" i="6" a="1"/>
  <c r="Q124" i="6" s="1"/>
  <c r="R124" i="6"/>
  <c r="Q69" i="6" a="1"/>
  <c r="Q69" i="6" s="1"/>
  <c r="R69" i="6"/>
  <c r="Q42" i="6" a="1"/>
  <c r="Q42" i="6" s="1"/>
  <c r="R42" i="6"/>
  <c r="Q162" i="6" a="1"/>
  <c r="Q162" i="6" s="1"/>
  <c r="R162" i="6"/>
  <c r="Q190" i="6" a="1"/>
  <c r="Q190" i="6" s="1"/>
  <c r="Q59" i="6" a="1"/>
  <c r="Q59" i="6" s="1"/>
  <c r="R59" i="6"/>
  <c r="Q137" i="6" a="1"/>
  <c r="Q137" i="6" s="1"/>
  <c r="R137" i="6"/>
  <c r="Q200" i="6" a="1"/>
  <c r="Q200" i="6" s="1"/>
  <c r="R200" i="6"/>
  <c r="Q113" i="6" a="1"/>
  <c r="Q113" i="6" s="1"/>
  <c r="Q34" i="6" a="1"/>
  <c r="Q34" i="6" s="1"/>
  <c r="R34" i="6"/>
  <c r="Q146" i="6" a="1"/>
  <c r="Q146" i="6" s="1"/>
  <c r="R146" i="6"/>
  <c r="Q35" i="6" a="1"/>
  <c r="Q35" i="6" s="1"/>
  <c r="R35" i="6"/>
  <c r="Q81" i="6" a="1"/>
  <c r="Q81" i="6" s="1"/>
  <c r="R81" i="6"/>
  <c r="Q161" i="6" a="1"/>
  <c r="Q161" i="6" s="1"/>
  <c r="R161" i="6"/>
  <c r="Q116" i="6" a="1"/>
  <c r="Q116" i="6" s="1"/>
  <c r="R116" i="6"/>
  <c r="Q192" i="6" a="1"/>
  <c r="Q192" i="6" s="1"/>
  <c r="R192" i="6"/>
  <c r="Q19" i="6" a="1"/>
  <c r="Q19" i="6" s="1"/>
  <c r="N25" i="6"/>
  <c r="O25" i="6" s="1"/>
  <c r="N137" i="6"/>
  <c r="O137" i="6" s="1"/>
  <c r="N38" i="6"/>
  <c r="O38" i="6" s="1"/>
  <c r="N69" i="6"/>
  <c r="O69" i="6" s="1"/>
  <c r="N115" i="6"/>
  <c r="N194" i="6"/>
  <c r="O194" i="6" s="1"/>
  <c r="N167" i="6"/>
  <c r="O167" i="6" s="1"/>
  <c r="N199" i="6"/>
  <c r="N127" i="6"/>
  <c r="N75" i="6"/>
  <c r="O75" i="6" s="1"/>
  <c r="N86" i="6"/>
  <c r="O86" i="6" s="1"/>
  <c r="N150" i="6"/>
  <c r="N182" i="6"/>
  <c r="O182" i="6" s="1"/>
  <c r="N171" i="6"/>
  <c r="O171" i="6" s="1"/>
  <c r="N103" i="6"/>
  <c r="N204" i="6"/>
  <c r="N61" i="6"/>
  <c r="O61" i="6" s="1"/>
  <c r="N186" i="6"/>
  <c r="N191" i="6"/>
  <c r="O191" i="6" s="1"/>
  <c r="N111" i="6"/>
  <c r="O111" i="6" s="1"/>
  <c r="N143" i="6"/>
  <c r="N160" i="6"/>
  <c r="N68" i="6"/>
  <c r="N67" i="6"/>
  <c r="N126" i="6"/>
  <c r="O126" i="6" s="1"/>
  <c r="N110" i="6"/>
  <c r="N94" i="6"/>
  <c r="O94" i="6" s="1"/>
  <c r="N78" i="6"/>
  <c r="O78" i="6" s="1"/>
  <c r="N62" i="6"/>
  <c r="O62" i="6" s="1"/>
  <c r="N178" i="6"/>
  <c r="O178" i="6" s="1"/>
  <c r="N151" i="6"/>
  <c r="O151" i="6" s="1"/>
  <c r="N183" i="6"/>
  <c r="N95" i="6"/>
  <c r="O95" i="6" s="1"/>
  <c r="N92" i="6"/>
  <c r="O92" i="6" s="1"/>
  <c r="N134" i="6"/>
  <c r="O134" i="6" s="1"/>
  <c r="N102" i="6"/>
  <c r="N123" i="6"/>
  <c r="O123" i="6" s="1"/>
  <c r="N166" i="6"/>
  <c r="N198" i="6"/>
  <c r="N203" i="6"/>
  <c r="O203" i="6" s="1"/>
  <c r="N135" i="6"/>
  <c r="O135" i="6" s="1"/>
  <c r="N105" i="6"/>
  <c r="N170" i="6"/>
  <c r="O170" i="6" s="1"/>
  <c r="N202" i="6"/>
  <c r="N141" i="6"/>
  <c r="N107" i="6"/>
  <c r="N139" i="6"/>
  <c r="N158" i="6"/>
  <c r="N174" i="6"/>
  <c r="O174" i="6" s="1"/>
  <c r="N85" i="6"/>
  <c r="N163" i="6"/>
  <c r="N179" i="6"/>
  <c r="N195" i="6"/>
  <c r="N87" i="6"/>
  <c r="N165" i="6"/>
  <c r="N122" i="6"/>
  <c r="N101" i="6"/>
  <c r="N57" i="6"/>
  <c r="O57" i="6" s="1"/>
  <c r="N173" i="6"/>
  <c r="O173" i="6" s="1"/>
  <c r="N19" i="6"/>
  <c r="O19" i="6" s="1"/>
  <c r="N52" i="6"/>
  <c r="O52" i="6" s="1"/>
  <c r="N73" i="6"/>
  <c r="N124" i="6"/>
  <c r="O124" i="6" s="1"/>
  <c r="N145" i="6"/>
  <c r="N140" i="6"/>
  <c r="O140" i="6" s="1"/>
  <c r="N108" i="6"/>
  <c r="O108" i="6" s="1"/>
  <c r="N60" i="6"/>
  <c r="O60" i="6" s="1"/>
  <c r="N49" i="6"/>
  <c r="N109" i="6"/>
  <c r="N9" i="6"/>
  <c r="N176" i="6"/>
  <c r="N13" i="6"/>
  <c r="N77" i="6"/>
  <c r="O77" i="6" s="1"/>
  <c r="N193" i="6"/>
  <c r="N7" i="6"/>
  <c r="N24" i="6"/>
  <c r="O24" i="6" s="1"/>
  <c r="N40" i="6"/>
  <c r="N56" i="6"/>
  <c r="O56" i="6" s="1"/>
  <c r="N80" i="6"/>
  <c r="O80" i="6" s="1"/>
  <c r="N149" i="6"/>
  <c r="O149" i="6" s="1"/>
  <c r="N172" i="6"/>
  <c r="O172" i="6" s="1"/>
  <c r="N196" i="6"/>
  <c r="O196" i="6" s="1"/>
  <c r="N120" i="6"/>
  <c r="N104" i="6"/>
  <c r="N72" i="6"/>
  <c r="O72" i="6" s="1"/>
  <c r="N8" i="6"/>
  <c r="N55" i="6"/>
  <c r="N39" i="6"/>
  <c r="N50" i="6"/>
  <c r="O50" i="6" s="1"/>
  <c r="N34" i="6"/>
  <c r="O34" i="6" s="1"/>
  <c r="N65" i="6"/>
  <c r="O65" i="6" s="1"/>
  <c r="N147" i="6"/>
  <c r="N119" i="6"/>
  <c r="N164" i="6"/>
  <c r="N180" i="6"/>
  <c r="N29" i="6"/>
  <c r="N197" i="6"/>
  <c r="N28" i="6"/>
  <c r="O28" i="6" s="1"/>
  <c r="N136" i="6"/>
  <c r="O136" i="6" s="1"/>
  <c r="N155" i="6"/>
  <c r="O155" i="6" s="1"/>
  <c r="N132" i="6"/>
  <c r="N84" i="6"/>
  <c r="N20" i="6"/>
  <c r="N51" i="6"/>
  <c r="N35" i="6"/>
  <c r="O35" i="6" s="1"/>
  <c r="N46" i="6"/>
  <c r="O46" i="6" s="1"/>
  <c r="N14" i="6"/>
  <c r="N58" i="6"/>
  <c r="N82" i="6"/>
  <c r="N98" i="6"/>
  <c r="O98" i="6" s="1"/>
  <c r="N114" i="6"/>
  <c r="O114" i="6" s="1"/>
  <c r="N138" i="6"/>
  <c r="N71" i="6"/>
  <c r="N148" i="6"/>
  <c r="N89" i="6"/>
  <c r="N121" i="6"/>
  <c r="N181" i="6"/>
  <c r="N11" i="6"/>
  <c r="O11" i="6" s="1"/>
  <c r="N44" i="6"/>
  <c r="N113" i="6"/>
  <c r="O113" i="6" s="1"/>
  <c r="N177" i="6"/>
  <c r="O177" i="6" s="1"/>
  <c r="J6" i="6"/>
  <c r="L6" i="6" s="1"/>
  <c r="L5" i="4" s="1" a="1"/>
  <c r="N17" i="6"/>
  <c r="O17" i="6" s="1"/>
  <c r="N125" i="6"/>
  <c r="N41" i="6"/>
  <c r="O41" i="6" s="1"/>
  <c r="N152" i="6"/>
  <c r="N168" i="6"/>
  <c r="N184" i="6"/>
  <c r="N45" i="6"/>
  <c r="N97" i="6"/>
  <c r="O97" i="6" s="1"/>
  <c r="N129" i="6"/>
  <c r="O129" i="6" s="1"/>
  <c r="N153" i="6"/>
  <c r="O153" i="6" s="1"/>
  <c r="N169" i="6"/>
  <c r="O169" i="6" s="1"/>
  <c r="N201" i="6"/>
  <c r="N15" i="6"/>
  <c r="O15" i="6" s="1"/>
  <c r="N32" i="6"/>
  <c r="O32" i="6" s="1"/>
  <c r="N48" i="6"/>
  <c r="O48" i="6" s="1"/>
  <c r="N185" i="6"/>
  <c r="O185" i="6" s="1"/>
  <c r="N144" i="6"/>
  <c r="N128" i="6"/>
  <c r="N112" i="6"/>
  <c r="N64" i="6"/>
  <c r="N16" i="6"/>
  <c r="N47" i="6"/>
  <c r="N31" i="6"/>
  <c r="O31" i="6" s="1"/>
  <c r="N26" i="6"/>
  <c r="N10" i="6"/>
  <c r="N133" i="6"/>
  <c r="O133" i="6" s="1"/>
  <c r="N187" i="6"/>
  <c r="O187" i="6" s="1"/>
  <c r="N156" i="6"/>
  <c r="N188" i="6"/>
  <c r="O188" i="6" s="1"/>
  <c r="N157" i="6"/>
  <c r="N189" i="6"/>
  <c r="O189" i="6" s="1"/>
  <c r="N36" i="6"/>
  <c r="O36" i="6" s="1"/>
  <c r="N99" i="6"/>
  <c r="N190" i="6"/>
  <c r="O190" i="6" s="1"/>
  <c r="N76" i="6"/>
  <c r="O76" i="6" s="1"/>
  <c r="N12" i="6"/>
  <c r="N43" i="6"/>
  <c r="O43" i="6" s="1"/>
  <c r="N27" i="6"/>
  <c r="N22" i="6"/>
  <c r="O22" i="6" s="1"/>
  <c r="N66" i="6"/>
  <c r="N74" i="6"/>
  <c r="N90" i="6"/>
  <c r="N106" i="6"/>
  <c r="Q111" i="6" l="1" a="1"/>
  <c r="Q111" i="6" s="1"/>
  <c r="S37" i="4"/>
  <c r="S69" i="4"/>
  <c r="R87" i="4"/>
  <c r="R55" i="4"/>
  <c r="R23" i="4"/>
  <c r="Q80" i="4"/>
  <c r="Q48" i="4"/>
  <c r="Q16" i="4"/>
  <c r="O77" i="4"/>
  <c r="O45" i="4"/>
  <c r="O19" i="4"/>
  <c r="N89" i="4"/>
  <c r="N73" i="4"/>
  <c r="N57" i="4"/>
  <c r="N41" i="4"/>
  <c r="N25" i="4"/>
  <c r="N9" i="4"/>
  <c r="M79" i="4"/>
  <c r="M63" i="4"/>
  <c r="M48" i="4"/>
  <c r="M40" i="4"/>
  <c r="M32" i="4"/>
  <c r="M24" i="4"/>
  <c r="M16" i="4"/>
  <c r="M8" i="4"/>
  <c r="S13" i="4"/>
  <c r="S45" i="4"/>
  <c r="S77" i="4"/>
  <c r="R79" i="4"/>
  <c r="R47" i="4"/>
  <c r="R15" i="4"/>
  <c r="Q72" i="4"/>
  <c r="Q40" i="4"/>
  <c r="Q8" i="4"/>
  <c r="O69" i="4"/>
  <c r="O37" i="4"/>
  <c r="O15" i="4"/>
  <c r="N85" i="4"/>
  <c r="N69" i="4"/>
  <c r="N53" i="4"/>
  <c r="N37" i="4"/>
  <c r="N21" i="4"/>
  <c r="M91" i="4"/>
  <c r="M75" i="4"/>
  <c r="M59" i="4"/>
  <c r="M47" i="4"/>
  <c r="M39" i="4"/>
  <c r="M31" i="4"/>
  <c r="M23" i="4"/>
  <c r="M15" i="4"/>
  <c r="M7" i="4"/>
  <c r="S21" i="4"/>
  <c r="S85" i="4"/>
  <c r="R71" i="4"/>
  <c r="R39" i="4"/>
  <c r="R7" i="4"/>
  <c r="Q64" i="4"/>
  <c r="Q32" i="4"/>
  <c r="M93" i="4"/>
  <c r="O61" i="4"/>
  <c r="O29" i="4"/>
  <c r="O11" i="4"/>
  <c r="N81" i="4"/>
  <c r="N65" i="4"/>
  <c r="N49" i="4"/>
  <c r="N33" i="4"/>
  <c r="N17" i="4"/>
  <c r="M87" i="4"/>
  <c r="M71" i="4"/>
  <c r="M55" i="4"/>
  <c r="M44" i="4"/>
  <c r="M36" i="4"/>
  <c r="M28" i="4"/>
  <c r="M20" i="4"/>
  <c r="M12" i="4"/>
  <c r="S93" i="4"/>
  <c r="R63" i="4"/>
  <c r="R31" i="4"/>
  <c r="Q88" i="4"/>
  <c r="Q56" i="4"/>
  <c r="Q24" i="4"/>
  <c r="O85" i="4"/>
  <c r="O53" i="4"/>
  <c r="O23" i="4"/>
  <c r="O7" i="4"/>
  <c r="N77" i="4"/>
  <c r="N61" i="4"/>
  <c r="N45" i="4"/>
  <c r="N29" i="4"/>
  <c r="N13" i="4"/>
  <c r="M83" i="4"/>
  <c r="M67" i="4"/>
  <c r="M51" i="4"/>
  <c r="M43" i="4"/>
  <c r="M35" i="4"/>
  <c r="M27" i="4"/>
  <c r="M19" i="4"/>
  <c r="M11" i="4"/>
  <c r="L5" i="4"/>
  <c r="S18" i="4"/>
  <c r="S34" i="4"/>
  <c r="S50" i="4"/>
  <c r="S82" i="4"/>
  <c r="R86" i="4"/>
  <c r="R70" i="4"/>
  <c r="R54" i="4"/>
  <c r="R38" i="4"/>
  <c r="R22" i="4"/>
  <c r="R6" i="4"/>
  <c r="Q79" i="4"/>
  <c r="Q63" i="4"/>
  <c r="Q47" i="4"/>
  <c r="Q31" i="4"/>
  <c r="Q15" i="4"/>
  <c r="M92" i="4"/>
  <c r="O76" i="4"/>
  <c r="O60" i="4"/>
  <c r="O44" i="4"/>
  <c r="O28" i="4"/>
  <c r="S19" i="4"/>
  <c r="S35" i="4"/>
  <c r="S51" i="4"/>
  <c r="S67" i="4"/>
  <c r="S83" i="4"/>
  <c r="R89" i="4"/>
  <c r="R73" i="4"/>
  <c r="R57" i="4"/>
  <c r="R41" i="4"/>
  <c r="R25" i="4"/>
  <c r="R9" i="4"/>
  <c r="Q78" i="4"/>
  <c r="Q62" i="4"/>
  <c r="Q46" i="4"/>
  <c r="Q30" i="4"/>
  <c r="Q14" i="4"/>
  <c r="O91" i="4"/>
  <c r="O75" i="4"/>
  <c r="O59" i="4"/>
  <c r="O43" i="4"/>
  <c r="O27" i="4"/>
  <c r="M21" i="4"/>
  <c r="M37" i="4"/>
  <c r="M53" i="4"/>
  <c r="M69" i="4"/>
  <c r="M85" i="4"/>
  <c r="N15" i="4"/>
  <c r="N31" i="4"/>
  <c r="N47" i="4"/>
  <c r="N63" i="4"/>
  <c r="N79" i="4"/>
  <c r="O9" i="4"/>
  <c r="O25" i="4"/>
  <c r="O57" i="4"/>
  <c r="O89" i="4"/>
  <c r="Q28" i="4"/>
  <c r="Q60" i="4"/>
  <c r="Q92" i="4"/>
  <c r="R35" i="4"/>
  <c r="R67" i="4"/>
  <c r="S89" i="4"/>
  <c r="S57" i="4"/>
  <c r="S25" i="4"/>
  <c r="M56" i="4"/>
  <c r="M72" i="4"/>
  <c r="M88" i="4"/>
  <c r="N18" i="4"/>
  <c r="N34" i="4"/>
  <c r="N50" i="4"/>
  <c r="N66" i="4"/>
  <c r="N82" i="4"/>
  <c r="O12" i="4"/>
  <c r="O30" i="4"/>
  <c r="O62" i="4"/>
  <c r="N92" i="4"/>
  <c r="Q33" i="4"/>
  <c r="Q65" i="4"/>
  <c r="R8" i="4"/>
  <c r="R40" i="4"/>
  <c r="R72" i="4"/>
  <c r="S84" i="4"/>
  <c r="S52" i="4"/>
  <c r="S20" i="4"/>
  <c r="S6" i="4"/>
  <c r="S22" i="4"/>
  <c r="S38" i="4"/>
  <c r="S70" i="4"/>
  <c r="S86" i="4"/>
  <c r="R82" i="4"/>
  <c r="R66" i="4"/>
  <c r="R50" i="4"/>
  <c r="R34" i="4"/>
  <c r="R18" i="4"/>
  <c r="Q91" i="4"/>
  <c r="Q75" i="4"/>
  <c r="Q59" i="4"/>
  <c r="Q43" i="4"/>
  <c r="Q27" i="4"/>
  <c r="Q11" i="4"/>
  <c r="O88" i="4"/>
  <c r="O72" i="4"/>
  <c r="O56" i="4"/>
  <c r="O40" i="4"/>
  <c r="S7" i="4"/>
  <c r="S23" i="4"/>
  <c r="S39" i="4"/>
  <c r="S55" i="4"/>
  <c r="S71" i="4"/>
  <c r="S87" i="4"/>
  <c r="R85" i="4"/>
  <c r="R69" i="4"/>
  <c r="R53" i="4"/>
  <c r="R37" i="4"/>
  <c r="R21" i="4"/>
  <c r="Q90" i="4"/>
  <c r="Q74" i="4"/>
  <c r="Q58" i="4"/>
  <c r="Q42" i="4"/>
  <c r="Q26" i="4"/>
  <c r="Q10" i="4"/>
  <c r="O87" i="4"/>
  <c r="O71" i="4"/>
  <c r="O55" i="4"/>
  <c r="O39" i="4"/>
  <c r="M9" i="4"/>
  <c r="M25" i="4"/>
  <c r="M41" i="4"/>
  <c r="M57" i="4"/>
  <c r="M73" i="4"/>
  <c r="M89" i="4"/>
  <c r="N19" i="4"/>
  <c r="N35" i="4"/>
  <c r="N51" i="4"/>
  <c r="N67" i="4"/>
  <c r="N83" i="4"/>
  <c r="O13" i="4"/>
  <c r="O33" i="4"/>
  <c r="O65" i="4"/>
  <c r="O93" i="4"/>
  <c r="Q36" i="4"/>
  <c r="Q68" i="4"/>
  <c r="R11" i="4"/>
  <c r="R43" i="4"/>
  <c r="R75" i="4"/>
  <c r="S81" i="4"/>
  <c r="S49" i="4"/>
  <c r="S17" i="4"/>
  <c r="M60" i="4"/>
  <c r="M76" i="4"/>
  <c r="N6" i="4"/>
  <c r="N22" i="4"/>
  <c r="N38" i="4"/>
  <c r="N54" i="4"/>
  <c r="N70" i="4"/>
  <c r="N86" i="4"/>
  <c r="O16" i="4"/>
  <c r="O38" i="4"/>
  <c r="O70" i="4"/>
  <c r="S10" i="4"/>
  <c r="S26" i="4"/>
  <c r="S42" i="4"/>
  <c r="S58" i="4"/>
  <c r="S74" i="4"/>
  <c r="S90" i="4"/>
  <c r="R78" i="4"/>
  <c r="R62" i="4"/>
  <c r="R46" i="4"/>
  <c r="R30" i="4"/>
  <c r="R14" i="4"/>
  <c r="Q87" i="4"/>
  <c r="Q71" i="4"/>
  <c r="Q55" i="4"/>
  <c r="Q39" i="4"/>
  <c r="Q23" i="4"/>
  <c r="Q7" i="4"/>
  <c r="O84" i="4"/>
  <c r="O68" i="4"/>
  <c r="O52" i="4"/>
  <c r="O36" i="4"/>
  <c r="S11" i="4"/>
  <c r="S27" i="4"/>
  <c r="S43" i="4"/>
  <c r="S91" i="4"/>
  <c r="R81" i="4"/>
  <c r="R65" i="4"/>
  <c r="R49" i="4"/>
  <c r="R33" i="4"/>
  <c r="R17" i="4"/>
  <c r="Q86" i="4"/>
  <c r="Q70" i="4"/>
  <c r="Q54" i="4"/>
  <c r="Q38" i="4"/>
  <c r="Q22" i="4"/>
  <c r="Q6" i="4"/>
  <c r="O83" i="4"/>
  <c r="O67" i="4"/>
  <c r="O51" i="4"/>
  <c r="O35" i="4"/>
  <c r="M13" i="4"/>
  <c r="M29" i="4"/>
  <c r="M45" i="4"/>
  <c r="M61" i="4"/>
  <c r="M77" i="4"/>
  <c r="N7" i="4"/>
  <c r="N23" i="4"/>
  <c r="N39" i="4"/>
  <c r="N55" i="4"/>
  <c r="N71" i="4"/>
  <c r="N87" i="4"/>
  <c r="O17" i="4"/>
  <c r="O41" i="4"/>
  <c r="O73" i="4"/>
  <c r="Q12" i="4"/>
  <c r="Q44" i="4"/>
  <c r="Q76" i="4"/>
  <c r="R19" i="4"/>
  <c r="R51" i="4"/>
  <c r="R83" i="4"/>
  <c r="S73" i="4"/>
  <c r="S41" i="4"/>
  <c r="S9" i="4"/>
  <c r="M64" i="4"/>
  <c r="M80" i="4"/>
  <c r="N10" i="4"/>
  <c r="N26" i="4"/>
  <c r="N42" i="4"/>
  <c r="N58" i="4"/>
  <c r="N74" i="4"/>
  <c r="N90" i="4"/>
  <c r="O20" i="4"/>
  <c r="O46" i="4"/>
  <c r="O78" i="4"/>
  <c r="S14" i="4"/>
  <c r="S46" i="4"/>
  <c r="S62" i="4"/>
  <c r="R90" i="4"/>
  <c r="R74" i="4"/>
  <c r="R58" i="4"/>
  <c r="R42" i="4"/>
  <c r="R26" i="4"/>
  <c r="R10" i="4"/>
  <c r="Q83" i="4"/>
  <c r="Q67" i="4"/>
  <c r="Q51" i="4"/>
  <c r="Q35" i="4"/>
  <c r="Q19" i="4"/>
  <c r="N93" i="4"/>
  <c r="O80" i="4"/>
  <c r="O64" i="4"/>
  <c r="O48" i="4"/>
  <c r="O32" i="4"/>
  <c r="S15" i="4"/>
  <c r="S31" i="4"/>
  <c r="S47" i="4"/>
  <c r="S63" i="4"/>
  <c r="S79" i="4"/>
  <c r="R93" i="4"/>
  <c r="R77" i="4"/>
  <c r="R61" i="4"/>
  <c r="R45" i="4"/>
  <c r="R29" i="4"/>
  <c r="R13" i="4"/>
  <c r="Q82" i="4"/>
  <c r="Q66" i="4"/>
  <c r="Q50" i="4"/>
  <c r="Q34" i="4"/>
  <c r="Q18" i="4"/>
  <c r="O92" i="4"/>
  <c r="O79" i="4"/>
  <c r="O63" i="4"/>
  <c r="O47" i="4"/>
  <c r="O31" i="4"/>
  <c r="M17" i="4"/>
  <c r="M33" i="4"/>
  <c r="M49" i="4"/>
  <c r="M65" i="4"/>
  <c r="M81" i="4"/>
  <c r="N11" i="4"/>
  <c r="N27" i="4"/>
  <c r="N43" i="4"/>
  <c r="N59" i="4"/>
  <c r="N75" i="4"/>
  <c r="N91" i="4"/>
  <c r="O21" i="4"/>
  <c r="O49" i="4"/>
  <c r="O81" i="4"/>
  <c r="Q20" i="4"/>
  <c r="Q52" i="4"/>
  <c r="Q84" i="4"/>
  <c r="R27" i="4"/>
  <c r="R59" i="4"/>
  <c r="R91" i="4"/>
  <c r="S33" i="4"/>
  <c r="M52" i="4"/>
  <c r="M68" i="4"/>
  <c r="M84" i="4"/>
  <c r="N14" i="4"/>
  <c r="N30" i="4"/>
  <c r="N46" i="4"/>
  <c r="N62" i="4"/>
  <c r="N78" i="4"/>
  <c r="O8" i="4"/>
  <c r="O24" i="4"/>
  <c r="O54" i="4"/>
  <c r="O86" i="4"/>
  <c r="Q25" i="4"/>
  <c r="Q57" i="4"/>
  <c r="Q89" i="4"/>
  <c r="R32" i="4"/>
  <c r="R64" i="4"/>
  <c r="S60" i="4"/>
  <c r="S28" i="4"/>
  <c r="M10" i="4"/>
  <c r="Q9" i="4"/>
  <c r="Q73" i="4"/>
  <c r="R48" i="4"/>
  <c r="S76" i="4"/>
  <c r="S12" i="4"/>
  <c r="M22" i="4"/>
  <c r="M38" i="4"/>
  <c r="M54" i="4"/>
  <c r="M70" i="4"/>
  <c r="M86" i="4"/>
  <c r="N16" i="4"/>
  <c r="N32" i="4"/>
  <c r="N48" i="4"/>
  <c r="N64" i="4"/>
  <c r="N80" i="4"/>
  <c r="O10" i="4"/>
  <c r="O26" i="4"/>
  <c r="O58" i="4"/>
  <c r="O90" i="4"/>
  <c r="Q37" i="4"/>
  <c r="Q69" i="4"/>
  <c r="R12" i="4"/>
  <c r="R44" i="4"/>
  <c r="R76" i="4"/>
  <c r="S80" i="4"/>
  <c r="S48" i="4"/>
  <c r="S16" i="4"/>
  <c r="Q17" i="4"/>
  <c r="Q81" i="4"/>
  <c r="R56" i="4"/>
  <c r="S68" i="4"/>
  <c r="M6" i="4"/>
  <c r="M26" i="4"/>
  <c r="M42" i="4"/>
  <c r="M58" i="4"/>
  <c r="M74" i="4"/>
  <c r="M90" i="4"/>
  <c r="N20" i="4"/>
  <c r="N36" i="4"/>
  <c r="N52" i="4"/>
  <c r="N68" i="4"/>
  <c r="N84" i="4"/>
  <c r="O14" i="4"/>
  <c r="O34" i="4"/>
  <c r="O66" i="4"/>
  <c r="Q13" i="4"/>
  <c r="Q45" i="4"/>
  <c r="Q77" i="4"/>
  <c r="R20" i="4"/>
  <c r="R52" i="4"/>
  <c r="R84" i="4"/>
  <c r="S72" i="4"/>
  <c r="S40" i="4"/>
  <c r="S8" i="4"/>
  <c r="Q41" i="4"/>
  <c r="R16" i="4"/>
  <c r="R80" i="4"/>
  <c r="S44" i="4"/>
  <c r="M14" i="4"/>
  <c r="M30" i="4"/>
  <c r="M46" i="4"/>
  <c r="M62" i="4"/>
  <c r="M78" i="4"/>
  <c r="N8" i="4"/>
  <c r="N24" i="4"/>
  <c r="N40" i="4"/>
  <c r="N56" i="4"/>
  <c r="N72" i="4"/>
  <c r="N88" i="4"/>
  <c r="O18" i="4"/>
  <c r="O42" i="4"/>
  <c r="O74" i="4"/>
  <c r="Q21" i="4"/>
  <c r="Q53" i="4"/>
  <c r="Q85" i="4"/>
  <c r="R28" i="4"/>
  <c r="R60" i="4"/>
  <c r="R92" i="4"/>
  <c r="S64" i="4"/>
  <c r="S32" i="4"/>
  <c r="Q49" i="4"/>
  <c r="R24" i="4"/>
  <c r="R88" i="4"/>
  <c r="S36" i="4"/>
  <c r="M18" i="4"/>
  <c r="M34" i="4"/>
  <c r="M50" i="4"/>
  <c r="M66" i="4"/>
  <c r="M82" i="4"/>
  <c r="N12" i="4"/>
  <c r="N28" i="4"/>
  <c r="N44" i="4"/>
  <c r="N60" i="4"/>
  <c r="N76" i="4"/>
  <c r="O6" i="4"/>
  <c r="O22" i="4"/>
  <c r="O50" i="4"/>
  <c r="O82" i="4"/>
  <c r="Q29" i="4"/>
  <c r="Q61" i="4"/>
  <c r="Q93" i="4"/>
  <c r="R36" i="4"/>
  <c r="R68" i="4"/>
  <c r="S88" i="4"/>
  <c r="S56" i="4"/>
  <c r="S24" i="4"/>
  <c r="R88" i="6"/>
  <c r="Q24" i="6" a="1"/>
  <c r="Q24" i="6" s="1"/>
  <c r="Q159" i="6" a="1"/>
  <c r="Q159" i="6" s="1"/>
  <c r="Q172" i="6" a="1"/>
  <c r="Q172" i="6" s="1"/>
  <c r="R31" i="6"/>
  <c r="Q175" i="6" a="1"/>
  <c r="Q175" i="6" s="1"/>
  <c r="R173" i="6"/>
  <c r="Q15" i="6" a="1"/>
  <c r="Q15" i="6" s="1"/>
  <c r="Q126" i="6" a="1"/>
  <c r="Q126" i="6" s="1"/>
  <c r="O74" i="6"/>
  <c r="O144" i="6"/>
  <c r="O44" i="6"/>
  <c r="O14" i="6"/>
  <c r="O180" i="6"/>
  <c r="O176" i="6"/>
  <c r="O165" i="6"/>
  <c r="O163" i="6"/>
  <c r="O139" i="6"/>
  <c r="O198" i="6"/>
  <c r="Q118" i="6" a="1"/>
  <c r="Q118" i="6" s="1"/>
  <c r="R99" i="6"/>
  <c r="R130" i="6"/>
  <c r="O127" i="6"/>
  <c r="O115" i="6"/>
  <c r="Q32" i="6" a="1"/>
  <c r="Q32" i="6" s="1"/>
  <c r="Q50" i="6" a="1"/>
  <c r="Q50" i="6" s="1"/>
  <c r="R43" i="6"/>
  <c r="R205" i="6"/>
  <c r="R96" i="6"/>
  <c r="R72" i="6"/>
  <c r="Q97" i="6" a="1"/>
  <c r="Q97" i="6" s="1"/>
  <c r="R149" i="6"/>
  <c r="O66" i="6"/>
  <c r="O12" i="6"/>
  <c r="O201" i="6"/>
  <c r="O148" i="6"/>
  <c r="O84" i="6"/>
  <c r="O164" i="6"/>
  <c r="O73" i="6"/>
  <c r="O87" i="6"/>
  <c r="O166" i="6"/>
  <c r="O106" i="6"/>
  <c r="O112" i="6"/>
  <c r="O119" i="6"/>
  <c r="O195" i="6"/>
  <c r="O143" i="6"/>
  <c r="R153" i="6"/>
  <c r="R98" i="6"/>
  <c r="R33" i="6"/>
  <c r="R114" i="6"/>
  <c r="Q76" i="6" a="1"/>
  <c r="Q76" i="6" s="1"/>
  <c r="Q23" i="6" a="1"/>
  <c r="Q23" i="6" s="1"/>
  <c r="R171" i="6"/>
  <c r="O64" i="6"/>
  <c r="O85" i="6"/>
  <c r="O105" i="6"/>
  <c r="O110" i="6"/>
  <c r="O160" i="6"/>
  <c r="O186" i="6"/>
  <c r="O161" i="6"/>
  <c r="S78" i="4" s="1"/>
  <c r="O200" i="6"/>
  <c r="S92" i="4" s="1"/>
  <c r="O71" i="6"/>
  <c r="O132" i="6"/>
  <c r="O157" i="6"/>
  <c r="O121" i="6"/>
  <c r="O58" i="6"/>
  <c r="O51" i="6"/>
  <c r="O29" i="6"/>
  <c r="O147" i="6"/>
  <c r="O39" i="6"/>
  <c r="O104" i="6"/>
  <c r="O13" i="6"/>
  <c r="O49" i="6"/>
  <c r="O145" i="6"/>
  <c r="O179" i="6"/>
  <c r="O158" i="6"/>
  <c r="O202" i="6"/>
  <c r="O67" i="6"/>
  <c r="O204" i="6"/>
  <c r="O150" i="6"/>
  <c r="Q21" i="6" a="1"/>
  <c r="Q21" i="6" s="1"/>
  <c r="R129" i="6"/>
  <c r="O55" i="6"/>
  <c r="O120" i="6"/>
  <c r="O7" i="6"/>
  <c r="Q11" i="6" a="1"/>
  <c r="Q11" i="6" s="1"/>
  <c r="R78" i="6"/>
  <c r="R48" i="6"/>
  <c r="R151" i="6"/>
  <c r="O16" i="6"/>
  <c r="O8" i="6"/>
  <c r="O193" i="6"/>
  <c r="O9" i="6"/>
  <c r="O107" i="6"/>
  <c r="R65" i="6"/>
  <c r="R56" i="6"/>
  <c r="R108" i="6"/>
  <c r="O99" i="6"/>
  <c r="S53" i="4" s="1"/>
  <c r="O89" i="6"/>
  <c r="O45" i="6"/>
  <c r="O181" i="6"/>
  <c r="O82" i="6"/>
  <c r="O197" i="6"/>
  <c r="O40" i="6"/>
  <c r="O109" i="6"/>
  <c r="O101" i="6"/>
  <c r="O141" i="6"/>
  <c r="Q174" i="6" a="1"/>
  <c r="Q174" i="6" s="1"/>
  <c r="O90" i="6"/>
  <c r="O27" i="6"/>
  <c r="O47" i="6"/>
  <c r="O128" i="6"/>
  <c r="O184" i="6"/>
  <c r="O125" i="6"/>
  <c r="O138" i="6"/>
  <c r="O122" i="6"/>
  <c r="O102" i="6"/>
  <c r="O183" i="6"/>
  <c r="O199" i="6"/>
  <c r="R25" i="6"/>
  <c r="R79" i="6"/>
  <c r="R37" i="6"/>
  <c r="R131" i="6"/>
  <c r="R133" i="6"/>
  <c r="R80" i="6"/>
  <c r="R191" i="6"/>
  <c r="R170" i="6"/>
  <c r="R46" i="6"/>
  <c r="R185" i="6"/>
  <c r="R91" i="6"/>
  <c r="R62" i="6"/>
  <c r="O100" i="6"/>
  <c r="S54" i="4" s="1"/>
  <c r="O54" i="6"/>
  <c r="S30" i="4" s="1"/>
  <c r="O130" i="6"/>
  <c r="S65" i="4" s="1"/>
  <c r="O20" i="6"/>
  <c r="O10" i="6"/>
  <c r="O168" i="6"/>
  <c r="O68" i="6"/>
  <c r="O103" i="6"/>
  <c r="O156" i="6"/>
  <c r="O26" i="6"/>
  <c r="O152" i="6"/>
  <c r="P6" i="6"/>
  <c r="R6" i="6"/>
  <c r="Q6" i="6" a="1"/>
  <c r="Q6" i="6" s="1"/>
  <c r="M6" i="6"/>
  <c r="O118" i="6"/>
  <c r="S61" i="4" s="1"/>
  <c r="O131" i="6"/>
  <c r="S66" i="4" s="1"/>
  <c r="O53" i="6"/>
  <c r="S29" i="4" s="1"/>
  <c r="O116" i="6"/>
  <c r="S59" i="4" s="1"/>
  <c r="O154" i="6"/>
  <c r="S75" i="4" s="1"/>
  <c r="N6" i="6"/>
  <c r="O5" i="4" l="1"/>
  <c r="M5" i="4"/>
  <c r="N5" i="4"/>
  <c r="S5" i="4"/>
  <c r="R5" i="4"/>
  <c r="Q5" i="4"/>
  <c r="O6" i="6"/>
  <c r="G13" i="5"/>
  <c r="C13" i="5"/>
  <c r="D12" i="5"/>
  <c r="E11" i="5"/>
  <c r="F10" i="5"/>
  <c r="G9" i="5"/>
  <c r="C9" i="5"/>
  <c r="D8" i="5"/>
  <c r="E7" i="5"/>
  <c r="F6" i="5"/>
  <c r="G5" i="5"/>
  <c r="C5" i="5"/>
  <c r="D4" i="5"/>
  <c r="F13" i="5"/>
  <c r="G12" i="5"/>
  <c r="C12" i="5"/>
  <c r="D11" i="5"/>
  <c r="E10" i="5"/>
  <c r="F9" i="5"/>
  <c r="G8" i="5"/>
  <c r="C8" i="5"/>
  <c r="D7" i="5"/>
  <c r="E6" i="5"/>
  <c r="F5" i="5"/>
  <c r="G4" i="5"/>
  <c r="C4" i="5"/>
  <c r="E13" i="5"/>
  <c r="G11" i="5"/>
  <c r="D10" i="5"/>
  <c r="F8" i="5"/>
  <c r="C7" i="5"/>
  <c r="E5" i="5"/>
  <c r="D13" i="5"/>
  <c r="F11" i="5"/>
  <c r="C10" i="5"/>
  <c r="E8" i="5"/>
  <c r="G6" i="5"/>
  <c r="D5" i="5"/>
  <c r="F12" i="5"/>
  <c r="E9" i="5"/>
  <c r="D6" i="5"/>
  <c r="E12" i="5"/>
  <c r="D9" i="5"/>
  <c r="C6" i="5"/>
  <c r="C11" i="5"/>
  <c r="G7" i="5"/>
  <c r="F4" i="5"/>
  <c r="G10" i="5"/>
  <c r="F7" i="5"/>
  <c r="E4" i="5"/>
  <c r="G5" i="4" l="1" a="1"/>
  <c r="G5" i="4" s="1"/>
  <c r="H5" i="4" a="1"/>
  <c r="H5" i="4" s="1"/>
  <c r="F5" i="4" a="1"/>
  <c r="F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<sst xmlns="http://schemas.openxmlformats.org/spreadsheetml/2006/main" count="1454" uniqueCount="466">
  <si>
    <t>Division Performance</t>
  </si>
  <si>
    <t>Payment Sheet</t>
  </si>
  <si>
    <t>Aging Schedule</t>
  </si>
  <si>
    <t>Vendor Invoices</t>
  </si>
  <si>
    <t>Payment History</t>
  </si>
  <si>
    <t>Vendor Details</t>
  </si>
  <si>
    <t>*Penalty Fees as a percentage of total principal</t>
  </si>
  <si>
    <t>*Principal amounts paid late as a percentage of total principal</t>
  </si>
  <si>
    <t>*Total invoice count deemed paid late as a percentage of total invoice count</t>
  </si>
  <si>
    <t>Division</t>
  </si>
  <si>
    <t>Incremental Charges</t>
  </si>
  <si>
    <t>Amount</t>
  </si>
  <si>
    <t>Count</t>
  </si>
  <si>
    <t>Total Invoices</t>
  </si>
  <si>
    <t>Penalty Fee</t>
  </si>
  <si>
    <t>% of Principal</t>
  </si>
  <si>
    <t>Invoices Paid Late</t>
  </si>
  <si>
    <t>% of late payments</t>
  </si>
  <si>
    <t>Tech</t>
  </si>
  <si>
    <t>Marketing</t>
  </si>
  <si>
    <t>Operations</t>
  </si>
  <si>
    <t>Finance</t>
  </si>
  <si>
    <t>Indicate which Division requires special consideration for invoice payment deadlines, and why (Which metric above would be the most important?)</t>
  </si>
  <si>
    <t>Consolidated Payment Sheet</t>
  </si>
  <si>
    <t>Detailed Payment Sheet</t>
  </si>
  <si>
    <t>Vendor</t>
  </si>
  <si>
    <t>Email</t>
  </si>
  <si>
    <t>Bank Details</t>
  </si>
  <si>
    <t>Principal Payment</t>
  </si>
  <si>
    <t>Penalty Payment</t>
  </si>
  <si>
    <t>Total Amount</t>
  </si>
  <si>
    <t>Invoice ID</t>
  </si>
  <si>
    <t>Date Due</t>
  </si>
  <si>
    <t>DataWorks</t>
  </si>
  <si>
    <t>TechSolutions</t>
  </si>
  <si>
    <t>FinancialFocus</t>
  </si>
  <si>
    <t>DesignCrafters</t>
  </si>
  <si>
    <t>MarketingPros</t>
  </si>
  <si>
    <t>LogisticsMasters</t>
  </si>
  <si>
    <t>MarketEdge</t>
  </si>
  <si>
    <t>FinanceGenius</t>
  </si>
  <si>
    <t>TechGenie</t>
  </si>
  <si>
    <t>OperationsExperts</t>
  </si>
  <si>
    <t>Vendors</t>
  </si>
  <si>
    <t>0-30 Days</t>
  </si>
  <si>
    <t>31-45 Days</t>
  </si>
  <si>
    <t>46-60 Days</t>
  </si>
  <si>
    <t>61-90 Days</t>
  </si>
  <si>
    <t>91+ Days</t>
  </si>
  <si>
    <t>Aging Index</t>
  </si>
  <si>
    <t>Beginning Period</t>
  </si>
  <si>
    <t>Ending Period</t>
  </si>
  <si>
    <t>Category</t>
  </si>
  <si>
    <t>*1E+100 represents the largest number in Excel</t>
  </si>
  <si>
    <t>Current Date:</t>
  </si>
  <si>
    <t>Date Billed</t>
  </si>
  <si>
    <t>Principal Amount</t>
  </si>
  <si>
    <t>N_91212</t>
  </si>
  <si>
    <t>N_58745</t>
  </si>
  <si>
    <t>N_30731</t>
  </si>
  <si>
    <t>N_06028</t>
  </si>
  <si>
    <t>N_36113</t>
  </si>
  <si>
    <t>N_60128</t>
  </si>
  <si>
    <t>N_60649</t>
  </si>
  <si>
    <t>N_69621</t>
  </si>
  <si>
    <t>N_22425</t>
  </si>
  <si>
    <t>N_00870</t>
  </si>
  <si>
    <t>N_20417</t>
  </si>
  <si>
    <t>N_75153</t>
  </si>
  <si>
    <t>N_19590</t>
  </si>
  <si>
    <t>N_70198</t>
  </si>
  <si>
    <t>N_18186</t>
  </si>
  <si>
    <t>N_03842</t>
  </si>
  <si>
    <t>N_85503</t>
  </si>
  <si>
    <t>N_84412</t>
  </si>
  <si>
    <t>N_56941</t>
  </si>
  <si>
    <t>N_49825</t>
  </si>
  <si>
    <t>N_66175</t>
  </si>
  <si>
    <t>N_20601</t>
  </si>
  <si>
    <t>N_17007</t>
  </si>
  <si>
    <t>N_82806</t>
  </si>
  <si>
    <t>N_18739</t>
  </si>
  <si>
    <t>N_74649</t>
  </si>
  <si>
    <t>N_16133</t>
  </si>
  <si>
    <t>N_51733</t>
  </si>
  <si>
    <t>N_23618</t>
  </si>
  <si>
    <t>N_70141</t>
  </si>
  <si>
    <t>N_24502</t>
  </si>
  <si>
    <t>N_83257</t>
  </si>
  <si>
    <t>N_65930</t>
  </si>
  <si>
    <t>N_37933</t>
  </si>
  <si>
    <t>N_69455</t>
  </si>
  <si>
    <t>N_24023</t>
  </si>
  <si>
    <t>N_95352</t>
  </si>
  <si>
    <t>N_97477</t>
  </si>
  <si>
    <t>N_26436</t>
  </si>
  <si>
    <t>N_42588</t>
  </si>
  <si>
    <t>N_57788</t>
  </si>
  <si>
    <t>N_18916</t>
  </si>
  <si>
    <t>N_86412</t>
  </si>
  <si>
    <t>N_06763</t>
  </si>
  <si>
    <t>N_30813</t>
  </si>
  <si>
    <t>N_79603</t>
  </si>
  <si>
    <t>N_75458</t>
  </si>
  <si>
    <t>N_78575</t>
  </si>
  <si>
    <t>N_70020</t>
  </si>
  <si>
    <t>N_43813</t>
  </si>
  <si>
    <t>N_37813</t>
  </si>
  <si>
    <t>N_05176</t>
  </si>
  <si>
    <t>N_93592</t>
  </si>
  <si>
    <t>N_21582</t>
  </si>
  <si>
    <t>N_35281</t>
  </si>
  <si>
    <t>N_14219</t>
  </si>
  <si>
    <t>N_42561</t>
  </si>
  <si>
    <t>N_42336</t>
  </si>
  <si>
    <t>N_47777</t>
  </si>
  <si>
    <t>N_40332</t>
  </si>
  <si>
    <t>N_64118</t>
  </si>
  <si>
    <t>N_55922</t>
  </si>
  <si>
    <t>N_36569</t>
  </si>
  <si>
    <t>N_85919</t>
  </si>
  <si>
    <t>N_90073</t>
  </si>
  <si>
    <t>N_31580</t>
  </si>
  <si>
    <t>N_68367</t>
  </si>
  <si>
    <t>N_98227</t>
  </si>
  <si>
    <t>N_92112</t>
  </si>
  <si>
    <t>N_40572</t>
  </si>
  <si>
    <t>N_17229</t>
  </si>
  <si>
    <t>N_05278</t>
  </si>
  <si>
    <t>N_42371</t>
  </si>
  <si>
    <t>N_60430</t>
  </si>
  <si>
    <t>N_50598</t>
  </si>
  <si>
    <t>N_88682</t>
  </si>
  <si>
    <t>N_68434</t>
  </si>
  <si>
    <t>N_56294</t>
  </si>
  <si>
    <t>N_71513</t>
  </si>
  <si>
    <t>N_22634</t>
  </si>
  <si>
    <t>N_98485</t>
  </si>
  <si>
    <t>N_24959</t>
  </si>
  <si>
    <t>N_36260</t>
  </si>
  <si>
    <t>N_75236</t>
  </si>
  <si>
    <t>N_10979</t>
  </si>
  <si>
    <t>N_12086</t>
  </si>
  <si>
    <t>N_96284</t>
  </si>
  <si>
    <t>N_50944</t>
  </si>
  <si>
    <t>N_55799</t>
  </si>
  <si>
    <t>N_38359</t>
  </si>
  <si>
    <t>N_24334</t>
  </si>
  <si>
    <t>N_43061</t>
  </si>
  <si>
    <t>N_15424</t>
  </si>
  <si>
    <t>N_45351</t>
  </si>
  <si>
    <t>N_08599</t>
  </si>
  <si>
    <t>N_77563</t>
  </si>
  <si>
    <t>N_22663</t>
  </si>
  <si>
    <t>N_95535</t>
  </si>
  <si>
    <t>N_88215</t>
  </si>
  <si>
    <t>N_53058</t>
  </si>
  <si>
    <t>N_81558</t>
  </si>
  <si>
    <t>N_85773</t>
  </si>
  <si>
    <t>N_97240</t>
  </si>
  <si>
    <t>N_90200</t>
  </si>
  <si>
    <t>N_59427</t>
  </si>
  <si>
    <t>N_98460</t>
  </si>
  <si>
    <t>N_99954</t>
  </si>
  <si>
    <t>N_98065</t>
  </si>
  <si>
    <t>N_90499</t>
  </si>
  <si>
    <t>N_93114</t>
  </si>
  <si>
    <t>N_15083</t>
  </si>
  <si>
    <t>N_10863</t>
  </si>
  <si>
    <t>N_63317</t>
  </si>
  <si>
    <t>N_34843</t>
  </si>
  <si>
    <t>N_31494</t>
  </si>
  <si>
    <t>N_29736</t>
  </si>
  <si>
    <t>N_93342</t>
  </si>
  <si>
    <t>N_26892</t>
  </si>
  <si>
    <t>N_82283</t>
  </si>
  <si>
    <t>N_93538</t>
  </si>
  <si>
    <t>N_14750</t>
  </si>
  <si>
    <t>N_75163</t>
  </si>
  <si>
    <t>N_77269</t>
  </si>
  <si>
    <t>N_22413</t>
  </si>
  <si>
    <t>N_86951</t>
  </si>
  <si>
    <t>N_38336</t>
  </si>
  <si>
    <t>N_85144</t>
  </si>
  <si>
    <t>N_13366</t>
  </si>
  <si>
    <t>N_80866</t>
  </si>
  <si>
    <t>N_76544</t>
  </si>
  <si>
    <t>N_30051</t>
  </si>
  <si>
    <t>N_16260</t>
  </si>
  <si>
    <t>N_32938</t>
  </si>
  <si>
    <t>N_31803</t>
  </si>
  <si>
    <t>N_17412</t>
  </si>
  <si>
    <t>N_17683</t>
  </si>
  <si>
    <t>N_54797</t>
  </si>
  <si>
    <t>N_62774</t>
  </si>
  <si>
    <t>N_00130</t>
  </si>
  <si>
    <t>N_01816</t>
  </si>
  <si>
    <t>N_02840</t>
  </si>
  <si>
    <t>N_37523</t>
  </si>
  <si>
    <t>N_50378</t>
  </si>
  <si>
    <t>N_05829</t>
  </si>
  <si>
    <t>N_73948</t>
  </si>
  <si>
    <t>N_85432</t>
  </si>
  <si>
    <t>N_54007</t>
  </si>
  <si>
    <t>N_03699</t>
  </si>
  <si>
    <t>N_65469</t>
  </si>
  <si>
    <t>N_87168</t>
  </si>
  <si>
    <t>N_55541</t>
  </si>
  <si>
    <t>N_54702</t>
  </si>
  <si>
    <t>N_88091</t>
  </si>
  <si>
    <t>N_24572</t>
  </si>
  <si>
    <t>N_35412</t>
  </si>
  <si>
    <t>N_96716</t>
  </si>
  <si>
    <t>N_67176</t>
  </si>
  <si>
    <t>N_34948</t>
  </si>
  <si>
    <t>N_84513</t>
  </si>
  <si>
    <t>N_81442</t>
  </si>
  <si>
    <t>N_40700</t>
  </si>
  <si>
    <t>N_19987</t>
  </si>
  <si>
    <t>N_06942</t>
  </si>
  <si>
    <t>N_53405</t>
  </si>
  <si>
    <t>N_23518</t>
  </si>
  <si>
    <t>N_48474</t>
  </si>
  <si>
    <t>N_22832</t>
  </si>
  <si>
    <t>N_56128</t>
  </si>
  <si>
    <t>N_97999</t>
  </si>
  <si>
    <t>N_97488</t>
  </si>
  <si>
    <t>N_93000</t>
  </si>
  <si>
    <t>N_60702</t>
  </si>
  <si>
    <t>N_22639</t>
  </si>
  <si>
    <t>N_30085</t>
  </si>
  <si>
    <t>N_87935</t>
  </si>
  <si>
    <t>N_66476</t>
  </si>
  <si>
    <t>N_07375</t>
  </si>
  <si>
    <t>N_45873</t>
  </si>
  <si>
    <t>N_90232</t>
  </si>
  <si>
    <t>N_46829</t>
  </si>
  <si>
    <t>N_44342</t>
  </si>
  <si>
    <t>N_12202</t>
  </si>
  <si>
    <t>N_08292</t>
  </si>
  <si>
    <t>N_29632</t>
  </si>
  <si>
    <t>N_96906</t>
  </si>
  <si>
    <t>N_41558</t>
  </si>
  <si>
    <t>N_00144</t>
  </si>
  <si>
    <t>N_95558</t>
  </si>
  <si>
    <t>N_96621</t>
  </si>
  <si>
    <t>N_28693</t>
  </si>
  <si>
    <t>N_77128</t>
  </si>
  <si>
    <t>N_79471</t>
  </si>
  <si>
    <t>N_66354</t>
  </si>
  <si>
    <t>N_52234</t>
  </si>
  <si>
    <t>N_09141</t>
  </si>
  <si>
    <t>N_66078</t>
  </si>
  <si>
    <t>N_67267</t>
  </si>
  <si>
    <t>N_68722</t>
  </si>
  <si>
    <t>N_78868</t>
  </si>
  <si>
    <t>N_77820</t>
  </si>
  <si>
    <t>Amount Paid:</t>
  </si>
  <si>
    <t>The amount paid reflects both Principal and Interest payments</t>
  </si>
  <si>
    <t>- Some invoices in this list were also paid late</t>
  </si>
  <si>
    <t>Payment Date</t>
  </si>
  <si>
    <t>Amount Paid</t>
  </si>
  <si>
    <t xml:space="preserve"> Jan 5, 2023</t>
  </si>
  <si>
    <t xml:space="preserve"> Feb 10, 2023</t>
  </si>
  <si>
    <t xml:space="preserve"> Mar 15, 2023</t>
  </si>
  <si>
    <t xml:space="preserve"> Apr 20, 2023</t>
  </si>
  <si>
    <t xml:space="preserve"> Jun 23, 2023</t>
  </si>
  <si>
    <t xml:space="preserve"> Jul 5, 2023</t>
  </si>
  <si>
    <t xml:space="preserve"> Aug 10, 2023</t>
  </si>
  <si>
    <t xml:space="preserve"> Sep 15, 2023</t>
  </si>
  <si>
    <t xml:space="preserve"> Nov 25, 2023</t>
  </si>
  <si>
    <t xml:space="preserve"> Dec 30, 2023</t>
  </si>
  <si>
    <t xml:space="preserve"> May 25, 2023</t>
  </si>
  <si>
    <t xml:space="preserve"> Aug 25, 2023</t>
  </si>
  <si>
    <t xml:space="preserve"> Oct 20, 2023</t>
  </si>
  <si>
    <t xml:space="preserve"> Feb 2, 2023</t>
  </si>
  <si>
    <t xml:space="preserve"> Jun 30, 2023</t>
  </si>
  <si>
    <t xml:space="preserve"> Oct 8, 2023</t>
  </si>
  <si>
    <t xml:space="preserve"> Jan 15, 2024</t>
  </si>
  <si>
    <t xml:space="preserve"> Feb 26, 2023</t>
  </si>
  <si>
    <t xml:space="preserve"> Mar 8, 2023</t>
  </si>
  <si>
    <t xml:space="preserve"> Aug 1, 2023</t>
  </si>
  <si>
    <t xml:space="preserve"> Dec 25, 2023</t>
  </si>
  <si>
    <t xml:space="preserve"> Dec 26, 2022</t>
  </si>
  <si>
    <t xml:space="preserve"> Jul 8, 2023</t>
  </si>
  <si>
    <t xml:space="preserve"> Sep 29, 2023</t>
  </si>
  <si>
    <t xml:space="preserve"> Mar 16, 2023</t>
  </si>
  <si>
    <t xml:space="preserve"> Oct 26, 2023</t>
  </si>
  <si>
    <t xml:space="preserve"> Jul 28, 2023</t>
  </si>
  <si>
    <t xml:space="preserve"> Oct 15, 2023</t>
  </si>
  <si>
    <t xml:space="preserve"> Apr 21, 2023</t>
  </si>
  <si>
    <t xml:space="preserve"> Jan 15, 2023</t>
  </si>
  <si>
    <t xml:space="preserve"> Oct 2, 2023</t>
  </si>
  <si>
    <t xml:space="preserve"> Nov 20, 2023</t>
  </si>
  <si>
    <t xml:space="preserve"> Oct 31, 2023</t>
  </si>
  <si>
    <t xml:space="preserve"> May 7, 2023</t>
  </si>
  <si>
    <t xml:space="preserve"> Apr 12, 2023</t>
  </si>
  <si>
    <t xml:space="preserve"> Oct 27, 2023</t>
  </si>
  <si>
    <t xml:space="preserve"> Sep 28, 2023</t>
  </si>
  <si>
    <t xml:space="preserve"> Dec 11, 2023</t>
  </si>
  <si>
    <t xml:space="preserve"> May 24, 2023</t>
  </si>
  <si>
    <t xml:space="preserve"> Nov 15, 2023</t>
  </si>
  <si>
    <t xml:space="preserve"> Jul 19, 2023</t>
  </si>
  <si>
    <t xml:space="preserve"> Aug 5, 2023</t>
  </si>
  <si>
    <t xml:space="preserve"> Feb 17, 2023</t>
  </si>
  <si>
    <t xml:space="preserve"> Jul 15, 2023</t>
  </si>
  <si>
    <t xml:space="preserve"> Dec 4, 2023</t>
  </si>
  <si>
    <t xml:space="preserve"> Sep 17, 2023</t>
  </si>
  <si>
    <t xml:space="preserve"> Nov 10, 2023</t>
  </si>
  <si>
    <t xml:space="preserve"> May 18, 2023</t>
  </si>
  <si>
    <t xml:space="preserve"> Oct 24, 2023</t>
  </si>
  <si>
    <t xml:space="preserve"> Oct 25, 2023</t>
  </si>
  <si>
    <t xml:space="preserve"> Jan 2, 2023</t>
  </si>
  <si>
    <t xml:space="preserve"> Aug 6, 2023</t>
  </si>
  <si>
    <t xml:space="preserve"> Feb 5, 2023</t>
  </si>
  <si>
    <t xml:space="preserve"> Feb 3, 2023</t>
  </si>
  <si>
    <t xml:space="preserve"> Mar 21, 2023</t>
  </si>
  <si>
    <t xml:space="preserve"> Dec 2, 2023</t>
  </si>
  <si>
    <t xml:space="preserve"> Feb 25, 2023</t>
  </si>
  <si>
    <t xml:space="preserve"> Oct 6, 2023</t>
  </si>
  <si>
    <t xml:space="preserve"> Feb 13, 2023</t>
  </si>
  <si>
    <t xml:space="preserve"> Oct 19, 2023</t>
  </si>
  <si>
    <t xml:space="preserve"> Dec 5, 2023</t>
  </si>
  <si>
    <t xml:space="preserve"> Mar 20, 2023</t>
  </si>
  <si>
    <t xml:space="preserve"> Nov 18, 2023</t>
  </si>
  <si>
    <t xml:space="preserve"> Jun 22, 2023</t>
  </si>
  <si>
    <t xml:space="preserve"> Oct 12, 2023</t>
  </si>
  <si>
    <t xml:space="preserve"> Jun 21, 2023</t>
  </si>
  <si>
    <t xml:space="preserve"> Nov 11, 2023</t>
  </si>
  <si>
    <t xml:space="preserve"> Jan 29, 2023</t>
  </si>
  <si>
    <t xml:space="preserve"> Jul 4, 2023</t>
  </si>
  <si>
    <t xml:space="preserve"> Oct 29, 2023</t>
  </si>
  <si>
    <t xml:space="preserve"> Jul 16, 2023</t>
  </si>
  <si>
    <t xml:space="preserve"> Nov 8, 2023</t>
  </si>
  <si>
    <t xml:space="preserve"> Jun 19, 2023</t>
  </si>
  <si>
    <t xml:space="preserve"> May 9, 2023</t>
  </si>
  <si>
    <t xml:space="preserve"> Nov 26, 2023</t>
  </si>
  <si>
    <t xml:space="preserve"> Dec 31, 2023</t>
  </si>
  <si>
    <t xml:space="preserve"> Aug 13, 2023</t>
  </si>
  <si>
    <t xml:space="preserve"> Feb 28, 2023</t>
  </si>
  <si>
    <t xml:space="preserve"> Feb 14, 2023</t>
  </si>
  <si>
    <t xml:space="preserve"> Aug 8, 2023</t>
  </si>
  <si>
    <t xml:space="preserve"> Sep 19, 2023</t>
  </si>
  <si>
    <t xml:space="preserve"> Jul 1, 2023</t>
  </si>
  <si>
    <t xml:space="preserve"> Nov 5, 2023</t>
  </si>
  <si>
    <t xml:space="preserve"> Jan 1, 2023</t>
  </si>
  <si>
    <t xml:space="preserve"> May 19, 2023</t>
  </si>
  <si>
    <t xml:space="preserve"> Dec 10, 2023</t>
  </si>
  <si>
    <t xml:space="preserve"> Apr 18, 2023</t>
  </si>
  <si>
    <t xml:space="preserve"> Mar 5, 2023</t>
  </si>
  <si>
    <t xml:space="preserve"> Jul 3, 2023</t>
  </si>
  <si>
    <t xml:space="preserve"> Dec 26, 2023</t>
  </si>
  <si>
    <t xml:space="preserve"> Jan 13, 2023</t>
  </si>
  <si>
    <t xml:space="preserve"> Jun 12, 2023</t>
  </si>
  <si>
    <t xml:space="preserve"> Nov 22, 2023</t>
  </si>
  <si>
    <t xml:space="preserve"> Aug 26, 2023</t>
  </si>
  <si>
    <t xml:space="preserve"> Jan 21, 2023</t>
  </si>
  <si>
    <t xml:space="preserve"> Jun 8, 2023</t>
  </si>
  <si>
    <t xml:space="preserve"> Apr 9, 2023</t>
  </si>
  <si>
    <t xml:space="preserve"> Sep 27, 2023</t>
  </si>
  <si>
    <t xml:space="preserve"> Nov 28, 2023</t>
  </si>
  <si>
    <t xml:space="preserve"> Dec 6, 2023</t>
  </si>
  <si>
    <t>Location</t>
  </si>
  <si>
    <t>Daily Penalty Rate %</t>
  </si>
  <si>
    <t>Details</t>
  </si>
  <si>
    <t>Brazil</t>
  </si>
  <si>
    <t>DataWorks@DataWorks.com</t>
  </si>
  <si>
    <t>0011-045-73330</t>
  </si>
  <si>
    <t>The base for the Late Fee % is the outstanding amount</t>
  </si>
  <si>
    <t>Canada</t>
  </si>
  <si>
    <t>TechSolutions@TechSolutions.com</t>
  </si>
  <si>
    <t>2429-190-80361</t>
  </si>
  <si>
    <t>FinancialFocus@FinancialFocus.com</t>
  </si>
  <si>
    <t>2822-008-83261</t>
  </si>
  <si>
    <t>DesignCrafters@DesignCrafters.com</t>
  </si>
  <si>
    <t>5185-002-60841</t>
  </si>
  <si>
    <t>Israel</t>
  </si>
  <si>
    <t>MarketingPros@MarketingPros.com</t>
  </si>
  <si>
    <t>3419-996-41210</t>
  </si>
  <si>
    <t>LogisticsMasters@LogisticsMasters.com</t>
  </si>
  <si>
    <t>3040-283-24545</t>
  </si>
  <si>
    <t>United States</t>
  </si>
  <si>
    <t>MarketEdge@MarketEdge.com</t>
  </si>
  <si>
    <t>9227-881-75628</t>
  </si>
  <si>
    <t>FinanceGenius@FinanceGenius.com</t>
  </si>
  <si>
    <t>7245-061-72686</t>
  </si>
  <si>
    <t>TechGenie@TechGenie.com</t>
  </si>
  <si>
    <t>1482-834-38944</t>
  </si>
  <si>
    <t>OperationsExperts@OperationsExperts.com</t>
  </si>
  <si>
    <t>5215-256-22385</t>
  </si>
  <si>
    <t>CyberTech</t>
  </si>
  <si>
    <t>CyberTech@CyberTech.com</t>
  </si>
  <si>
    <t>5131-174-01888</t>
  </si>
  <si>
    <t>MediaMavens</t>
  </si>
  <si>
    <t>MediaMavens@MediaMavens.com</t>
  </si>
  <si>
    <t>7379-625-72242</t>
  </si>
  <si>
    <t>StrategySphere</t>
  </si>
  <si>
    <t>StrategySphere@StrategySphere.com</t>
  </si>
  <si>
    <t>8779-538-19045</t>
  </si>
  <si>
    <t>InnovateTech</t>
  </si>
  <si>
    <t>InnovateTech@InnovateTech.com</t>
  </si>
  <si>
    <t>5573-735-23638</t>
  </si>
  <si>
    <t>PixelPerfect</t>
  </si>
  <si>
    <t>PixelPerfect@PixelPerfect.com</t>
  </si>
  <si>
    <t>4218-873-76394</t>
  </si>
  <si>
    <t>SupplyChainSavvy</t>
  </si>
  <si>
    <t>SupplyChainSavvy@SupplyChainSavvy.com</t>
  </si>
  <si>
    <t>3215-277-67293</t>
  </si>
  <si>
    <t>TechCrafters</t>
  </si>
  <si>
    <t>TechCrafters@TechCrafters.com</t>
  </si>
  <si>
    <t>5542-077-19124</t>
  </si>
  <si>
    <t>MarketMagnet</t>
  </si>
  <si>
    <t>MarketMagnet@MarketMagnet.com</t>
  </si>
  <si>
    <t>3704-707-99598</t>
  </si>
  <si>
    <t>SecureSys</t>
  </si>
  <si>
    <t>SecureSys@SecureSys.com</t>
  </si>
  <si>
    <t>9778-091-31081</t>
  </si>
  <si>
    <t>CreativeWorks</t>
  </si>
  <si>
    <t>CreativeWorks@CreativeWorks.com</t>
  </si>
  <si>
    <t>9338-989-25304</t>
  </si>
  <si>
    <t>LogisticXpert</t>
  </si>
  <si>
    <t>LogisticXpert@LogisticXpert.com</t>
  </si>
  <si>
    <t>4605-036-63248</t>
  </si>
  <si>
    <t>FinanceForge</t>
  </si>
  <si>
    <t>FinanceForge@FinanceForge.com</t>
  </si>
  <si>
    <t>7748-370-89924</t>
  </si>
  <si>
    <t>TechInnovate</t>
  </si>
  <si>
    <t>TechInnovate@TechInnovate.com</t>
  </si>
  <si>
    <t>7557-306-54671</t>
  </si>
  <si>
    <t>MarketVision</t>
  </si>
  <si>
    <t>MarketVision@MarketVision.com</t>
  </si>
  <si>
    <t>4633-246-30323</t>
  </si>
  <si>
    <t>DataDynamics</t>
  </si>
  <si>
    <t>DataDynamics@DataDynamics.com</t>
  </si>
  <si>
    <t>1373-246-87121</t>
  </si>
  <si>
    <t>DesignDazzle</t>
  </si>
  <si>
    <t>DesignDazzle@DesignDazzle.com</t>
  </si>
  <si>
    <t>9147-541-59086</t>
  </si>
  <si>
    <t>OperationOptimize</t>
  </si>
  <si>
    <t>OperationOptimize@OperationOptimize.com</t>
  </si>
  <si>
    <t>7661-314-80252</t>
  </si>
  <si>
    <t>FinanceFinesse</t>
  </si>
  <si>
    <t>FinanceFinesse@FinanceFinesse.com</t>
  </si>
  <si>
    <t>0711-656-89431</t>
  </si>
  <si>
    <t>TechTrendsetters</t>
  </si>
  <si>
    <t>TechTrendsetters@TechTrendsetters.com</t>
  </si>
  <si>
    <t>8761-975-66509</t>
  </si>
  <si>
    <t>MarketMarvels</t>
  </si>
  <si>
    <t>MarketMarvels@MarketMarvels.com</t>
  </si>
  <si>
    <t>8566-213-70538</t>
  </si>
  <si>
    <t>*Payment Date field is currently not in Date Format</t>
  </si>
  <si>
    <t>Payment Date_Reformatted</t>
  </si>
  <si>
    <t>Check</t>
  </si>
  <si>
    <t>Penalty Fees</t>
  </si>
  <si>
    <t>Payment Amount</t>
  </si>
  <si>
    <t>Payment Status</t>
  </si>
  <si>
    <t>Principle Oustanding</t>
  </si>
  <si>
    <t>Panelty Fees</t>
  </si>
  <si>
    <t>Total Payment Oustanding</t>
  </si>
  <si>
    <t>Aging Status</t>
  </si>
  <si>
    <t>Days Oustanding</t>
  </si>
  <si>
    <t xml:space="preserve"> </t>
  </si>
  <si>
    <t>Panetly fees as of the current date</t>
  </si>
  <si>
    <t>Panetly fees based on on payment date and due date</t>
  </si>
  <si>
    <t>Total Panelty</t>
  </si>
  <si>
    <t>Marketing would require special consideration as their missed deadlines have had the most amount of financial impact to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</si>
</sst>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&quot;$&quot;#,##0"/>
    <numFmt numFmtId="166" formatCode="mmmm\ d\,\ yyyy"/>
    <numFmt numFmtId="167" formatCode="mmm/dd/yyyy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20"/>
      <color theme="0"/>
      <name val="Arial"/>
      <family val="2"/>
    </font>
    <font>
      <b/>
      <sz val="15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0000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theme="2" tint="-0.499984740745262"/>
      </left>
      <right/>
      <top style="thick">
        <color theme="2" tint="-0.499984740745262"/>
      </top>
      <bottom/>
      <diagonal/>
    </border>
    <border>
      <left/>
      <right/>
      <top style="thick">
        <color theme="2" tint="-0.499984740745262"/>
      </top>
      <bottom/>
      <diagonal/>
    </border>
    <border>
      <left/>
      <right style="thick">
        <color theme="2" tint="-0.499984740745262"/>
      </right>
      <top style="thick">
        <color theme="2" tint="-0.499984740745262"/>
      </top>
      <bottom/>
      <diagonal/>
    </border>
    <border>
      <left style="thick">
        <color theme="2" tint="-0.499984740745262"/>
      </left>
      <right/>
      <top/>
      <bottom/>
      <diagonal/>
    </border>
    <border>
      <left/>
      <right style="thick">
        <color theme="2" tint="-0.499984740745262"/>
      </right>
      <top/>
      <bottom/>
      <diagonal/>
    </border>
    <border>
      <left style="thick">
        <color theme="2" tint="-0.499984740745262"/>
      </left>
      <right/>
      <top/>
      <bottom style="thick">
        <color theme="2" tint="-0.499984740745262"/>
      </bottom>
      <diagonal/>
    </border>
    <border>
      <left/>
      <right/>
      <top/>
      <bottom style="thick">
        <color theme="2" tint="-0.499984740745262"/>
      </bottom>
      <diagonal/>
    </border>
    <border>
      <left/>
      <right style="thick">
        <color theme="2" tint="-0.499984740745262"/>
      </right>
      <top/>
      <bottom style="thick">
        <color theme="2" tint="-0.499984740745262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87">
    <xf numFmtId="0" fontId="0" fillId="0" borderId="0" xfId="0"/>
    <xf numFmtId="0" fontId="1" fillId="0" borderId="0" xfId="1"/>
    <xf numFmtId="0" fontId="2" fillId="3" borderId="1" xfId="1" applyFont="1" applyFill="1" applyBorder="1"/>
    <xf numFmtId="0" fontId="4" fillId="2" borderId="0" xfId="1" applyFont="1" applyFill="1"/>
    <xf numFmtId="0" fontId="3" fillId="0" borderId="0" xfId="1" applyFont="1"/>
    <xf numFmtId="0" fontId="2" fillId="3" borderId="4" xfId="1" applyFont="1" applyFill="1" applyBorder="1" applyAlignment="1">
      <alignment horizontal="centerContinuous"/>
    </xf>
    <xf numFmtId="0" fontId="2" fillId="3" borderId="1" xfId="1" applyFont="1" applyFill="1" applyBorder="1" applyAlignment="1">
      <alignment horizontal="centerContinuous"/>
    </xf>
    <xf numFmtId="0" fontId="2" fillId="3" borderId="5" xfId="1" applyFont="1" applyFill="1" applyBorder="1" applyAlignment="1">
      <alignment horizontal="centerContinuous"/>
    </xf>
    <xf numFmtId="0" fontId="2" fillId="0" borderId="0" xfId="1" applyFont="1"/>
    <xf numFmtId="0" fontId="2" fillId="4" borderId="7" xfId="1" applyFont="1" applyFill="1" applyBorder="1" applyAlignment="1">
      <alignment horizontal="center"/>
    </xf>
    <xf numFmtId="0" fontId="1" fillId="4" borderId="7" xfId="1" applyFill="1" applyBorder="1" applyAlignment="1">
      <alignment horizontal="left" vertical="center"/>
    </xf>
    <xf numFmtId="0" fontId="1" fillId="0" borderId="8" xfId="1" applyBorder="1"/>
    <xf numFmtId="0" fontId="1" fillId="0" borderId="9" xfId="1" applyBorder="1"/>
    <xf numFmtId="0" fontId="1" fillId="0" borderId="10" xfId="1" applyBorder="1"/>
    <xf numFmtId="0" fontId="1" fillId="0" borderId="11" xfId="1" applyBorder="1"/>
    <xf numFmtId="0" fontId="1" fillId="0" borderId="12" xfId="1" applyBorder="1"/>
    <xf numFmtId="0" fontId="1" fillId="0" borderId="13" xfId="1" applyBorder="1"/>
    <xf numFmtId="0" fontId="1" fillId="0" borderId="2" xfId="1" applyBorder="1"/>
    <xf numFmtId="0" fontId="1" fillId="0" borderId="14" xfId="1" applyBorder="1"/>
    <xf numFmtId="0" fontId="1" fillId="3" borderId="1" xfId="1" applyFill="1" applyBorder="1"/>
    <xf numFmtId="0" fontId="5" fillId="3" borderId="1" xfId="1" applyFont="1" applyFill="1" applyBorder="1"/>
    <xf numFmtId="0" fontId="1" fillId="2" borderId="1" xfId="1" applyFill="1" applyBorder="1"/>
    <xf numFmtId="0" fontId="5" fillId="0" borderId="1" xfId="1" applyFont="1" applyBorder="1"/>
    <xf numFmtId="0" fontId="5" fillId="0" borderId="0" xfId="1" applyFont="1"/>
    <xf numFmtId="0" fontId="1" fillId="0" borderId="1" xfId="1" applyBorder="1"/>
    <xf numFmtId="0" fontId="2" fillId="0" borderId="1" xfId="1" applyFont="1" applyBorder="1"/>
    <xf numFmtId="0" fontId="2" fillId="7" borderId="7" xfId="1" applyFont="1" applyFill="1" applyBorder="1" applyAlignment="1">
      <alignment horizontal="center" vertical="center"/>
    </xf>
    <xf numFmtId="0" fontId="1" fillId="2" borderId="0" xfId="1" applyFill="1"/>
    <xf numFmtId="0" fontId="1" fillId="0" borderId="7" xfId="1" applyBorder="1"/>
    <xf numFmtId="15" fontId="1" fillId="0" borderId="7" xfId="1" applyNumberFormat="1" applyBorder="1"/>
    <xf numFmtId="0" fontId="2" fillId="6" borderId="7" xfId="1" applyFont="1" applyFill="1" applyBorder="1" applyAlignment="1">
      <alignment horizontal="center" vertical="center"/>
    </xf>
    <xf numFmtId="0" fontId="2" fillId="8" borderId="7" xfId="1" applyFont="1" applyFill="1" applyBorder="1" applyAlignment="1">
      <alignment horizontal="center" vertical="center"/>
    </xf>
    <xf numFmtId="0" fontId="2" fillId="9" borderId="7" xfId="1" applyFont="1" applyFill="1" applyBorder="1" applyAlignment="1">
      <alignment horizontal="center" vertical="center"/>
    </xf>
    <xf numFmtId="0" fontId="6" fillId="10" borderId="7" xfId="1" applyFont="1" applyFill="1" applyBorder="1" applyAlignment="1">
      <alignment horizontal="center" vertical="center"/>
    </xf>
    <xf numFmtId="0" fontId="6" fillId="5" borderId="7" xfId="1" applyFont="1" applyFill="1" applyBorder="1" applyAlignment="1">
      <alignment horizontal="center" vertical="center"/>
    </xf>
    <xf numFmtId="0" fontId="1" fillId="4" borderId="7" xfId="1" applyFill="1" applyBorder="1" applyAlignment="1">
      <alignment horizontal="center" vertical="center"/>
    </xf>
    <xf numFmtId="165" fontId="1" fillId="0" borderId="7" xfId="1" applyNumberFormat="1" applyBorder="1" applyAlignment="1">
      <alignment horizontal="center" vertical="center"/>
    </xf>
    <xf numFmtId="0" fontId="2" fillId="7" borderId="4" xfId="1" applyFont="1" applyFill="1" applyBorder="1" applyAlignment="1">
      <alignment horizontal="centerContinuous" vertical="center"/>
    </xf>
    <xf numFmtId="0" fontId="1" fillId="7" borderId="5" xfId="1" applyFill="1" applyBorder="1" applyAlignment="1">
      <alignment horizontal="centerContinuous"/>
    </xf>
    <xf numFmtId="0" fontId="3" fillId="0" borderId="1" xfId="1" applyFont="1" applyBorder="1" applyAlignment="1">
      <alignment horizontal="center"/>
    </xf>
    <xf numFmtId="0" fontId="1" fillId="0" borderId="7" xfId="1" applyBorder="1" applyAlignment="1">
      <alignment horizontal="center"/>
    </xf>
    <xf numFmtId="0" fontId="7" fillId="0" borderId="0" xfId="1" applyFont="1"/>
    <xf numFmtId="166" fontId="2" fillId="4" borderId="7" xfId="1" applyNumberFormat="1" applyFont="1" applyFill="1" applyBorder="1"/>
    <xf numFmtId="14" fontId="1" fillId="0" borderId="0" xfId="1" applyNumberFormat="1"/>
    <xf numFmtId="0" fontId="2" fillId="11" borderId="15" xfId="1" applyFont="1" applyFill="1" applyBorder="1"/>
    <xf numFmtId="0" fontId="1" fillId="11" borderId="16" xfId="1" applyFill="1" applyBorder="1"/>
    <xf numFmtId="0" fontId="1" fillId="11" borderId="17" xfId="1" applyFill="1" applyBorder="1"/>
    <xf numFmtId="0" fontId="1" fillId="11" borderId="18" xfId="1" applyFill="1" applyBorder="1"/>
    <xf numFmtId="0" fontId="3" fillId="11" borderId="0" xfId="1" quotePrefix="1" applyFont="1" applyFill="1"/>
    <xf numFmtId="0" fontId="1" fillId="11" borderId="0" xfId="1" applyFill="1"/>
    <xf numFmtId="0" fontId="1" fillId="11" borderId="19" xfId="1" applyFill="1" applyBorder="1"/>
    <xf numFmtId="0" fontId="1" fillId="11" borderId="20" xfId="1" applyFill="1" applyBorder="1"/>
    <xf numFmtId="0" fontId="1" fillId="11" borderId="21" xfId="1" applyFill="1" applyBorder="1"/>
    <xf numFmtId="0" fontId="1" fillId="11" borderId="22" xfId="1" applyFill="1" applyBorder="1"/>
    <xf numFmtId="0" fontId="6" fillId="5" borderId="0" xfId="1" applyFont="1" applyFill="1" applyAlignment="1">
      <alignment horizontal="center"/>
    </xf>
    <xf numFmtId="14" fontId="1" fillId="0" borderId="23" xfId="1" applyNumberFormat="1" applyBorder="1" applyAlignment="1">
      <alignment horizontal="center"/>
    </xf>
    <xf numFmtId="0" fontId="1" fillId="0" borderId="23" xfId="1" applyBorder="1" applyAlignment="1">
      <alignment horizontal="center"/>
    </xf>
    <xf numFmtId="164" fontId="0" fillId="0" borderId="23" xfId="2" applyFont="1" applyFill="1" applyBorder="1" applyAlignment="1">
      <alignment horizontal="center"/>
    </xf>
    <xf numFmtId="14" fontId="0" fillId="0" borderId="0" xfId="2" applyNumberFormat="1" applyFont="1"/>
    <xf numFmtId="14" fontId="1" fillId="0" borderId="24" xfId="1" applyNumberFormat="1" applyBorder="1" applyAlignment="1">
      <alignment horizontal="center"/>
    </xf>
    <xf numFmtId="0" fontId="1" fillId="0" borderId="24" xfId="1" applyBorder="1" applyAlignment="1">
      <alignment horizontal="center"/>
    </xf>
    <xf numFmtId="164" fontId="0" fillId="0" borderId="24" xfId="2" applyFont="1" applyFill="1" applyBorder="1" applyAlignment="1">
      <alignment horizontal="center"/>
    </xf>
    <xf numFmtId="164" fontId="0" fillId="0" borderId="0" xfId="2" applyFont="1"/>
    <xf numFmtId="0" fontId="2" fillId="0" borderId="25" xfId="1" applyFont="1" applyBorder="1"/>
    <xf numFmtId="0" fontId="2" fillId="0" borderId="25" xfId="1" applyFont="1" applyBorder="1" applyAlignment="1">
      <alignment horizontal="left"/>
    </xf>
    <xf numFmtId="0" fontId="1" fillId="0" borderId="0" xfId="1" applyAlignment="1">
      <alignment horizontal="left"/>
    </xf>
    <xf numFmtId="10" fontId="1" fillId="0" borderId="0" xfId="1" applyNumberFormat="1"/>
    <xf numFmtId="167" fontId="1" fillId="0" borderId="0" xfId="1" applyNumberFormat="1"/>
    <xf numFmtId="0" fontId="2" fillId="12" borderId="1" xfId="1" applyFont="1" applyFill="1" applyBorder="1"/>
    <xf numFmtId="1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2" fontId="1" fillId="0" borderId="0" xfId="1" applyNumberFormat="1"/>
    <xf numFmtId="43" fontId="1" fillId="0" borderId="0" xfId="3" applyFont="1"/>
    <xf numFmtId="43" fontId="1" fillId="0" borderId="0" xfId="3" applyFont="1" applyAlignment="1">
      <alignment horizontal="right"/>
    </xf>
    <xf numFmtId="43" fontId="4" fillId="2" borderId="0" xfId="3" applyFont="1" applyFill="1"/>
    <xf numFmtId="43" fontId="2" fillId="12" borderId="1" xfId="3" applyFont="1" applyFill="1" applyBorder="1"/>
    <xf numFmtId="43" fontId="6" fillId="13" borderId="0" xfId="3" applyFont="1" applyFill="1" applyAlignment="1">
      <alignment horizontal="center"/>
    </xf>
    <xf numFmtId="43" fontId="1" fillId="0" borderId="0" xfId="1" applyNumberFormat="1"/>
    <xf numFmtId="167" fontId="1" fillId="0" borderId="7" xfId="1" applyNumberFormat="1" applyBorder="1"/>
    <xf numFmtId="43" fontId="1" fillId="0" borderId="7" xfId="3" applyFont="1" applyBorder="1"/>
    <xf numFmtId="43" fontId="1" fillId="0" borderId="7" xfId="3" applyFont="1" applyBorder="1" applyAlignment="1">
      <alignment horizontal="left" vertical="center"/>
    </xf>
    <xf numFmtId="9" fontId="1" fillId="0" borderId="7" xfId="4" applyFont="1" applyBorder="1" applyAlignment="1">
      <alignment horizontal="left" vertical="center"/>
    </xf>
    <xf numFmtId="10" fontId="1" fillId="0" borderId="7" xfId="3" applyNumberFormat="1" applyFont="1" applyBorder="1" applyAlignment="1">
      <alignment horizontal="left" vertical="center"/>
    </xf>
    <xf numFmtId="0" fontId="1" fillId="0" borderId="7" xfId="1" applyBorder="1" applyAlignment="1">
      <alignment horizontal="center" vertical="center"/>
    </xf>
    <xf numFmtId="9" fontId="1" fillId="0" borderId="7" xfId="4" applyFont="1" applyBorder="1" applyAlignment="1">
      <alignment horizontal="center" vertical="center"/>
    </xf>
    <xf numFmtId="0" fontId="2" fillId="7" borderId="3" xfId="1" applyFont="1" applyFill="1" applyBorder="1" applyAlignment="1">
      <alignment horizontal="center" vertical="center"/>
    </xf>
    <xf numFmtId="0" fontId="2" fillId="7" borderId="6" xfId="1" applyFont="1" applyFill="1" applyBorder="1" applyAlignment="1">
      <alignment horizontal="center" vertical="center"/>
    </xf>
  </cellXfs>
  <cellStyles count="5">
    <cellStyle name="Comma" xfId="3" builtinId="3"/>
    <cellStyle name="Comma 2" xfId="2" xr:uid="{BBD5E8DC-0FEE-4714-9356-354E34BCD182}"/>
    <cellStyle name="Normal" xfId="0" builtinId="0"/>
    <cellStyle name="Normal 2" xfId="1" xr:uid="{E237CD68-C2FC-405F-B508-28AA482F4494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730250</xdr:colOff>
      <xdr:row>3</xdr:row>
      <xdr:rowOff>38100</xdr:rowOff>
    </xdr:from>
    <xdr:to>
      <xdr:col>10</xdr:col>
      <xdr:colOff>501650</xdr:colOff>
      <xdr:row>6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BCFBC64-EE4B-26D9-3833-CEEB7D4DD52F}"/>
            </a:ext>
          </a:extLst>
        </xdr:cNvPr>
        <xdr:cNvSpPr txBox="1"/>
      </xdr:nvSpPr>
      <xdr:spPr>
        <a:xfrm>
          <a:off x="6489700" y="584200"/>
          <a:ext cx="28448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Purpose</a:t>
          </a:r>
          <a:r>
            <a:rPr lang="en-US" sz="1100" baseline="0"/>
            <a:t> of the check is to ensure that all the invoice in the payment history tap are included in the vendor invoices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0475-49CF-4203-A4EE-2DB7909D848B}">
  <sheetPr>
    <tabColor theme="0"/>
  </sheetPr>
  <dimension ref="A1"/>
  <sheetViews>
    <sheetView topLeftCell="XFD1048576" workbookViewId="0">
      <selection sqref="A1:XFD1048576"/>
    </sheetView>
  </sheetViews>
  <sheetFormatPr defaultColWidth="0" defaultRowHeight="14.5" zeroHeight="1" x14ac:dyDescent="0.35"/>
  <cols>
    <col min="1" max="16384" width="9.1796875" hidden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F3D2-60F4-43F0-B18A-221EBEEE6E87}">
  <dimension ref="A1:N19"/>
  <sheetViews>
    <sheetView showGridLines="0" tabSelected="1" zoomScale="70" zoomScaleNormal="70" workbookViewId="0"/>
  </sheetViews>
  <sheetFormatPr defaultColWidth="9.1796875" defaultRowHeight="12.5" x14ac:dyDescent="0.25"/>
  <cols>
    <col min="1" max="1" width="1.7265625" style="1" customWidth="1"/>
    <col min="2" max="2" width="15.7265625" style="1" customWidth="1"/>
    <col min="3" max="3" width="1.7265625" style="1" customWidth="1"/>
    <col min="4" max="6" width="20.7265625" style="1" customWidth="1"/>
    <col min="7" max="7" width="1.7265625" style="1" customWidth="1"/>
    <col min="8" max="10" width="20.7265625" style="1" customWidth="1"/>
    <col min="11" max="11" width="1.7265625" style="1" customWidth="1"/>
    <col min="12" max="14" width="20.7265625" style="1" customWidth="1"/>
    <col min="15" max="16384" width="9.1796875" style="1"/>
  </cols>
  <sheetData>
    <row r="1" spans="1:14" s="3" customFormat="1" ht="25" x14ac:dyDescent="0.5">
      <c r="A1" s="3" t="s">
        <v>0</v>
      </c>
    </row>
    <row r="2" spans="1:14" ht="5.15" customHeight="1" x14ac:dyDescent="0.25"/>
    <row r="3" spans="1:14" ht="13" x14ac:dyDescent="0.3">
      <c r="D3" s="4" t="s">
        <v>6</v>
      </c>
      <c r="H3" s="4" t="s">
        <v>7</v>
      </c>
      <c r="L3" s="4" t="s">
        <v>8</v>
      </c>
    </row>
    <row r="4" spans="1:14" ht="13" x14ac:dyDescent="0.3">
      <c r="B4" s="85" t="s">
        <v>9</v>
      </c>
      <c r="D4" s="5" t="s">
        <v>10</v>
      </c>
      <c r="E4" s="6"/>
      <c r="F4" s="7"/>
      <c r="H4" s="5" t="s">
        <v>11</v>
      </c>
      <c r="I4" s="6"/>
      <c r="J4" s="7"/>
      <c r="L4" s="5" t="s">
        <v>12</v>
      </c>
      <c r="M4" s="6"/>
      <c r="N4" s="7"/>
    </row>
    <row r="5" spans="1:14" ht="13" x14ac:dyDescent="0.3">
      <c r="B5" s="86"/>
      <c r="C5" s="8"/>
      <c r="D5" s="9" t="s">
        <v>13</v>
      </c>
      <c r="E5" s="9" t="s">
        <v>14</v>
      </c>
      <c r="F5" s="9" t="s">
        <v>15</v>
      </c>
      <c r="H5" s="9" t="s">
        <v>13</v>
      </c>
      <c r="I5" s="9" t="s">
        <v>16</v>
      </c>
      <c r="J5" s="9" t="s">
        <v>17</v>
      </c>
      <c r="L5" s="9" t="s">
        <v>13</v>
      </c>
      <c r="M5" s="9" t="s">
        <v>16</v>
      </c>
      <c r="N5" s="9" t="s">
        <v>17</v>
      </c>
    </row>
    <row r="6" spans="1:14" x14ac:dyDescent="0.25">
      <c r="B6" s="10" t="s">
        <v>18</v>
      </c>
      <c r="D6" s="80">
        <f>SUMIFS('Vendor Invoices'!$G:$G,'Vendor Invoices'!$F:$F,'Division Performance'!$B6)</f>
        <v>4086609</v>
      </c>
      <c r="E6" s="80">
        <f>SUMIFS('Vendor Invoices'!$S:$S,'Vendor Invoices'!$F:$F,'Division Performance'!$B6)</f>
        <v>384457.64000000007</v>
      </c>
      <c r="F6" s="82">
        <f t="shared" ref="F6:F9" si="0">E6/D6</f>
        <v>9.4077422136544034E-2</v>
      </c>
      <c r="H6" s="80">
        <f>SUMIFS('Vendor Invoices'!$G:$G,'Vendor Invoices'!$F:$F,'Division Performance'!$B6)</f>
        <v>4086609</v>
      </c>
      <c r="I6" s="80">
        <f>SUMIFS('Vendor Invoices'!$G:$G,'Vendor Invoices'!L:L,"Outstanding",'Vendor Invoices'!F:F,'Division Performance'!$B6)</f>
        <v>1705960</v>
      </c>
      <c r="J6" s="81">
        <f>I6/H6</f>
        <v>0.41745124135927858</v>
      </c>
      <c r="L6" s="83">
        <f>COUNTIFS('Vendor Invoices'!$F:$F,'Division Performance'!$B6)</f>
        <v>54</v>
      </c>
      <c r="M6" s="83">
        <f>COUNTIFS('Vendor Invoices'!F:F,$B6,'Vendor Invoices'!L:L,"Outstanding")</f>
        <v>23</v>
      </c>
      <c r="N6" s="84">
        <f t="shared" ref="N6:N9" si="1">M6/L6</f>
        <v>0.42592592592592593</v>
      </c>
    </row>
    <row r="7" spans="1:14" x14ac:dyDescent="0.25">
      <c r="B7" s="10" t="s">
        <v>19</v>
      </c>
      <c r="D7" s="80">
        <f>SUMIFS('Vendor Invoices'!$G:$G,'Vendor Invoices'!$F:$F,'Division Performance'!$B7)</f>
        <v>3629057</v>
      </c>
      <c r="E7" s="80">
        <f>SUMIFS('Vendor Invoices'!$S:$S,'Vendor Invoices'!$F:$F,'Division Performance'!$B7)</f>
        <v>629618.56020000007</v>
      </c>
      <c r="F7" s="82">
        <f t="shared" si="0"/>
        <v>0.17349370930244415</v>
      </c>
      <c r="H7" s="80">
        <f>SUMIFS('Vendor Invoices'!$G:$G,'Vendor Invoices'!$F:$F,'Division Performance'!$B7)</f>
        <v>3629057</v>
      </c>
      <c r="I7" s="80">
        <f>SUMIFS('Vendor Invoices'!$G:$G,'Vendor Invoices'!L:L,"Outstanding",'Vendor Invoices'!F:F,'Division Performance'!$B7)</f>
        <v>1913551</v>
      </c>
      <c r="J7" s="81">
        <f t="shared" ref="J7:J9" si="2">I7/H7</f>
        <v>0.52728601397002028</v>
      </c>
      <c r="L7" s="83">
        <f>COUNTIFS('Vendor Invoices'!$F:$F,'Division Performance'!$B7)</f>
        <v>48</v>
      </c>
      <c r="M7" s="83">
        <f>COUNTIFS('Vendor Invoices'!F:F,$B7,'Vendor Invoices'!L:L,"Outstanding")</f>
        <v>23</v>
      </c>
      <c r="N7" s="84">
        <f t="shared" si="1"/>
        <v>0.47916666666666669</v>
      </c>
    </row>
    <row r="8" spans="1:14" x14ac:dyDescent="0.25">
      <c r="B8" s="10" t="s">
        <v>20</v>
      </c>
      <c r="D8" s="80">
        <f>SUMIFS('Vendor Invoices'!$G:$G,'Vendor Invoices'!$F:$F,'Division Performance'!$B8)</f>
        <v>3461660</v>
      </c>
      <c r="E8" s="80">
        <f>SUMIFS('Vendor Invoices'!$S:$S,'Vendor Invoices'!$F:$F,'Division Performance'!$B8)</f>
        <v>710209.11180000007</v>
      </c>
      <c r="F8" s="82">
        <f t="shared" si="0"/>
        <v>0.20516431763951401</v>
      </c>
      <c r="H8" s="80">
        <f>SUMIFS('Vendor Invoices'!$G:$G,'Vendor Invoices'!$F:$F,'Division Performance'!$B8)</f>
        <v>3461660</v>
      </c>
      <c r="I8" s="80">
        <f>SUMIFS('Vendor Invoices'!$G:$G,'Vendor Invoices'!L:L,"Outstanding",'Vendor Invoices'!F:F,'Division Performance'!$B8)</f>
        <v>1528830</v>
      </c>
      <c r="J8" s="81">
        <f t="shared" si="2"/>
        <v>0.44164649330090189</v>
      </c>
      <c r="L8" s="83">
        <f>COUNTIFS('Vendor Invoices'!$F:$F,'Division Performance'!$B8)</f>
        <v>45</v>
      </c>
      <c r="M8" s="83">
        <f>COUNTIFS('Vendor Invoices'!F:F,$B8,'Vendor Invoices'!L:L,"Outstanding")</f>
        <v>18</v>
      </c>
      <c r="N8" s="84">
        <f t="shared" si="1"/>
        <v>0.4</v>
      </c>
    </row>
    <row r="9" spans="1:14" x14ac:dyDescent="0.25">
      <c r="B9" s="10" t="s">
        <v>21</v>
      </c>
      <c r="D9" s="80">
        <f>SUMIFS('Vendor Invoices'!$G:$G,'Vendor Invoices'!$F:$F,'Division Performance'!$B9)</f>
        <v>3747715</v>
      </c>
      <c r="E9" s="80">
        <f>SUMIFS('Vendor Invoices'!$S:$S,'Vendor Invoices'!$F:$F,'Division Performance'!$B9)</f>
        <v>210145.30784999992</v>
      </c>
      <c r="F9" s="82">
        <f t="shared" si="0"/>
        <v>5.6072915856728682E-2</v>
      </c>
      <c r="H9" s="80">
        <f>SUMIFS('Vendor Invoices'!$G:$G,'Vendor Invoices'!$F:$F,'Division Performance'!$B9)</f>
        <v>3747715</v>
      </c>
      <c r="I9" s="80">
        <f>SUMIFS('Vendor Invoices'!$G:$G,'Vendor Invoices'!L:L,"Outstanding",'Vendor Invoices'!F:F,'Division Performance'!$B9)</f>
        <v>1719020</v>
      </c>
      <c r="J9" s="81">
        <f t="shared" si="2"/>
        <v>0.45868482528687482</v>
      </c>
      <c r="L9" s="83">
        <f>COUNTIFS('Vendor Invoices'!$F:$F,'Division Performance'!$B9)</f>
        <v>53</v>
      </c>
      <c r="M9" s="83">
        <f>COUNTIFS('Vendor Invoices'!F:F,$B9,'Vendor Invoices'!L:L,"Outstanding")</f>
        <v>25</v>
      </c>
      <c r="N9" s="84">
        <f t="shared" si="1"/>
        <v>0.47169811320754718</v>
      </c>
    </row>
    <row r="12" spans="1:14" ht="13" x14ac:dyDescent="0.3">
      <c r="B12" s="8" t="s">
        <v>22</v>
      </c>
    </row>
    <row r="13" spans="1:14" x14ac:dyDescent="0.25">
      <c r="B13" s="11" t="s">
        <v>465</v>
      </c>
      <c r="C13" s="12"/>
      <c r="D13" s="12"/>
      <c r="E13" s="12"/>
      <c r="F13" s="12"/>
      <c r="G13" s="12"/>
      <c r="H13" s="12"/>
      <c r="I13" s="12"/>
      <c r="J13" s="13"/>
    </row>
    <row r="14" spans="1:14" x14ac:dyDescent="0.25">
      <c r="B14" s="14"/>
      <c r="J14" s="15"/>
    </row>
    <row r="15" spans="1:14" x14ac:dyDescent="0.25">
      <c r="B15" s="14"/>
      <c r="J15" s="15"/>
    </row>
    <row r="16" spans="1:14" x14ac:dyDescent="0.25">
      <c r="B16" s="14"/>
      <c r="J16" s="15"/>
    </row>
    <row r="17" spans="2:10" x14ac:dyDescent="0.25">
      <c r="B17" s="14"/>
      <c r="J17" s="15"/>
    </row>
    <row r="18" spans="2:10" x14ac:dyDescent="0.25">
      <c r="B18" s="14"/>
      <c r="J18" s="15"/>
    </row>
    <row r="19" spans="2:10" x14ac:dyDescent="0.25">
      <c r="B19" s="16"/>
      <c r="C19" s="17"/>
      <c r="D19" s="17"/>
      <c r="E19" s="17"/>
      <c r="F19" s="17"/>
      <c r="G19" s="17"/>
      <c r="H19" s="17"/>
      <c r="I19" s="17"/>
      <c r="J19" s="18"/>
    </row>
  </sheetData>
  <mergeCells count="1">
    <mergeCell ref="B4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0E6F-F028-40B2-8083-6551083FFF8D}">
  <dimension ref="A1:X93"/>
  <sheetViews>
    <sheetView showGridLines="0" zoomScale="70" zoomScaleNormal="70" workbookViewId="0">
      <selection activeCell="R5" sqref="R5"/>
    </sheetView>
  </sheetViews>
  <sheetFormatPr defaultColWidth="0" defaultRowHeight="12.5" x14ac:dyDescent="0.25"/>
  <cols>
    <col min="1" max="1" width="1.7265625" style="1" customWidth="1"/>
    <col min="2" max="2" width="20.7265625" style="1" customWidth="1"/>
    <col min="3" max="3" width="37.90625" style="1" bestFit="1" customWidth="1"/>
    <col min="4" max="4" width="20.7265625" style="1" customWidth="1"/>
    <col min="5" max="5" width="1.7265625" style="1" customWidth="1"/>
    <col min="6" max="8" width="25.7265625" style="1" customWidth="1"/>
    <col min="9" max="9" width="9.1796875" style="1" customWidth="1"/>
    <col min="10" max="10" width="1.7265625" style="27" customWidth="1"/>
    <col min="11" max="11" width="1.7265625" style="1" customWidth="1"/>
    <col min="12" max="15" width="20.7265625" style="1" customWidth="1"/>
    <col min="16" max="16" width="1.7265625" style="1" customWidth="1"/>
    <col min="17" max="19" width="25.7265625" style="1" customWidth="1"/>
    <col min="20" max="23" width="9.1796875" style="1" customWidth="1"/>
    <col min="24" max="24" width="0" style="1" hidden="1" customWidth="1"/>
    <col min="25" max="16384" width="9.1796875" style="1" hidden="1"/>
  </cols>
  <sheetData>
    <row r="1" spans="1:23" s="3" customFormat="1" ht="25" x14ac:dyDescent="0.5">
      <c r="A1" s="3" t="s">
        <v>1</v>
      </c>
    </row>
    <row r="2" spans="1:23" ht="19" x14ac:dyDescent="0.4">
      <c r="A2" s="19"/>
      <c r="B2" s="20" t="s">
        <v>23</v>
      </c>
      <c r="C2" s="20"/>
      <c r="D2" s="20"/>
      <c r="E2" s="20"/>
      <c r="F2" s="19"/>
      <c r="G2" s="19"/>
      <c r="H2" s="19"/>
      <c r="I2" s="19"/>
      <c r="J2" s="21"/>
      <c r="K2" s="2"/>
      <c r="L2" s="20" t="s">
        <v>24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5.15" customHeight="1" x14ac:dyDescent="0.4">
      <c r="B3" s="22"/>
      <c r="C3" s="22"/>
      <c r="D3" s="22"/>
      <c r="E3" s="23"/>
      <c r="F3" s="24"/>
      <c r="G3" s="24"/>
      <c r="H3" s="24"/>
      <c r="J3" s="21"/>
      <c r="K3" s="8"/>
      <c r="L3" s="22"/>
      <c r="M3" s="25"/>
      <c r="N3" s="25"/>
      <c r="O3" s="25"/>
      <c r="P3" s="8"/>
      <c r="Q3" s="25"/>
      <c r="R3" s="25"/>
      <c r="S3" s="25"/>
      <c r="T3" s="8"/>
      <c r="U3" s="8"/>
      <c r="V3" s="8"/>
      <c r="W3" s="8"/>
    </row>
    <row r="4" spans="1:23" ht="13" x14ac:dyDescent="0.3">
      <c r="B4" s="26" t="s">
        <v>25</v>
      </c>
      <c r="C4" s="26" t="s">
        <v>26</v>
      </c>
      <c r="D4" s="26" t="s">
        <v>27</v>
      </c>
      <c r="E4" s="8"/>
      <c r="F4" s="26" t="s">
        <v>28</v>
      </c>
      <c r="G4" s="26" t="s">
        <v>29</v>
      </c>
      <c r="H4" s="26" t="s">
        <v>30</v>
      </c>
      <c r="L4" s="26" t="s">
        <v>31</v>
      </c>
      <c r="M4" s="26" t="s">
        <v>25</v>
      </c>
      <c r="N4" s="26" t="s">
        <v>32</v>
      </c>
      <c r="O4" s="26" t="s">
        <v>9</v>
      </c>
      <c r="P4" s="8"/>
      <c r="Q4" s="26" t="s">
        <v>28</v>
      </c>
      <c r="R4" s="26" t="s">
        <v>29</v>
      </c>
      <c r="S4" s="26" t="s">
        <v>30</v>
      </c>
    </row>
    <row r="5" spans="1:23" x14ac:dyDescent="0.25">
      <c r="B5" s="10" t="s">
        <v>33</v>
      </c>
      <c r="C5" s="28" t="str" cm="1">
        <f t="array" ref="C5:C14">_xlfn.XLOOKUP($B$5:$B$14,'Vendor Details'!$B:$B,'Vendor Details'!D:D)</f>
        <v>DataWorks@DataWorks.com</v>
      </c>
      <c r="D5" s="28" t="str" cm="1">
        <f t="array" ref="D5:D14">_xlfn.XLOOKUP($B$5:$B$14,'Vendor Details'!$B:$B,'Vendor Details'!E:E)</f>
        <v>0011-045-73330</v>
      </c>
      <c r="F5" s="79" cm="1">
        <f t="array" ref="F5:F14">SUMIFS(Q:Q,$M:$M,$B$5:$B$14)</f>
        <v>483141.3</v>
      </c>
      <c r="G5" s="79" cm="1">
        <f t="array" ref="G5:G14">SUMIFS(R:R,$M:$M,$B$5:$B$14)</f>
        <v>40162.434900000007</v>
      </c>
      <c r="H5" s="79" cm="1">
        <f t="array" ref="H5:H14">SUMIFS(S:S,$M:$M,$B$5:$B$14)</f>
        <v>523303.73489999998</v>
      </c>
      <c r="L5" s="28" t="str" cm="1">
        <f t="array" ref="L5:L93">_xlfn._xlws.FILTER('Vendor Invoices'!B:B,'Vendor Invoices'!$L:$L="Outstanding")</f>
        <v>N_60128</v>
      </c>
      <c r="M5" s="28" t="str">
        <f>_xlfn.XLOOKUP($L:$L,'Vendor Invoices'!$B:$B,'Vendor Invoices'!C:C)</f>
        <v>LogisticsMasters</v>
      </c>
      <c r="N5" s="78">
        <f>_xlfn.XLOOKUP($L:$L,'Vendor Invoices'!$B:$B,'Vendor Invoices'!E:E)</f>
        <v>45235</v>
      </c>
      <c r="O5" s="78" t="str">
        <f>_xlfn.XLOOKUP($L:$L,'Vendor Invoices'!$B:$B,'Vendor Invoices'!F:F)</f>
        <v>Marketing</v>
      </c>
      <c r="Q5" s="79">
        <f>SUMIFS('Vendor Invoices'!$M:$M,'Vendor Invoices'!$B:$B,'Payment Sheet'!L5)</f>
        <v>84268</v>
      </c>
      <c r="R5" s="79">
        <f>SUMIFS('Vendor Invoices'!$N:$N,'Vendor Invoices'!$B:$B,'Payment Sheet'!L5)</f>
        <v>278.08440000000002</v>
      </c>
      <c r="S5" s="79">
        <f>SUMIFS('Vendor Invoices'!O:O,'Vendor Invoices'!B:B,'Payment Sheet'!L:L)</f>
        <v>84546.084400000007</v>
      </c>
    </row>
    <row r="6" spans="1:23" x14ac:dyDescent="0.25">
      <c r="B6" s="10" t="s">
        <v>34</v>
      </c>
      <c r="C6" s="29" t="str">
        <v>TechSolutions@TechSolutions.com</v>
      </c>
      <c r="D6" s="28" t="str">
        <v>2429-190-80361</v>
      </c>
      <c r="F6" s="79">
        <v>398802.64139999996</v>
      </c>
      <c r="G6" s="79">
        <v>1456360.74</v>
      </c>
      <c r="H6" s="79">
        <v>1855163.3814000001</v>
      </c>
      <c r="L6" s="28" t="str">
        <v>N_00870</v>
      </c>
      <c r="M6" s="28" t="str">
        <f>_xlfn.XLOOKUP($L:$L,'Vendor Invoices'!$B:$B,'Vendor Invoices'!C:C)</f>
        <v>FinanceGenius</v>
      </c>
      <c r="N6" s="78">
        <f>_xlfn.XLOOKUP($L:$L,'Vendor Invoices'!$B:$B,'Vendor Invoices'!E:E)</f>
        <v>45283</v>
      </c>
      <c r="O6" s="78" t="str">
        <f>_xlfn.XLOOKUP($L:$L,'Vendor Invoices'!$B:$B,'Vendor Invoices'!F:F)</f>
        <v>Marketing</v>
      </c>
      <c r="Q6" s="79">
        <f>SUMIFS('Vendor Invoices'!$M:$M,'Vendor Invoices'!$B:$B,'Payment Sheet'!L6)</f>
        <v>113971</v>
      </c>
      <c r="R6" s="79">
        <f>SUMIFS('Vendor Invoices'!$N:$N,'Vendor Invoices'!$B:$B,'Payment Sheet'!L6)</f>
        <v>820.59120000000007</v>
      </c>
      <c r="S6" s="79">
        <f>SUMIFS('Vendor Invoices'!O:O,'Vendor Invoices'!B:B,'Payment Sheet'!L:L)</f>
        <v>114791.5912</v>
      </c>
    </row>
    <row r="7" spans="1:23" x14ac:dyDescent="0.25">
      <c r="B7" s="10" t="s">
        <v>35</v>
      </c>
      <c r="C7" s="28" t="str">
        <v>FinancialFocus@FinancialFocus.com</v>
      </c>
      <c r="D7" s="28" t="str">
        <v>2822-008-83261</v>
      </c>
      <c r="F7" s="79">
        <v>406489</v>
      </c>
      <c r="G7" s="79">
        <v>8848.2330000000002</v>
      </c>
      <c r="H7" s="79">
        <v>415337.23300000001</v>
      </c>
      <c r="L7" s="28" t="str">
        <v>N_19590</v>
      </c>
      <c r="M7" s="28" t="str">
        <f>_xlfn.XLOOKUP($L:$L,'Vendor Invoices'!$B:$B,'Vendor Invoices'!C:C)</f>
        <v>TechGenie</v>
      </c>
      <c r="N7" s="78">
        <f>_xlfn.XLOOKUP($L:$L,'Vendor Invoices'!$B:$B,'Vendor Invoices'!E:E)</f>
        <v>45278</v>
      </c>
      <c r="O7" s="78" t="str">
        <f>_xlfn.XLOOKUP($L:$L,'Vendor Invoices'!$B:$B,'Vendor Invoices'!F:F)</f>
        <v>Tech</v>
      </c>
      <c r="Q7" s="79">
        <f>SUMIFS('Vendor Invoices'!$M:$M,'Vendor Invoices'!$B:$B,'Payment Sheet'!L7)</f>
        <v>63544</v>
      </c>
      <c r="R7" s="79">
        <f>SUMIFS('Vendor Invoices'!$N:$N,'Vendor Invoices'!$B:$B,'Payment Sheet'!L7)</f>
        <v>803.83159999999987</v>
      </c>
      <c r="S7" s="79">
        <f>SUMIFS('Vendor Invoices'!O:O,'Vendor Invoices'!B:B,'Payment Sheet'!L:L)</f>
        <v>64347.831599999998</v>
      </c>
    </row>
    <row r="8" spans="1:23" x14ac:dyDescent="0.25">
      <c r="B8" s="10" t="s">
        <v>36</v>
      </c>
      <c r="C8" s="28" t="str">
        <v>DesignCrafters@DesignCrafters.com</v>
      </c>
      <c r="D8" s="28" t="str">
        <v>5185-002-60841</v>
      </c>
      <c r="F8" s="79">
        <v>391268.31000000006</v>
      </c>
      <c r="G8" s="79">
        <v>155715.02720000004</v>
      </c>
      <c r="H8" s="79">
        <v>546983.33719999995</v>
      </c>
      <c r="L8" s="28" t="str">
        <v>N_70198</v>
      </c>
      <c r="M8" s="28" t="str">
        <f>_xlfn.XLOOKUP($L:$L,'Vendor Invoices'!$B:$B,'Vendor Invoices'!C:C)</f>
        <v>TechGenie</v>
      </c>
      <c r="N8" s="78">
        <f>_xlfn.XLOOKUP($L:$L,'Vendor Invoices'!$B:$B,'Vendor Invoices'!E:E)</f>
        <v>44967</v>
      </c>
      <c r="O8" s="78" t="str">
        <f>_xlfn.XLOOKUP($L:$L,'Vendor Invoices'!$B:$B,'Vendor Invoices'!F:F)</f>
        <v>Marketing</v>
      </c>
      <c r="Q8" s="79">
        <f>SUMIFS('Vendor Invoices'!$M:$M,'Vendor Invoices'!$B:$B,'Payment Sheet'!L8)</f>
        <v>9921.8999999999942</v>
      </c>
      <c r="R8" s="79">
        <f>SUMIFS('Vendor Invoices'!$N:$N,'Vendor Invoices'!$B:$B,'Payment Sheet'!L8)</f>
        <v>18226.530299999999</v>
      </c>
      <c r="S8" s="79">
        <f>SUMIFS('Vendor Invoices'!O:O,'Vendor Invoices'!B:B,'Payment Sheet'!L:L)</f>
        <v>28148.430299999993</v>
      </c>
    </row>
    <row r="9" spans="1:23" x14ac:dyDescent="0.25">
      <c r="B9" s="10" t="s">
        <v>37</v>
      </c>
      <c r="C9" s="28" t="str">
        <v>MarketingPros@MarketingPros.com</v>
      </c>
      <c r="D9" s="28" t="str">
        <v>3419-996-41210</v>
      </c>
      <c r="F9" s="79">
        <v>311974.8</v>
      </c>
      <c r="G9" s="79">
        <v>35729.815000000002</v>
      </c>
      <c r="H9" s="79">
        <v>347704.61499999999</v>
      </c>
      <c r="L9" s="28" t="str">
        <v>N_03842</v>
      </c>
      <c r="M9" s="28" t="str">
        <f>_xlfn.XLOOKUP($L:$L,'Vendor Invoices'!$B:$B,'Vendor Invoices'!C:C)</f>
        <v>MarketEdge</v>
      </c>
      <c r="N9" s="78">
        <f>_xlfn.XLOOKUP($L:$L,'Vendor Invoices'!$B:$B,'Vendor Invoices'!E:E)</f>
        <v>45264</v>
      </c>
      <c r="O9" s="78" t="str">
        <f>_xlfn.XLOOKUP($L:$L,'Vendor Invoices'!$B:$B,'Vendor Invoices'!F:F)</f>
        <v>Finance</v>
      </c>
      <c r="Q9" s="79">
        <f>SUMIFS('Vendor Invoices'!$M:$M,'Vendor Invoices'!$B:$B,'Payment Sheet'!L9)</f>
        <v>50056</v>
      </c>
      <c r="R9" s="79">
        <f>SUMIFS('Vendor Invoices'!$N:$N,'Vendor Invoices'!$B:$B,'Payment Sheet'!L9)</f>
        <v>1018.6395999999999</v>
      </c>
      <c r="S9" s="79">
        <f>SUMIFS('Vendor Invoices'!O:O,'Vendor Invoices'!B:B,'Payment Sheet'!L:L)</f>
        <v>51074.639600000002</v>
      </c>
    </row>
    <row r="10" spans="1:23" x14ac:dyDescent="0.25">
      <c r="B10" s="10" t="s">
        <v>38</v>
      </c>
      <c r="C10" s="28" t="str">
        <v>LogisticsMasters@LogisticsMasters.com</v>
      </c>
      <c r="D10" s="28" t="str">
        <v>3040-283-24545</v>
      </c>
      <c r="F10" s="79">
        <v>438122.04369899997</v>
      </c>
      <c r="G10" s="79">
        <v>3641.3139499999997</v>
      </c>
      <c r="H10" s="79">
        <v>441763.35764900001</v>
      </c>
      <c r="L10" s="28" t="str">
        <v>N_85503</v>
      </c>
      <c r="M10" s="28" t="str">
        <f>_xlfn.XLOOKUP($L:$L,'Vendor Invoices'!$B:$B,'Vendor Invoices'!C:C)</f>
        <v>TechGenie</v>
      </c>
      <c r="N10" s="78">
        <f>_xlfn.XLOOKUP($L:$L,'Vendor Invoices'!$B:$B,'Vendor Invoices'!E:E)</f>
        <v>45071</v>
      </c>
      <c r="O10" s="78" t="str">
        <f>_xlfn.XLOOKUP($L:$L,'Vendor Invoices'!$B:$B,'Vendor Invoices'!F:F)</f>
        <v>Tech</v>
      </c>
      <c r="Q10" s="79">
        <f>SUMIFS('Vendor Invoices'!$M:$M,'Vendor Invoices'!$B:$B,'Payment Sheet'!L10)</f>
        <v>8280.5399999999936</v>
      </c>
      <c r="R10" s="79">
        <f>SUMIFS('Vendor Invoices'!$N:$N,'Vendor Invoices'!$B:$B,'Payment Sheet'!L10)</f>
        <v>11638.758999999998</v>
      </c>
      <c r="S10" s="79">
        <f>SUMIFS('Vendor Invoices'!O:O,'Vendor Invoices'!B:B,'Payment Sheet'!L:L)</f>
        <v>19919.298999999992</v>
      </c>
    </row>
    <row r="11" spans="1:23" x14ac:dyDescent="0.25">
      <c r="B11" s="10" t="s">
        <v>39</v>
      </c>
      <c r="C11" s="28" t="str">
        <v>MarketEdge@MarketEdge.com</v>
      </c>
      <c r="D11" s="28" t="str">
        <v>9227-881-75628</v>
      </c>
      <c r="F11" s="79">
        <v>326056.64</v>
      </c>
      <c r="G11" s="79">
        <v>34514.104349999994</v>
      </c>
      <c r="H11" s="79">
        <v>360570.74434999999</v>
      </c>
      <c r="L11" s="28" t="str">
        <v>N_84412</v>
      </c>
      <c r="M11" s="28" t="str">
        <f>_xlfn.XLOOKUP($L:$L,'Vendor Invoices'!$B:$B,'Vendor Invoices'!C:C)</f>
        <v>OperationsExperts</v>
      </c>
      <c r="N11" s="78">
        <f>_xlfn.XLOOKUP($L:$L,'Vendor Invoices'!$B:$B,'Vendor Invoices'!E:E)</f>
        <v>45222</v>
      </c>
      <c r="O11" s="78" t="str">
        <f>_xlfn.XLOOKUP($L:$L,'Vendor Invoices'!$B:$B,'Vendor Invoices'!F:F)</f>
        <v>Marketing</v>
      </c>
      <c r="Q11" s="79">
        <f>SUMIFS('Vendor Invoices'!$M:$M,'Vendor Invoices'!$B:$B,'Payment Sheet'!L11)</f>
        <v>73302</v>
      </c>
      <c r="R11" s="79">
        <f>SUMIFS('Vendor Invoices'!$N:$N,'Vendor Invoices'!$B:$B,'Payment Sheet'!L11)</f>
        <v>1737.2574000000002</v>
      </c>
      <c r="S11" s="79">
        <f>SUMIFS('Vendor Invoices'!O:O,'Vendor Invoices'!B:B,'Payment Sheet'!L:L)</f>
        <v>75039.257400000002</v>
      </c>
    </row>
    <row r="12" spans="1:23" x14ac:dyDescent="0.25">
      <c r="B12" s="10" t="s">
        <v>40</v>
      </c>
      <c r="C12" s="28" t="str">
        <v>FinanceGenius@FinanceGenius.com</v>
      </c>
      <c r="D12" s="28" t="str">
        <v>7245-061-72686</v>
      </c>
      <c r="F12" s="79">
        <v>370880.81999999995</v>
      </c>
      <c r="G12" s="79">
        <v>32088.922000000002</v>
      </c>
      <c r="H12" s="79">
        <v>402969.74199999997</v>
      </c>
      <c r="L12" s="28" t="str">
        <v>N_56941</v>
      </c>
      <c r="M12" s="28" t="str">
        <f>_xlfn.XLOOKUP($L:$L,'Vendor Invoices'!$B:$B,'Vendor Invoices'!C:C)</f>
        <v>DataWorks</v>
      </c>
      <c r="N12" s="78">
        <f>_xlfn.XLOOKUP($L:$L,'Vendor Invoices'!$B:$B,'Vendor Invoices'!E:E)</f>
        <v>45112</v>
      </c>
      <c r="O12" s="78" t="str">
        <f>_xlfn.XLOOKUP($L:$L,'Vendor Invoices'!$B:$B,'Vendor Invoices'!F:F)</f>
        <v>Operations</v>
      </c>
      <c r="Q12" s="79">
        <f>SUMIFS('Vendor Invoices'!$M:$M,'Vendor Invoices'!$B:$B,'Payment Sheet'!L12)</f>
        <v>4846.6000000000058</v>
      </c>
      <c r="R12" s="79">
        <f>SUMIFS('Vendor Invoices'!$N:$N,'Vendor Invoices'!$B:$B,'Payment Sheet'!L12)</f>
        <v>12824.1036</v>
      </c>
      <c r="S12" s="79">
        <f>SUMIFS('Vendor Invoices'!O:O,'Vendor Invoices'!B:B,'Payment Sheet'!L:L)</f>
        <v>17670.703600000008</v>
      </c>
    </row>
    <row r="13" spans="1:23" x14ac:dyDescent="0.25">
      <c r="B13" s="10" t="s">
        <v>41</v>
      </c>
      <c r="C13" s="28" t="str">
        <v>TechGenie@TechGenie.com</v>
      </c>
      <c r="D13" s="28" t="str">
        <v>1482-834-38944</v>
      </c>
      <c r="F13" s="79">
        <v>531680.16123600001</v>
      </c>
      <c r="G13" s="79">
        <v>75923.506999999998</v>
      </c>
      <c r="H13" s="79">
        <v>607603.66823599988</v>
      </c>
      <c r="L13" s="28" t="str">
        <v>N_49825</v>
      </c>
      <c r="M13" s="28" t="str">
        <f>_xlfn.XLOOKUP($L:$L,'Vendor Invoices'!$B:$B,'Vendor Invoices'!C:C)</f>
        <v>TechSolutions</v>
      </c>
      <c r="N13" s="78">
        <f>_xlfn.XLOOKUP($L:$L,'Vendor Invoices'!$B:$B,'Vendor Invoices'!E:E)</f>
        <v>45289</v>
      </c>
      <c r="O13" s="78" t="str">
        <f>_xlfn.XLOOKUP($L:$L,'Vendor Invoices'!$B:$B,'Vendor Invoices'!F:F)</f>
        <v>Finance</v>
      </c>
      <c r="Q13" s="79">
        <f>SUMIFS('Vendor Invoices'!$M:$M,'Vendor Invoices'!$B:$B,'Payment Sheet'!L13)</f>
        <v>78141</v>
      </c>
      <c r="R13" s="79">
        <f>SUMIFS('Vendor Invoices'!$N:$N,'Vendor Invoices'!$B:$B,'Payment Sheet'!L13)</f>
        <v>18753.84</v>
      </c>
      <c r="S13" s="79">
        <f>SUMIFS('Vendor Invoices'!O:O,'Vendor Invoices'!B:B,'Payment Sheet'!L:L)</f>
        <v>96894.84</v>
      </c>
    </row>
    <row r="14" spans="1:23" x14ac:dyDescent="0.25">
      <c r="B14" s="10" t="s">
        <v>42</v>
      </c>
      <c r="C14" s="28" t="str">
        <v>OperationsExperts@OperationsExperts.com</v>
      </c>
      <c r="D14" s="28" t="str">
        <v>5215-256-22385</v>
      </c>
      <c r="F14" s="79">
        <v>526497.6</v>
      </c>
      <c r="G14" s="79">
        <v>15078.841800000002</v>
      </c>
      <c r="H14" s="79">
        <v>541576.44180000003</v>
      </c>
      <c r="L14" s="28" t="str">
        <v>N_18739</v>
      </c>
      <c r="M14" s="28" t="str">
        <f>_xlfn.XLOOKUP($L:$L,'Vendor Invoices'!$B:$B,'Vendor Invoices'!C:C)</f>
        <v>DataWorks</v>
      </c>
      <c r="N14" s="78">
        <f>_xlfn.XLOOKUP($L:$L,'Vendor Invoices'!$B:$B,'Vendor Invoices'!E:E)</f>
        <v>45243</v>
      </c>
      <c r="O14" s="78" t="str">
        <f>_xlfn.XLOOKUP($L:$L,'Vendor Invoices'!$B:$B,'Vendor Invoices'!F:F)</f>
        <v>Tech</v>
      </c>
      <c r="Q14" s="79">
        <f>SUMIFS('Vendor Invoices'!$M:$M,'Vendor Invoices'!$B:$B,'Payment Sheet'!L14)</f>
        <v>39480</v>
      </c>
      <c r="R14" s="79">
        <f>SUMIFS('Vendor Invoices'!$N:$N,'Vendor Invoices'!$B:$B,'Payment Sheet'!L14)</f>
        <v>1602.8879999999999</v>
      </c>
      <c r="S14" s="79">
        <f>SUMIFS('Vendor Invoices'!O:O,'Vendor Invoices'!B:B,'Payment Sheet'!L:L)</f>
        <v>41082.887999999999</v>
      </c>
    </row>
    <row r="15" spans="1:23" x14ac:dyDescent="0.25">
      <c r="I15" s="1" t="s">
        <v>461</v>
      </c>
      <c r="L15" s="28" t="str">
        <v>N_74649</v>
      </c>
      <c r="M15" s="28" t="str">
        <f>_xlfn.XLOOKUP($L:$L,'Vendor Invoices'!$B:$B,'Vendor Invoices'!C:C)</f>
        <v>DesignCrafters</v>
      </c>
      <c r="N15" s="78">
        <f>_xlfn.XLOOKUP($L:$L,'Vendor Invoices'!$B:$B,'Vendor Invoices'!E:E)</f>
        <v>44967</v>
      </c>
      <c r="O15" s="78" t="str">
        <f>_xlfn.XLOOKUP($L:$L,'Vendor Invoices'!$B:$B,'Vendor Invoices'!F:F)</f>
        <v>Marketing</v>
      </c>
      <c r="Q15" s="79">
        <f>SUMIFS('Vendor Invoices'!$M:$M,'Vendor Invoices'!$B:$B,'Payment Sheet'!L15)</f>
        <v>5143.5</v>
      </c>
      <c r="R15" s="79">
        <f>SUMIFS('Vendor Invoices'!$N:$N,'Vendor Invoices'!$B:$B,'Payment Sheet'!L15)</f>
        <v>22905.72</v>
      </c>
      <c r="S15" s="79">
        <f>SUMIFS('Vendor Invoices'!O:O,'Vendor Invoices'!B:B,'Payment Sheet'!L:L)</f>
        <v>28049.22</v>
      </c>
    </row>
    <row r="16" spans="1:23" x14ac:dyDescent="0.25">
      <c r="L16" s="28" t="str">
        <v>N_16133</v>
      </c>
      <c r="M16" s="28" t="str">
        <f>_xlfn.XLOOKUP($L:$L,'Vendor Invoices'!$B:$B,'Vendor Invoices'!C:C)</f>
        <v>DesignCrafters</v>
      </c>
      <c r="N16" s="78">
        <f>_xlfn.XLOOKUP($L:$L,'Vendor Invoices'!$B:$B,'Vendor Invoices'!E:E)</f>
        <v>45230</v>
      </c>
      <c r="O16" s="78" t="str">
        <f>_xlfn.XLOOKUP($L:$L,'Vendor Invoices'!$B:$B,'Vendor Invoices'!F:F)</f>
        <v>Operations</v>
      </c>
      <c r="Q16" s="79">
        <f>SUMIFS('Vendor Invoices'!$M:$M,'Vendor Invoices'!$B:$B,'Payment Sheet'!L16)</f>
        <v>80391</v>
      </c>
      <c r="R16" s="79">
        <f>SUMIFS('Vendor Invoices'!$N:$N,'Vendor Invoices'!$B:$B,'Payment Sheet'!L16)</f>
        <v>4566.2088000000003</v>
      </c>
      <c r="S16" s="79">
        <f>SUMIFS('Vendor Invoices'!O:O,'Vendor Invoices'!B:B,'Payment Sheet'!L:L)</f>
        <v>84957.208799999993</v>
      </c>
    </row>
    <row r="17" spans="12:19" x14ac:dyDescent="0.25">
      <c r="L17" s="28" t="str">
        <v>N_51733</v>
      </c>
      <c r="M17" s="28" t="str">
        <f>_xlfn.XLOOKUP($L:$L,'Vendor Invoices'!$B:$B,'Vendor Invoices'!C:C)</f>
        <v>FinancialFocus</v>
      </c>
      <c r="N17" s="78">
        <f>_xlfn.XLOOKUP($L:$L,'Vendor Invoices'!$B:$B,'Vendor Invoices'!E:E)</f>
        <v>45285</v>
      </c>
      <c r="O17" s="78" t="str">
        <f>_xlfn.XLOOKUP($L:$L,'Vendor Invoices'!$B:$B,'Vendor Invoices'!F:F)</f>
        <v>Finance</v>
      </c>
      <c r="Q17" s="79">
        <f>SUMIFS('Vendor Invoices'!$M:$M,'Vendor Invoices'!$B:$B,'Payment Sheet'!L17)</f>
        <v>64117</v>
      </c>
      <c r="R17" s="79">
        <f>SUMIFS('Vendor Invoices'!$N:$N,'Vendor Invoices'!$B:$B,'Payment Sheet'!L17)</f>
        <v>461.64240000000007</v>
      </c>
      <c r="S17" s="79">
        <f>SUMIFS('Vendor Invoices'!O:O,'Vendor Invoices'!B:B,'Payment Sheet'!L:L)</f>
        <v>64578.642399999997</v>
      </c>
    </row>
    <row r="18" spans="12:19" x14ac:dyDescent="0.25">
      <c r="L18" s="28" t="str">
        <v>N_23618</v>
      </c>
      <c r="M18" s="28" t="str">
        <f>_xlfn.XLOOKUP($L:$L,'Vendor Invoices'!$B:$B,'Vendor Invoices'!C:C)</f>
        <v>OperationsExperts</v>
      </c>
      <c r="N18" s="78">
        <f>_xlfn.XLOOKUP($L:$L,'Vendor Invoices'!$B:$B,'Vendor Invoices'!E:E)</f>
        <v>45071</v>
      </c>
      <c r="O18" s="78" t="str">
        <f>_xlfn.XLOOKUP($L:$L,'Vendor Invoices'!$B:$B,'Vendor Invoices'!F:F)</f>
        <v>Tech</v>
      </c>
      <c r="Q18" s="79">
        <f>SUMIFS('Vendor Invoices'!$M:$M,'Vendor Invoices'!$B:$B,'Payment Sheet'!L18)</f>
        <v>3201.6000000000058</v>
      </c>
      <c r="R18" s="79">
        <f>SUMIFS('Vendor Invoices'!$N:$N,'Vendor Invoices'!$B:$B,'Payment Sheet'!L18)</f>
        <v>4418.2080000000005</v>
      </c>
      <c r="S18" s="79">
        <f>SUMIFS('Vendor Invoices'!O:O,'Vendor Invoices'!B:B,'Payment Sheet'!L:L)</f>
        <v>7619.8080000000064</v>
      </c>
    </row>
    <row r="19" spans="12:19" x14ac:dyDescent="0.25">
      <c r="L19" s="28" t="str">
        <v>N_70141</v>
      </c>
      <c r="M19" s="28" t="str">
        <f>_xlfn.XLOOKUP($L:$L,'Vendor Invoices'!$B:$B,'Vendor Invoices'!C:C)</f>
        <v>DesignCrafters</v>
      </c>
      <c r="N19" s="78">
        <f>_xlfn.XLOOKUP($L:$L,'Vendor Invoices'!$B:$B,'Vendor Invoices'!E:E)</f>
        <v>45107</v>
      </c>
      <c r="O19" s="78" t="str">
        <f>_xlfn.XLOOKUP($L:$L,'Vendor Invoices'!$B:$B,'Vendor Invoices'!F:F)</f>
        <v>Marketing</v>
      </c>
      <c r="Q19" s="79">
        <f>SUMIFS('Vendor Invoices'!$M:$M,'Vendor Invoices'!$B:$B,'Payment Sheet'!L19)</f>
        <v>4608.5500000000029</v>
      </c>
      <c r="R19" s="79">
        <f>SUMIFS('Vendor Invoices'!$N:$N,'Vendor Invoices'!$B:$B,'Payment Sheet'!L19)</f>
        <v>14304.939200000001</v>
      </c>
      <c r="S19" s="79">
        <f>SUMIFS('Vendor Invoices'!O:O,'Vendor Invoices'!B:B,'Payment Sheet'!L:L)</f>
        <v>18913.489200000004</v>
      </c>
    </row>
    <row r="20" spans="12:19" x14ac:dyDescent="0.25">
      <c r="L20" s="28" t="str">
        <v>N_24502</v>
      </c>
      <c r="M20" s="28" t="str">
        <f>_xlfn.XLOOKUP($L:$L,'Vendor Invoices'!$B:$B,'Vendor Invoices'!C:C)</f>
        <v>DataWorks</v>
      </c>
      <c r="N20" s="78">
        <f>_xlfn.XLOOKUP($L:$L,'Vendor Invoices'!$B:$B,'Vendor Invoices'!E:E)</f>
        <v>45112</v>
      </c>
      <c r="O20" s="78" t="str">
        <f>_xlfn.XLOOKUP($L:$L,'Vendor Invoices'!$B:$B,'Vendor Invoices'!F:F)</f>
        <v>Operations</v>
      </c>
      <c r="Q20" s="79">
        <f>SUMIFS('Vendor Invoices'!$M:$M,'Vendor Invoices'!$B:$B,'Payment Sheet'!L20)</f>
        <v>10086.699999999997</v>
      </c>
      <c r="R20" s="79">
        <f>SUMIFS('Vendor Invoices'!$N:$N,'Vendor Invoices'!$B:$B,'Payment Sheet'!L20)</f>
        <v>13344.704100000001</v>
      </c>
      <c r="S20" s="79">
        <f>SUMIFS('Vendor Invoices'!O:O,'Vendor Invoices'!B:B,'Payment Sheet'!L:L)</f>
        <v>23431.4041</v>
      </c>
    </row>
    <row r="21" spans="12:19" x14ac:dyDescent="0.25">
      <c r="L21" s="28" t="str">
        <v>N_83257</v>
      </c>
      <c r="M21" s="28" t="str">
        <f>_xlfn.XLOOKUP($L:$L,'Vendor Invoices'!$B:$B,'Vendor Invoices'!C:C)</f>
        <v>LogisticsMasters</v>
      </c>
      <c r="N21" s="78">
        <f>_xlfn.XLOOKUP($L:$L,'Vendor Invoices'!$B:$B,'Vendor Invoices'!E:E)</f>
        <v>45204</v>
      </c>
      <c r="O21" s="78" t="str">
        <f>_xlfn.XLOOKUP($L:$L,'Vendor Invoices'!$B:$B,'Vendor Invoices'!F:F)</f>
        <v>Finance</v>
      </c>
      <c r="Q21" s="79">
        <f>SUMIFS('Vendor Invoices'!$M:$M,'Vendor Invoices'!$B:$B,'Payment Sheet'!L21)</f>
        <v>38574</v>
      </c>
      <c r="R21" s="79">
        <f>SUMIFS('Vendor Invoices'!$N:$N,'Vendor Invoices'!$B:$B,'Payment Sheet'!L21)</f>
        <v>187.0839</v>
      </c>
      <c r="S21" s="79">
        <f>SUMIFS('Vendor Invoices'!O:O,'Vendor Invoices'!B:B,'Payment Sheet'!L:L)</f>
        <v>38761.083899999998</v>
      </c>
    </row>
    <row r="22" spans="12:19" x14ac:dyDescent="0.25">
      <c r="L22" s="28" t="str">
        <v>N_65930</v>
      </c>
      <c r="M22" s="28" t="str">
        <f>_xlfn.XLOOKUP($L:$L,'Vendor Invoices'!$B:$B,'Vendor Invoices'!C:C)</f>
        <v>OperationsExperts</v>
      </c>
      <c r="N22" s="78">
        <f>_xlfn.XLOOKUP($L:$L,'Vendor Invoices'!$B:$B,'Vendor Invoices'!E:E)</f>
        <v>45230</v>
      </c>
      <c r="O22" s="78" t="str">
        <f>_xlfn.XLOOKUP($L:$L,'Vendor Invoices'!$B:$B,'Vendor Invoices'!F:F)</f>
        <v>Tech</v>
      </c>
      <c r="Q22" s="79">
        <f>SUMIFS('Vendor Invoices'!$M:$M,'Vendor Invoices'!$B:$B,'Payment Sheet'!L22)</f>
        <v>113547</v>
      </c>
      <c r="R22" s="79">
        <f>SUMIFS('Vendor Invoices'!$N:$N,'Vendor Invoices'!$B:$B,'Payment Sheet'!L22)</f>
        <v>2418.5511000000001</v>
      </c>
      <c r="S22" s="79">
        <f>SUMIFS('Vendor Invoices'!O:O,'Vendor Invoices'!B:B,'Payment Sheet'!L:L)</f>
        <v>115965.5511</v>
      </c>
    </row>
    <row r="23" spans="12:19" x14ac:dyDescent="0.25">
      <c r="L23" s="28" t="str">
        <v>N_95352</v>
      </c>
      <c r="M23" s="28" t="str">
        <f>_xlfn.XLOOKUP($L:$L,'Vendor Invoices'!$B:$B,'Vendor Invoices'!C:C)</f>
        <v>TechGenie</v>
      </c>
      <c r="N23" s="78">
        <f>_xlfn.XLOOKUP($L:$L,'Vendor Invoices'!$B:$B,'Vendor Invoices'!E:E)</f>
        <v>45236</v>
      </c>
      <c r="O23" s="78" t="str">
        <f>_xlfn.XLOOKUP($L:$L,'Vendor Invoices'!$B:$B,'Vendor Invoices'!F:F)</f>
        <v>Tech</v>
      </c>
      <c r="Q23" s="79">
        <f>SUMIFS('Vendor Invoices'!$M:$M,'Vendor Invoices'!$B:$B,'Payment Sheet'!L23)</f>
        <v>43575</v>
      </c>
      <c r="R23" s="79">
        <f>SUMIFS('Vendor Invoices'!$N:$N,'Vendor Invoices'!$B:$B,'Payment Sheet'!L23)</f>
        <v>1557.8062499999999</v>
      </c>
      <c r="S23" s="79">
        <f>SUMIFS('Vendor Invoices'!O:O,'Vendor Invoices'!B:B,'Payment Sheet'!L:L)</f>
        <v>45132.806250000001</v>
      </c>
    </row>
    <row r="24" spans="12:19" x14ac:dyDescent="0.25">
      <c r="L24" s="28" t="str">
        <v>N_97477</v>
      </c>
      <c r="M24" s="28" t="str">
        <f>_xlfn.XLOOKUP($L:$L,'Vendor Invoices'!$B:$B,'Vendor Invoices'!C:C)</f>
        <v>LogisticsMasters</v>
      </c>
      <c r="N24" s="78">
        <f>_xlfn.XLOOKUP($L:$L,'Vendor Invoices'!$B:$B,'Vendor Invoices'!E:E)</f>
        <v>44967</v>
      </c>
      <c r="O24" s="78" t="str">
        <f>_xlfn.XLOOKUP($L:$L,'Vendor Invoices'!$B:$B,'Vendor Invoices'!F:F)</f>
        <v>Marketing</v>
      </c>
      <c r="Q24" s="79">
        <f>SUMIFS('Vendor Invoices'!$M:$M,'Vendor Invoices'!$B:$B,'Payment Sheet'!L24)</f>
        <v>2978.738824</v>
      </c>
      <c r="R24" s="79">
        <f>SUMIFS('Vendor Invoices'!$N:$N,'Vendor Invoices'!$B:$B,'Payment Sheet'!L24)</f>
        <v>557.22889999999995</v>
      </c>
      <c r="S24" s="79">
        <f>SUMIFS('Vendor Invoices'!O:O,'Vendor Invoices'!B:B,'Payment Sheet'!L:L)</f>
        <v>3535.9677240000001</v>
      </c>
    </row>
    <row r="25" spans="12:19" x14ac:dyDescent="0.25">
      <c r="L25" s="28" t="str">
        <v>N_57788</v>
      </c>
      <c r="M25" s="28" t="str">
        <f>_xlfn.XLOOKUP($L:$L,'Vendor Invoices'!$B:$B,'Vendor Invoices'!C:C)</f>
        <v>LogisticsMasters</v>
      </c>
      <c r="N25" s="78">
        <f>_xlfn.XLOOKUP($L:$L,'Vendor Invoices'!$B:$B,'Vendor Invoices'!E:E)</f>
        <v>45071</v>
      </c>
      <c r="O25" s="78" t="str">
        <f>_xlfn.XLOOKUP($L:$L,'Vendor Invoices'!$B:$B,'Vendor Invoices'!F:F)</f>
        <v>Tech</v>
      </c>
      <c r="Q25" s="79">
        <f>SUMIFS('Vendor Invoices'!$M:$M,'Vendor Invoices'!$B:$B,'Payment Sheet'!L25)</f>
        <v>4508.3400000000111</v>
      </c>
      <c r="R25" s="79">
        <f>SUMIFS('Vendor Invoices'!$N:$N,'Vendor Invoices'!$B:$B,'Payment Sheet'!L25)</f>
        <v>864.09849999999994</v>
      </c>
      <c r="S25" s="79">
        <f>SUMIFS('Vendor Invoices'!O:O,'Vendor Invoices'!B:B,'Payment Sheet'!L:L)</f>
        <v>5372.4385000000111</v>
      </c>
    </row>
    <row r="26" spans="12:19" x14ac:dyDescent="0.25">
      <c r="L26" s="28" t="str">
        <v>N_86412</v>
      </c>
      <c r="M26" s="28" t="str">
        <f>_xlfn.XLOOKUP($L:$L,'Vendor Invoices'!$B:$B,'Vendor Invoices'!C:C)</f>
        <v>DesignCrafters</v>
      </c>
      <c r="N26" s="78">
        <f>_xlfn.XLOOKUP($L:$L,'Vendor Invoices'!$B:$B,'Vendor Invoices'!E:E)</f>
        <v>45247</v>
      </c>
      <c r="O26" s="78" t="str">
        <f>_xlfn.XLOOKUP($L:$L,'Vendor Invoices'!$B:$B,'Vendor Invoices'!F:F)</f>
        <v>Operations</v>
      </c>
      <c r="Q26" s="79">
        <f>SUMIFS('Vendor Invoices'!$M:$M,'Vendor Invoices'!$B:$B,'Payment Sheet'!L26)</f>
        <v>72236</v>
      </c>
      <c r="R26" s="79">
        <f>SUMIFS('Vendor Invoices'!$N:$N,'Vendor Invoices'!$B:$B,'Payment Sheet'!L26)</f>
        <v>3120.5952000000002</v>
      </c>
      <c r="S26" s="79">
        <f>SUMIFS('Vendor Invoices'!O:O,'Vendor Invoices'!B:B,'Payment Sheet'!L:L)</f>
        <v>75356.595199999996</v>
      </c>
    </row>
    <row r="27" spans="12:19" x14ac:dyDescent="0.25">
      <c r="L27" s="28" t="str">
        <v>N_30813</v>
      </c>
      <c r="M27" s="28" t="str">
        <f>_xlfn.XLOOKUP($L:$L,'Vendor Invoices'!$B:$B,'Vendor Invoices'!C:C)</f>
        <v>MarketingPros</v>
      </c>
      <c r="N27" s="78">
        <f>_xlfn.XLOOKUP($L:$L,'Vendor Invoices'!$B:$B,'Vendor Invoices'!E:E)</f>
        <v>45184</v>
      </c>
      <c r="O27" s="78" t="str">
        <f>_xlfn.XLOOKUP($L:$L,'Vendor Invoices'!$B:$B,'Vendor Invoices'!F:F)</f>
        <v>Tech</v>
      </c>
      <c r="Q27" s="79">
        <f>SUMIFS('Vendor Invoices'!$M:$M,'Vendor Invoices'!$B:$B,'Payment Sheet'!L27)</f>
        <v>3240.1599999999962</v>
      </c>
      <c r="R27" s="79">
        <f>SUMIFS('Vendor Invoices'!$N:$N,'Vendor Invoices'!$B:$B,'Payment Sheet'!L27)</f>
        <v>2978.6327999999994</v>
      </c>
      <c r="S27" s="79">
        <f>SUMIFS('Vendor Invoices'!O:O,'Vendor Invoices'!B:B,'Payment Sheet'!L:L)</f>
        <v>6218.7927999999956</v>
      </c>
    </row>
    <row r="28" spans="12:19" x14ac:dyDescent="0.25">
      <c r="L28" s="28" t="str">
        <v>N_75458</v>
      </c>
      <c r="M28" s="28" t="str">
        <f>_xlfn.XLOOKUP($L:$L,'Vendor Invoices'!$B:$B,'Vendor Invoices'!C:C)</f>
        <v>MarketEdge</v>
      </c>
      <c r="N28" s="78">
        <f>_xlfn.XLOOKUP($L:$L,'Vendor Invoices'!$B:$B,'Vendor Invoices'!E:E)</f>
        <v>45242</v>
      </c>
      <c r="O28" s="78" t="str">
        <f>_xlfn.XLOOKUP($L:$L,'Vendor Invoices'!$B:$B,'Vendor Invoices'!F:F)</f>
        <v>Operations</v>
      </c>
      <c r="Q28" s="79">
        <f>SUMIFS('Vendor Invoices'!$M:$M,'Vendor Invoices'!$B:$B,'Payment Sheet'!L28)</f>
        <v>105881</v>
      </c>
      <c r="R28" s="79">
        <f>SUMIFS('Vendor Invoices'!$N:$N,'Vendor Invoices'!$B:$B,'Payment Sheet'!L28)</f>
        <v>3435.8384499999993</v>
      </c>
      <c r="S28" s="79">
        <f>SUMIFS('Vendor Invoices'!O:O,'Vendor Invoices'!B:B,'Payment Sheet'!L:L)</f>
        <v>109316.83845</v>
      </c>
    </row>
    <row r="29" spans="12:19" x14ac:dyDescent="0.25">
      <c r="L29" s="28" t="str">
        <v>N_78575</v>
      </c>
      <c r="M29" s="28" t="str">
        <f>_xlfn.XLOOKUP($L:$L,'Vendor Invoices'!$B:$B,'Vendor Invoices'!C:C)</f>
        <v>TechGenie</v>
      </c>
      <c r="N29" s="78">
        <f>_xlfn.XLOOKUP($L:$L,'Vendor Invoices'!$B:$B,'Vendor Invoices'!E:E)</f>
        <v>45247</v>
      </c>
      <c r="O29" s="78" t="str">
        <f>_xlfn.XLOOKUP($L:$L,'Vendor Invoices'!$B:$B,'Vendor Invoices'!F:F)</f>
        <v>Finance</v>
      </c>
      <c r="Q29" s="79">
        <f>SUMIFS('Vendor Invoices'!$M:$M,'Vendor Invoices'!$B:$B,'Payment Sheet'!L29)</f>
        <v>61284</v>
      </c>
      <c r="R29" s="79">
        <f>SUMIFS('Vendor Invoices'!$N:$N,'Vendor Invoices'!$B:$B,'Payment Sheet'!L29)</f>
        <v>1820.1347999999998</v>
      </c>
      <c r="S29" s="79">
        <f>SUMIFS('Vendor Invoices'!O:O,'Vendor Invoices'!B:B,'Payment Sheet'!L:L)</f>
        <v>63104.1348</v>
      </c>
    </row>
    <row r="30" spans="12:19" x14ac:dyDescent="0.25">
      <c r="L30" s="28" t="str">
        <v>N_70020</v>
      </c>
      <c r="M30" s="28" t="str">
        <f>_xlfn.XLOOKUP($L:$L,'Vendor Invoices'!$B:$B,'Vendor Invoices'!C:C)</f>
        <v>DataWorks</v>
      </c>
      <c r="N30" s="78">
        <f>_xlfn.XLOOKUP($L:$L,'Vendor Invoices'!$B:$B,'Vendor Invoices'!E:E)</f>
        <v>45272</v>
      </c>
      <c r="O30" s="78" t="str">
        <f>_xlfn.XLOOKUP($L:$L,'Vendor Invoices'!$B:$B,'Vendor Invoices'!F:F)</f>
        <v>Tech</v>
      </c>
      <c r="Q30" s="79">
        <f>SUMIFS('Vendor Invoices'!$M:$M,'Vendor Invoices'!$B:$B,'Payment Sheet'!L30)</f>
        <v>50432</v>
      </c>
      <c r="R30" s="79">
        <f>SUMIFS('Vendor Invoices'!$N:$N,'Vendor Invoices'!$B:$B,'Payment Sheet'!L30)</f>
        <v>1023.7696</v>
      </c>
      <c r="S30" s="79">
        <f>SUMIFS('Vendor Invoices'!O:O,'Vendor Invoices'!B:B,'Payment Sheet'!L:L)</f>
        <v>51455.7696</v>
      </c>
    </row>
    <row r="31" spans="12:19" x14ac:dyDescent="0.25">
      <c r="L31" s="28" t="str">
        <v>N_37813</v>
      </c>
      <c r="M31" s="28" t="str">
        <f>_xlfn.XLOOKUP($L:$L,'Vendor Invoices'!$B:$B,'Vendor Invoices'!C:C)</f>
        <v>TechSolutions</v>
      </c>
      <c r="N31" s="78">
        <f>_xlfn.XLOOKUP($L:$L,'Vendor Invoices'!$B:$B,'Vendor Invoices'!E:E)</f>
        <v>45000</v>
      </c>
      <c r="O31" s="78" t="str">
        <f>_xlfn.XLOOKUP($L:$L,'Vendor Invoices'!$B:$B,'Vendor Invoices'!F:F)</f>
        <v>Operations</v>
      </c>
      <c r="Q31" s="79">
        <f>SUMIFS('Vendor Invoices'!$M:$M,'Vendor Invoices'!$B:$B,'Payment Sheet'!L31)</f>
        <v>6256.6699999999983</v>
      </c>
      <c r="R31" s="79">
        <f>SUMIFS('Vendor Invoices'!$N:$N,'Vendor Invoices'!$B:$B,'Payment Sheet'!L31)</f>
        <v>538073.62</v>
      </c>
      <c r="S31" s="79">
        <f>SUMIFS('Vendor Invoices'!O:O,'Vendor Invoices'!B:B,'Payment Sheet'!L:L)</f>
        <v>544330.29</v>
      </c>
    </row>
    <row r="32" spans="12:19" x14ac:dyDescent="0.25">
      <c r="L32" s="28" t="str">
        <v>N_05176</v>
      </c>
      <c r="M32" s="28" t="str">
        <f>_xlfn.XLOOKUP($L:$L,'Vendor Invoices'!$B:$B,'Vendor Invoices'!C:C)</f>
        <v>MarketingPros</v>
      </c>
      <c r="N32" s="78">
        <f>_xlfn.XLOOKUP($L:$L,'Vendor Invoices'!$B:$B,'Vendor Invoices'!E:E)</f>
        <v>45036</v>
      </c>
      <c r="O32" s="78" t="str">
        <f>_xlfn.XLOOKUP($L:$L,'Vendor Invoices'!$B:$B,'Vendor Invoices'!F:F)</f>
        <v>Finance</v>
      </c>
      <c r="Q32" s="79">
        <f>SUMIFS('Vendor Invoices'!$M:$M,'Vendor Invoices'!$B:$B,'Payment Sheet'!L32)</f>
        <v>4233.1200000000099</v>
      </c>
      <c r="R32" s="79">
        <f>SUMIFS('Vendor Invoices'!$N:$N,'Vendor Invoices'!$B:$B,'Payment Sheet'!L32)</f>
        <v>10282.954</v>
      </c>
      <c r="S32" s="79">
        <f>SUMIFS('Vendor Invoices'!O:O,'Vendor Invoices'!B:B,'Payment Sheet'!L:L)</f>
        <v>14516.07400000001</v>
      </c>
    </row>
    <row r="33" spans="12:19" x14ac:dyDescent="0.25">
      <c r="L33" s="28" t="str">
        <v>N_21582</v>
      </c>
      <c r="M33" s="28" t="str">
        <f>_xlfn.XLOOKUP($L:$L,'Vendor Invoices'!$B:$B,'Vendor Invoices'!C:C)</f>
        <v>FinanceGenius</v>
      </c>
      <c r="N33" s="78">
        <f>_xlfn.XLOOKUP($L:$L,'Vendor Invoices'!$B:$B,'Vendor Invoices'!E:E)</f>
        <v>45288</v>
      </c>
      <c r="O33" s="78" t="str">
        <f>_xlfn.XLOOKUP($L:$L,'Vendor Invoices'!$B:$B,'Vendor Invoices'!F:F)</f>
        <v>Marketing</v>
      </c>
      <c r="Q33" s="79">
        <f>SUMIFS('Vendor Invoices'!$M:$M,'Vendor Invoices'!$B:$B,'Payment Sheet'!L33)</f>
        <v>92185</v>
      </c>
      <c r="R33" s="79">
        <f>SUMIFS('Vendor Invoices'!$N:$N,'Vendor Invoices'!$B:$B,'Payment Sheet'!L33)</f>
        <v>479.36200000000008</v>
      </c>
      <c r="S33" s="79">
        <f>SUMIFS('Vendor Invoices'!O:O,'Vendor Invoices'!B:B,'Payment Sheet'!L:L)</f>
        <v>92664.361999999994</v>
      </c>
    </row>
    <row r="34" spans="12:19" x14ac:dyDescent="0.25">
      <c r="L34" s="28" t="str">
        <v>N_42561</v>
      </c>
      <c r="M34" s="28" t="str">
        <f>_xlfn.XLOOKUP($L:$L,'Vendor Invoices'!$B:$B,'Vendor Invoices'!C:C)</f>
        <v>OperationsExperts</v>
      </c>
      <c r="N34" s="78">
        <f>_xlfn.XLOOKUP($L:$L,'Vendor Invoices'!$B:$B,'Vendor Invoices'!E:E)</f>
        <v>45184</v>
      </c>
      <c r="O34" s="78" t="str">
        <f>_xlfn.XLOOKUP($L:$L,'Vendor Invoices'!$B:$B,'Vendor Invoices'!F:F)</f>
        <v>Tech</v>
      </c>
      <c r="Q34" s="79">
        <f>SUMIFS('Vendor Invoices'!$M:$M,'Vendor Invoices'!$B:$B,'Payment Sheet'!L34)</f>
        <v>4742</v>
      </c>
      <c r="R34" s="79">
        <f>SUMIFS('Vendor Invoices'!$N:$N,'Vendor Invoices'!$B:$B,'Payment Sheet'!L34)</f>
        <v>2080.5525000000002</v>
      </c>
      <c r="S34" s="79">
        <f>SUMIFS('Vendor Invoices'!O:O,'Vendor Invoices'!B:B,'Payment Sheet'!L:L)</f>
        <v>6822.5524999999998</v>
      </c>
    </row>
    <row r="35" spans="12:19" x14ac:dyDescent="0.25">
      <c r="L35" s="28" t="str">
        <v>N_42336</v>
      </c>
      <c r="M35" s="28" t="str">
        <f>_xlfn.XLOOKUP($L:$L,'Vendor Invoices'!$B:$B,'Vendor Invoices'!C:C)</f>
        <v>OperationsExperts</v>
      </c>
      <c r="N35" s="78">
        <f>_xlfn.XLOOKUP($L:$L,'Vendor Invoices'!$B:$B,'Vendor Invoices'!E:E)</f>
        <v>45257</v>
      </c>
      <c r="O35" s="78" t="str">
        <f>_xlfn.XLOOKUP($L:$L,'Vendor Invoices'!$B:$B,'Vendor Invoices'!F:F)</f>
        <v>Marketing</v>
      </c>
      <c r="Q35" s="79">
        <f>SUMIFS('Vendor Invoices'!$M:$M,'Vendor Invoices'!$B:$B,'Payment Sheet'!L35)</f>
        <v>116697</v>
      </c>
      <c r="R35" s="79">
        <f>SUMIFS('Vendor Invoices'!$N:$N,'Vendor Invoices'!$B:$B,'Payment Sheet'!L35)</f>
        <v>1540.4004000000002</v>
      </c>
      <c r="S35" s="79">
        <f>SUMIFS('Vendor Invoices'!O:O,'Vendor Invoices'!B:B,'Payment Sheet'!L:L)</f>
        <v>118237.4004</v>
      </c>
    </row>
    <row r="36" spans="12:19" x14ac:dyDescent="0.25">
      <c r="L36" s="28" t="str">
        <v>N_40332</v>
      </c>
      <c r="M36" s="28" t="str">
        <f>_xlfn.XLOOKUP($L:$L,'Vendor Invoices'!$B:$B,'Vendor Invoices'!C:C)</f>
        <v>LogisticsMasters</v>
      </c>
      <c r="N36" s="78">
        <f>_xlfn.XLOOKUP($L:$L,'Vendor Invoices'!$B:$B,'Vendor Invoices'!E:E)</f>
        <v>45290</v>
      </c>
      <c r="O36" s="78" t="str">
        <f>_xlfn.XLOOKUP($L:$L,'Vendor Invoices'!$B:$B,'Vendor Invoices'!F:F)</f>
        <v>Finance</v>
      </c>
      <c r="Q36" s="79">
        <f>SUMIFS('Vendor Invoices'!$M:$M,'Vendor Invoices'!$B:$B,'Payment Sheet'!L36)</f>
        <v>5302.1699999999983</v>
      </c>
      <c r="R36" s="79">
        <f>SUMIFS('Vendor Invoices'!$N:$N,'Vendor Invoices'!$B:$B,'Payment Sheet'!L36)</f>
        <v>32.402149999999999</v>
      </c>
      <c r="S36" s="79">
        <f>SUMIFS('Vendor Invoices'!O:O,'Vendor Invoices'!B:B,'Payment Sheet'!L:L)</f>
        <v>5334.5721499999981</v>
      </c>
    </row>
    <row r="37" spans="12:19" x14ac:dyDescent="0.25">
      <c r="L37" s="28" t="str">
        <v>N_85919</v>
      </c>
      <c r="M37" s="28" t="str">
        <f>_xlfn.XLOOKUP($L:$L,'Vendor Invoices'!$B:$B,'Vendor Invoices'!C:C)</f>
        <v>TechSolutions</v>
      </c>
      <c r="N37" s="78">
        <f>_xlfn.XLOOKUP($L:$L,'Vendor Invoices'!$B:$B,'Vendor Invoices'!E:E)</f>
        <v>45202</v>
      </c>
      <c r="O37" s="78" t="str">
        <f>_xlfn.XLOOKUP($L:$L,'Vendor Invoices'!$B:$B,'Vendor Invoices'!F:F)</f>
        <v>Finance</v>
      </c>
      <c r="Q37" s="79">
        <f>SUMIFS('Vendor Invoices'!$M:$M,'Vendor Invoices'!$B:$B,'Payment Sheet'!L37)</f>
        <v>56051</v>
      </c>
      <c r="R37" s="79">
        <f>SUMIFS('Vendor Invoices'!$N:$N,'Vendor Invoices'!$B:$B,'Payment Sheet'!L37)</f>
        <v>110980.98</v>
      </c>
      <c r="S37" s="79">
        <f>SUMIFS('Vendor Invoices'!O:O,'Vendor Invoices'!B:B,'Payment Sheet'!L:L)</f>
        <v>167031.97999999998</v>
      </c>
    </row>
    <row r="38" spans="12:19" x14ac:dyDescent="0.25">
      <c r="L38" s="28" t="str">
        <v>N_90073</v>
      </c>
      <c r="M38" s="28" t="str">
        <f>_xlfn.XLOOKUP($L:$L,'Vendor Invoices'!$B:$B,'Vendor Invoices'!C:C)</f>
        <v>FinanceGenius</v>
      </c>
      <c r="N38" s="78">
        <f>_xlfn.XLOOKUP($L:$L,'Vendor Invoices'!$B:$B,'Vendor Invoices'!E:E)</f>
        <v>45271</v>
      </c>
      <c r="O38" s="78" t="str">
        <f>_xlfn.XLOOKUP($L:$L,'Vendor Invoices'!$B:$B,'Vendor Invoices'!F:F)</f>
        <v>Tech</v>
      </c>
      <c r="Q38" s="79">
        <f>SUMIFS('Vendor Invoices'!$M:$M,'Vendor Invoices'!$B:$B,'Payment Sheet'!L38)</f>
        <v>37548</v>
      </c>
      <c r="R38" s="79">
        <f>SUMIFS('Vendor Invoices'!$N:$N,'Vendor Invoices'!$B:$B,'Payment Sheet'!L38)</f>
        <v>450.57600000000002</v>
      </c>
      <c r="S38" s="79">
        <f>SUMIFS('Vendor Invoices'!O:O,'Vendor Invoices'!B:B,'Payment Sheet'!L:L)</f>
        <v>37998.576000000001</v>
      </c>
    </row>
    <row r="39" spans="12:19" x14ac:dyDescent="0.25">
      <c r="L39" s="28" t="str">
        <v>N_68367</v>
      </c>
      <c r="M39" s="28" t="str">
        <f>_xlfn.XLOOKUP($L:$L,'Vendor Invoices'!$B:$B,'Vendor Invoices'!C:C)</f>
        <v>TechGenie</v>
      </c>
      <c r="N39" s="78">
        <f>_xlfn.XLOOKUP($L:$L,'Vendor Invoices'!$B:$B,'Vendor Invoices'!E:E)</f>
        <v>45112</v>
      </c>
      <c r="O39" s="78" t="str">
        <f>_xlfn.XLOOKUP($L:$L,'Vendor Invoices'!$B:$B,'Vendor Invoices'!F:F)</f>
        <v>Operations</v>
      </c>
      <c r="Q39" s="79">
        <f>SUMIFS('Vendor Invoices'!$M:$M,'Vendor Invoices'!$B:$B,'Payment Sheet'!L39)</f>
        <v>6786.2899999999936</v>
      </c>
      <c r="R39" s="79">
        <f>SUMIFS('Vendor Invoices'!$N:$N,'Vendor Invoices'!$B:$B,'Payment Sheet'!L39)</f>
        <v>10077.640649999999</v>
      </c>
      <c r="S39" s="79">
        <f>SUMIFS('Vendor Invoices'!O:O,'Vendor Invoices'!B:B,'Payment Sheet'!L:L)</f>
        <v>16863.930649999995</v>
      </c>
    </row>
    <row r="40" spans="12:19" x14ac:dyDescent="0.25">
      <c r="L40" s="28" t="str">
        <v>N_17229</v>
      </c>
      <c r="M40" s="28" t="str">
        <f>_xlfn.XLOOKUP($L:$L,'Vendor Invoices'!$B:$B,'Vendor Invoices'!C:C)</f>
        <v>LogisticsMasters</v>
      </c>
      <c r="N40" s="78">
        <f>_xlfn.XLOOKUP($L:$L,'Vendor Invoices'!$B:$B,'Vendor Invoices'!E:E)</f>
        <v>45255</v>
      </c>
      <c r="O40" s="78" t="str">
        <f>_xlfn.XLOOKUP($L:$L,'Vendor Invoices'!$B:$B,'Vendor Invoices'!F:F)</f>
        <v>Operations</v>
      </c>
      <c r="Q40" s="79">
        <f>SUMIFS('Vendor Invoices'!$M:$M,'Vendor Invoices'!$B:$B,'Payment Sheet'!L40)</f>
        <v>4570.3000000000029</v>
      </c>
      <c r="R40" s="79">
        <f>SUMIFS('Vendor Invoices'!$N:$N,'Vendor Invoices'!$B:$B,'Payment Sheet'!L40)</f>
        <v>210.2338</v>
      </c>
      <c r="S40" s="79">
        <f>SUMIFS('Vendor Invoices'!O:O,'Vendor Invoices'!B:B,'Payment Sheet'!L:L)</f>
        <v>4780.5338000000029</v>
      </c>
    </row>
    <row r="41" spans="12:19" x14ac:dyDescent="0.25">
      <c r="L41" s="28" t="str">
        <v>N_42371</v>
      </c>
      <c r="M41" s="28" t="str">
        <f>_xlfn.XLOOKUP($L:$L,'Vendor Invoices'!$B:$B,'Vendor Invoices'!C:C)</f>
        <v>DesignCrafters</v>
      </c>
      <c r="N41" s="78">
        <f>_xlfn.XLOOKUP($L:$L,'Vendor Invoices'!$B:$B,'Vendor Invoices'!E:E)</f>
        <v>44931</v>
      </c>
      <c r="O41" s="78" t="str">
        <f>_xlfn.XLOOKUP($L:$L,'Vendor Invoices'!$B:$B,'Vendor Invoices'!F:F)</f>
        <v>Tech</v>
      </c>
      <c r="Q41" s="79">
        <f>SUMIFS('Vendor Invoices'!$M:$M,'Vendor Invoices'!$B:$B,'Payment Sheet'!L41)</f>
        <v>10179.809999999998</v>
      </c>
      <c r="R41" s="79">
        <f>SUMIFS('Vendor Invoices'!$N:$N,'Vendor Invoices'!$B:$B,'Payment Sheet'!L41)</f>
        <v>33480.264000000003</v>
      </c>
      <c r="S41" s="79">
        <f>SUMIFS('Vendor Invoices'!O:O,'Vendor Invoices'!B:B,'Payment Sheet'!L:L)</f>
        <v>43660.074000000001</v>
      </c>
    </row>
    <row r="42" spans="12:19" x14ac:dyDescent="0.25">
      <c r="L42" s="28" t="str">
        <v>N_60430</v>
      </c>
      <c r="M42" s="28" t="str">
        <f>_xlfn.XLOOKUP($L:$L,'Vendor Invoices'!$B:$B,'Vendor Invoices'!C:C)</f>
        <v>DesignCrafters</v>
      </c>
      <c r="N42" s="78">
        <f>_xlfn.XLOOKUP($L:$L,'Vendor Invoices'!$B:$B,'Vendor Invoices'!E:E)</f>
        <v>45218</v>
      </c>
      <c r="O42" s="78" t="str">
        <f>_xlfn.XLOOKUP($L:$L,'Vendor Invoices'!$B:$B,'Vendor Invoices'!F:F)</f>
        <v>Marketing</v>
      </c>
      <c r="Q42" s="79">
        <f>SUMIFS('Vendor Invoices'!$M:$M,'Vendor Invoices'!$B:$B,'Payment Sheet'!L42)</f>
        <v>75520</v>
      </c>
      <c r="R42" s="79">
        <f>SUMIFS('Vendor Invoices'!$N:$N,'Vendor Invoices'!$B:$B,'Payment Sheet'!L42)</f>
        <v>5014.5280000000002</v>
      </c>
      <c r="S42" s="79">
        <f>SUMIFS('Vendor Invoices'!O:O,'Vendor Invoices'!B:B,'Payment Sheet'!L:L)</f>
        <v>80534.528000000006</v>
      </c>
    </row>
    <row r="43" spans="12:19" x14ac:dyDescent="0.25">
      <c r="L43" s="28" t="str">
        <v>N_50598</v>
      </c>
      <c r="M43" s="28" t="str">
        <f>_xlfn.XLOOKUP($L:$L,'Vendor Invoices'!$B:$B,'Vendor Invoices'!C:C)</f>
        <v>FinancialFocus</v>
      </c>
      <c r="N43" s="78">
        <f>_xlfn.XLOOKUP($L:$L,'Vendor Invoices'!$B:$B,'Vendor Invoices'!E:E)</f>
        <v>45226</v>
      </c>
      <c r="O43" s="78" t="str">
        <f>_xlfn.XLOOKUP($L:$L,'Vendor Invoices'!$B:$B,'Vendor Invoices'!F:F)</f>
        <v>Operations</v>
      </c>
      <c r="Q43" s="79">
        <f>SUMIFS('Vendor Invoices'!$M:$M,'Vendor Invoices'!$B:$B,'Payment Sheet'!L43)</f>
        <v>31328</v>
      </c>
      <c r="R43" s="79">
        <f>SUMIFS('Vendor Invoices'!$N:$N,'Vendor Invoices'!$B:$B,'Payment Sheet'!L43)</f>
        <v>1057.3200000000002</v>
      </c>
      <c r="S43" s="79">
        <f>SUMIFS('Vendor Invoices'!O:O,'Vendor Invoices'!B:B,'Payment Sheet'!L:L)</f>
        <v>32385.32</v>
      </c>
    </row>
    <row r="44" spans="12:19" x14ac:dyDescent="0.25">
      <c r="L44" s="28" t="str">
        <v>N_88682</v>
      </c>
      <c r="M44" s="28" t="str">
        <f>_xlfn.XLOOKUP($L:$L,'Vendor Invoices'!$B:$B,'Vendor Invoices'!C:C)</f>
        <v>LogisticsMasters</v>
      </c>
      <c r="N44" s="78">
        <f>_xlfn.XLOOKUP($L:$L,'Vendor Invoices'!$B:$B,'Vendor Invoices'!E:E)</f>
        <v>45214</v>
      </c>
      <c r="O44" s="78" t="str">
        <f>_xlfn.XLOOKUP($L:$L,'Vendor Invoices'!$B:$B,'Vendor Invoices'!F:F)</f>
        <v>Operations</v>
      </c>
      <c r="Q44" s="79">
        <f>SUMIFS('Vendor Invoices'!$M:$M,'Vendor Invoices'!$B:$B,'Payment Sheet'!L44)</f>
        <v>95360</v>
      </c>
      <c r="R44" s="79">
        <f>SUMIFS('Vendor Invoices'!$N:$N,'Vendor Invoices'!$B:$B,'Payment Sheet'!L44)</f>
        <v>414.81600000000003</v>
      </c>
      <c r="S44" s="79">
        <f>SUMIFS('Vendor Invoices'!O:O,'Vendor Invoices'!B:B,'Payment Sheet'!L:L)</f>
        <v>95774.816000000006</v>
      </c>
    </row>
    <row r="45" spans="12:19" x14ac:dyDescent="0.25">
      <c r="L45" s="28" t="str">
        <v>N_56294</v>
      </c>
      <c r="M45" s="28" t="str">
        <f>_xlfn.XLOOKUP($L:$L,'Vendor Invoices'!$B:$B,'Vendor Invoices'!C:C)</f>
        <v>FinancialFocus</v>
      </c>
      <c r="N45" s="78">
        <f>_xlfn.XLOOKUP($L:$L,'Vendor Invoices'!$B:$B,'Vendor Invoices'!E:E)</f>
        <v>45283</v>
      </c>
      <c r="O45" s="78" t="str">
        <f>_xlfn.XLOOKUP($L:$L,'Vendor Invoices'!$B:$B,'Vendor Invoices'!F:F)</f>
        <v>Tech</v>
      </c>
      <c r="Q45" s="79">
        <f>SUMIFS('Vendor Invoices'!$M:$M,'Vendor Invoices'!$B:$B,'Payment Sheet'!L45)</f>
        <v>84198</v>
      </c>
      <c r="R45" s="79">
        <f>SUMIFS('Vendor Invoices'!$N:$N,'Vendor Invoices'!$B:$B,'Payment Sheet'!L45)</f>
        <v>682.00380000000007</v>
      </c>
      <c r="S45" s="79">
        <f>SUMIFS('Vendor Invoices'!O:O,'Vendor Invoices'!B:B,'Payment Sheet'!L:L)</f>
        <v>84880.003800000006</v>
      </c>
    </row>
    <row r="46" spans="12:19" x14ac:dyDescent="0.25">
      <c r="L46" s="28" t="str">
        <v>N_36260</v>
      </c>
      <c r="M46" s="28" t="str">
        <f>_xlfn.XLOOKUP($L:$L,'Vendor Invoices'!$B:$B,'Vendor Invoices'!C:C)</f>
        <v>TechGenie</v>
      </c>
      <c r="N46" s="78">
        <f>_xlfn.XLOOKUP($L:$L,'Vendor Invoices'!$B:$B,'Vendor Invoices'!E:E)</f>
        <v>45245</v>
      </c>
      <c r="O46" s="78" t="str">
        <f>_xlfn.XLOOKUP($L:$L,'Vendor Invoices'!$B:$B,'Vendor Invoices'!F:F)</f>
        <v>Marketing</v>
      </c>
      <c r="Q46" s="79">
        <f>SUMIFS('Vendor Invoices'!$M:$M,'Vendor Invoices'!$B:$B,'Payment Sheet'!L46)</f>
        <v>47617</v>
      </c>
      <c r="R46" s="79">
        <f>SUMIFS('Vendor Invoices'!$N:$N,'Vendor Invoices'!$B:$B,'Payment Sheet'!L46)</f>
        <v>1466.6035999999997</v>
      </c>
      <c r="S46" s="79">
        <f>SUMIFS('Vendor Invoices'!O:O,'Vendor Invoices'!B:B,'Payment Sheet'!L:L)</f>
        <v>49083.603600000002</v>
      </c>
    </row>
    <row r="47" spans="12:19" x14ac:dyDescent="0.25">
      <c r="L47" s="28" t="str">
        <v>N_12086</v>
      </c>
      <c r="M47" s="28" t="str">
        <f>_xlfn.XLOOKUP($L:$L,'Vendor Invoices'!$B:$B,'Vendor Invoices'!C:C)</f>
        <v>MarketEdge</v>
      </c>
      <c r="N47" s="78">
        <f>_xlfn.XLOOKUP($L:$L,'Vendor Invoices'!$B:$B,'Vendor Invoices'!E:E)</f>
        <v>45289</v>
      </c>
      <c r="O47" s="78" t="str">
        <f>_xlfn.XLOOKUP($L:$L,'Vendor Invoices'!$B:$B,'Vendor Invoices'!F:F)</f>
        <v>Operations</v>
      </c>
      <c r="Q47" s="79">
        <f>SUMIFS('Vendor Invoices'!$M:$M,'Vendor Invoices'!$B:$B,'Payment Sheet'!L47)</f>
        <v>80545</v>
      </c>
      <c r="R47" s="79">
        <f>SUMIFS('Vendor Invoices'!$N:$N,'Vendor Invoices'!$B:$B,'Payment Sheet'!L47)</f>
        <v>531.59699999999998</v>
      </c>
      <c r="S47" s="79">
        <f>SUMIFS('Vendor Invoices'!O:O,'Vendor Invoices'!B:B,'Payment Sheet'!L:L)</f>
        <v>81076.596999999994</v>
      </c>
    </row>
    <row r="48" spans="12:19" x14ac:dyDescent="0.25">
      <c r="L48" s="28" t="str">
        <v>N_50944</v>
      </c>
      <c r="M48" s="28" t="str">
        <f>_xlfn.XLOOKUP($L:$L,'Vendor Invoices'!$B:$B,'Vendor Invoices'!C:C)</f>
        <v>OperationsExperts</v>
      </c>
      <c r="N48" s="78">
        <f>_xlfn.XLOOKUP($L:$L,'Vendor Invoices'!$B:$B,'Vendor Invoices'!E:E)</f>
        <v>45245</v>
      </c>
      <c r="O48" s="78" t="str">
        <f>_xlfn.XLOOKUP($L:$L,'Vendor Invoices'!$B:$B,'Vendor Invoices'!F:F)</f>
        <v>Tech</v>
      </c>
      <c r="Q48" s="79">
        <f>SUMIFS('Vendor Invoices'!$M:$M,'Vendor Invoices'!$B:$B,'Payment Sheet'!L48)</f>
        <v>95968</v>
      </c>
      <c r="R48" s="79">
        <f>SUMIFS('Vendor Invoices'!$N:$N,'Vendor Invoices'!$B:$B,'Payment Sheet'!L48)</f>
        <v>1612.2624000000003</v>
      </c>
      <c r="S48" s="79">
        <f>SUMIFS('Vendor Invoices'!O:O,'Vendor Invoices'!B:B,'Payment Sheet'!L:L)</f>
        <v>97580.262400000007</v>
      </c>
    </row>
    <row r="49" spans="12:19" x14ac:dyDescent="0.25">
      <c r="L49" s="28" t="str">
        <v>N_55799</v>
      </c>
      <c r="M49" s="28" t="str">
        <f>_xlfn.XLOOKUP($L:$L,'Vendor Invoices'!$B:$B,'Vendor Invoices'!C:C)</f>
        <v>FinanceGenius</v>
      </c>
      <c r="N49" s="78">
        <f>_xlfn.XLOOKUP($L:$L,'Vendor Invoices'!$B:$B,'Vendor Invoices'!E:E)</f>
        <v>44941</v>
      </c>
      <c r="O49" s="78" t="str">
        <f>_xlfn.XLOOKUP($L:$L,'Vendor Invoices'!$B:$B,'Vendor Invoices'!F:F)</f>
        <v>Operations</v>
      </c>
      <c r="Q49" s="79">
        <f>SUMIFS('Vendor Invoices'!$M:$M,'Vendor Invoices'!$B:$B,'Payment Sheet'!L49)</f>
        <v>6656.7899999999936</v>
      </c>
      <c r="R49" s="79">
        <f>SUMIFS('Vendor Invoices'!$N:$N,'Vendor Invoices'!$B:$B,'Payment Sheet'!L49)</f>
        <v>13693.968000000001</v>
      </c>
      <c r="S49" s="79">
        <f>SUMIFS('Vendor Invoices'!O:O,'Vendor Invoices'!B:B,'Payment Sheet'!L:L)</f>
        <v>20350.757999999994</v>
      </c>
    </row>
    <row r="50" spans="12:19" x14ac:dyDescent="0.25">
      <c r="L50" s="28" t="str">
        <v>N_24334</v>
      </c>
      <c r="M50" s="28" t="str">
        <f>_xlfn.XLOOKUP($L:$L,'Vendor Invoices'!$B:$B,'Vendor Invoices'!C:C)</f>
        <v>TechGenie</v>
      </c>
      <c r="N50" s="78">
        <f>_xlfn.XLOOKUP($L:$L,'Vendor Invoices'!$B:$B,'Vendor Invoices'!E:E)</f>
        <v>45251</v>
      </c>
      <c r="O50" s="78" t="str">
        <f>_xlfn.XLOOKUP($L:$L,'Vendor Invoices'!$B:$B,'Vendor Invoices'!F:F)</f>
        <v>Finance</v>
      </c>
      <c r="Q50" s="79">
        <f>SUMIFS('Vendor Invoices'!$M:$M,'Vendor Invoices'!$B:$B,'Payment Sheet'!L50)</f>
        <v>78019</v>
      </c>
      <c r="R50" s="79">
        <f>SUMIFS('Vendor Invoices'!$N:$N,'Vendor Invoices'!$B:$B,'Payment Sheet'!L50)</f>
        <v>2145.5224999999996</v>
      </c>
      <c r="S50" s="79">
        <f>SUMIFS('Vendor Invoices'!O:O,'Vendor Invoices'!B:B,'Payment Sheet'!L:L)</f>
        <v>80164.522500000006</v>
      </c>
    </row>
    <row r="51" spans="12:19" x14ac:dyDescent="0.25">
      <c r="L51" s="28" t="str">
        <v>N_43061</v>
      </c>
      <c r="M51" s="28" t="str">
        <f>_xlfn.XLOOKUP($L:$L,'Vendor Invoices'!$B:$B,'Vendor Invoices'!C:C)</f>
        <v>LogisticsMasters</v>
      </c>
      <c r="N51" s="78">
        <f>_xlfn.XLOOKUP($L:$L,'Vendor Invoices'!$B:$B,'Vendor Invoices'!E:E)</f>
        <v>45250</v>
      </c>
      <c r="O51" s="78" t="str">
        <f>_xlfn.XLOOKUP($L:$L,'Vendor Invoices'!$B:$B,'Vendor Invoices'!F:F)</f>
        <v>Tech</v>
      </c>
      <c r="Q51" s="79">
        <f>SUMIFS('Vendor Invoices'!$M:$M,'Vendor Invoices'!$B:$B,'Payment Sheet'!L51)</f>
        <v>6914.6699999999983</v>
      </c>
      <c r="R51" s="79">
        <f>SUMIFS('Vendor Invoices'!$N:$N,'Vendor Invoices'!$B:$B,'Payment Sheet'!L51)</f>
        <v>251.89155000000002</v>
      </c>
      <c r="S51" s="79">
        <f>SUMIFS('Vendor Invoices'!O:O,'Vendor Invoices'!B:B,'Payment Sheet'!L:L)</f>
        <v>7166.5615499999985</v>
      </c>
    </row>
    <row r="52" spans="12:19" x14ac:dyDescent="0.25">
      <c r="L52" s="28" t="str">
        <v>N_15424</v>
      </c>
      <c r="M52" s="28" t="str">
        <f>_xlfn.XLOOKUP($L:$L,'Vendor Invoices'!$B:$B,'Vendor Invoices'!C:C)</f>
        <v>LogisticsMasters</v>
      </c>
      <c r="N52" s="78">
        <f>_xlfn.XLOOKUP($L:$L,'Vendor Invoices'!$B:$B,'Vendor Invoices'!E:E)</f>
        <v>45219</v>
      </c>
      <c r="O52" s="78" t="str">
        <f>_xlfn.XLOOKUP($L:$L,'Vendor Invoices'!$B:$B,'Vendor Invoices'!F:F)</f>
        <v>Marketing</v>
      </c>
      <c r="Q52" s="79">
        <f>SUMIFS('Vendor Invoices'!$M:$M,'Vendor Invoices'!$B:$B,'Payment Sheet'!L52)</f>
        <v>3188.8248749999984</v>
      </c>
      <c r="R52" s="79">
        <f>SUMIFS('Vendor Invoices'!$N:$N,'Vendor Invoices'!$B:$B,'Payment Sheet'!L52)</f>
        <v>264.245</v>
      </c>
      <c r="S52" s="79">
        <f>SUMIFS('Vendor Invoices'!O:O,'Vendor Invoices'!B:B,'Payment Sheet'!L:L)</f>
        <v>3453.0698749999983</v>
      </c>
    </row>
    <row r="53" spans="12:19" x14ac:dyDescent="0.25">
      <c r="L53" s="28" t="str">
        <v>N_45351</v>
      </c>
      <c r="M53" s="28" t="str">
        <f>_xlfn.XLOOKUP($L:$L,'Vendor Invoices'!$B:$B,'Vendor Invoices'!C:C)</f>
        <v>MarketingPros</v>
      </c>
      <c r="N53" s="78">
        <f>_xlfn.XLOOKUP($L:$L,'Vendor Invoices'!$B:$B,'Vendor Invoices'!E:E)</f>
        <v>45053</v>
      </c>
      <c r="O53" s="78" t="str">
        <f>_xlfn.XLOOKUP($L:$L,'Vendor Invoices'!$B:$B,'Vendor Invoices'!F:F)</f>
        <v>Tech</v>
      </c>
      <c r="Q53" s="79">
        <f>SUMIFS('Vendor Invoices'!$M:$M,'Vendor Invoices'!$B:$B,'Payment Sheet'!L53)</f>
        <v>7153</v>
      </c>
      <c r="R53" s="79">
        <f>SUMIFS('Vendor Invoices'!$N:$N,'Vendor Invoices'!$B:$B,'Payment Sheet'!L53)</f>
        <v>9756.6919999999991</v>
      </c>
      <c r="S53" s="79">
        <f>SUMIFS('Vendor Invoices'!O:O,'Vendor Invoices'!B:B,'Payment Sheet'!L:L)</f>
        <v>16909.691999999999</v>
      </c>
    </row>
    <row r="54" spans="12:19" x14ac:dyDescent="0.25">
      <c r="L54" s="28" t="str">
        <v>N_08599</v>
      </c>
      <c r="M54" s="28" t="str">
        <f>_xlfn.XLOOKUP($L:$L,'Vendor Invoices'!$B:$B,'Vendor Invoices'!C:C)</f>
        <v>FinancialFocus</v>
      </c>
      <c r="N54" s="78">
        <f>_xlfn.XLOOKUP($L:$L,'Vendor Invoices'!$B:$B,'Vendor Invoices'!E:E)</f>
        <v>45266</v>
      </c>
      <c r="O54" s="78" t="str">
        <f>_xlfn.XLOOKUP($L:$L,'Vendor Invoices'!$B:$B,'Vendor Invoices'!F:F)</f>
        <v>Finance</v>
      </c>
      <c r="Q54" s="79">
        <f>SUMIFS('Vendor Invoices'!$M:$M,'Vendor Invoices'!$B:$B,'Payment Sheet'!L54)</f>
        <v>60629</v>
      </c>
      <c r="R54" s="79">
        <f>SUMIFS('Vendor Invoices'!$N:$N,'Vendor Invoices'!$B:$B,'Payment Sheet'!L54)</f>
        <v>954.90674999999999</v>
      </c>
      <c r="S54" s="79">
        <f>SUMIFS('Vendor Invoices'!O:O,'Vendor Invoices'!B:B,'Payment Sheet'!L:L)</f>
        <v>61583.906750000002</v>
      </c>
    </row>
    <row r="55" spans="12:19" x14ac:dyDescent="0.25">
      <c r="L55" s="28" t="str">
        <v>N_97240</v>
      </c>
      <c r="M55" s="28" t="str">
        <f>_xlfn.XLOOKUP($L:$L,'Vendor Invoices'!$B:$B,'Vendor Invoices'!C:C)</f>
        <v>TechSolutions</v>
      </c>
      <c r="N55" s="78">
        <f>_xlfn.XLOOKUP($L:$L,'Vendor Invoices'!$B:$B,'Vendor Invoices'!E:E)</f>
        <v>45008</v>
      </c>
      <c r="O55" s="78" t="str">
        <f>_xlfn.XLOOKUP($L:$L,'Vendor Invoices'!$B:$B,'Vendor Invoices'!F:F)</f>
        <v>Marketing</v>
      </c>
      <c r="Q55" s="79">
        <f>SUMIFS('Vendor Invoices'!$M:$M,'Vendor Invoices'!$B:$B,'Payment Sheet'!L55)</f>
        <v>-661.53059999999823</v>
      </c>
      <c r="R55" s="79">
        <f>SUMIFS('Vendor Invoices'!$N:$N,'Vendor Invoices'!$B:$B,'Payment Sheet'!L55)</f>
        <v>297055.12</v>
      </c>
      <c r="S55" s="79">
        <f>SUMIFS('Vendor Invoices'!O:O,'Vendor Invoices'!B:B,'Payment Sheet'!L:L)</f>
        <v>296393.5894</v>
      </c>
    </row>
    <row r="56" spans="12:19" x14ac:dyDescent="0.25">
      <c r="L56" s="28" t="str">
        <v>N_98460</v>
      </c>
      <c r="M56" s="28" t="str">
        <f>_xlfn.XLOOKUP($L:$L,'Vendor Invoices'!$B:$B,'Vendor Invoices'!C:C)</f>
        <v>DesignCrafters</v>
      </c>
      <c r="N56" s="78">
        <f>_xlfn.XLOOKUP($L:$L,'Vendor Invoices'!$B:$B,'Vendor Invoices'!E:E)</f>
        <v>44974</v>
      </c>
      <c r="O56" s="78" t="str">
        <f>_xlfn.XLOOKUP($L:$L,'Vendor Invoices'!$B:$B,'Vendor Invoices'!F:F)</f>
        <v>Marketing</v>
      </c>
      <c r="Q56" s="79">
        <f>SUMIFS('Vendor Invoices'!$M:$M,'Vendor Invoices'!$B:$B,'Payment Sheet'!L56)</f>
        <v>5955.7599999999948</v>
      </c>
      <c r="R56" s="79">
        <f>SUMIFS('Vendor Invoices'!$N:$N,'Vendor Invoices'!$B:$B,'Payment Sheet'!L56)</f>
        <v>19475.335200000001</v>
      </c>
      <c r="S56" s="79">
        <f>SUMIFS('Vendor Invoices'!O:O,'Vendor Invoices'!B:B,'Payment Sheet'!L:L)</f>
        <v>25431.095199999996</v>
      </c>
    </row>
    <row r="57" spans="12:19" x14ac:dyDescent="0.25">
      <c r="L57" s="28" t="str">
        <v>N_98065</v>
      </c>
      <c r="M57" s="28" t="str">
        <f>_xlfn.XLOOKUP($L:$L,'Vendor Invoices'!$B:$B,'Vendor Invoices'!C:C)</f>
        <v>LogisticsMasters</v>
      </c>
      <c r="N57" s="78">
        <f>_xlfn.XLOOKUP($L:$L,'Vendor Invoices'!$B:$B,'Vendor Invoices'!E:E)</f>
        <v>45266</v>
      </c>
      <c r="O57" s="78" t="str">
        <f>_xlfn.XLOOKUP($L:$L,'Vendor Invoices'!$B:$B,'Vendor Invoices'!F:F)</f>
        <v>Marketing</v>
      </c>
      <c r="Q57" s="79">
        <f>SUMIFS('Vendor Invoices'!$M:$M,'Vendor Invoices'!$B:$B,'Payment Sheet'!L57)</f>
        <v>94685</v>
      </c>
      <c r="R57" s="79">
        <f>SUMIFS('Vendor Invoices'!$N:$N,'Vendor Invoices'!$B:$B,'Payment Sheet'!L57)</f>
        <v>165.69874999999999</v>
      </c>
      <c r="S57" s="79">
        <f>SUMIFS('Vendor Invoices'!O:O,'Vendor Invoices'!B:B,'Payment Sheet'!L:L)</f>
        <v>94850.698749999996</v>
      </c>
    </row>
    <row r="58" spans="12:19" x14ac:dyDescent="0.25">
      <c r="L58" s="28" t="str">
        <v>N_90499</v>
      </c>
      <c r="M58" s="28" t="str">
        <f>_xlfn.XLOOKUP($L:$L,'Vendor Invoices'!$B:$B,'Vendor Invoices'!C:C)</f>
        <v>FinanceGenius</v>
      </c>
      <c r="N58" s="78">
        <f>_xlfn.XLOOKUP($L:$L,'Vendor Invoices'!$B:$B,'Vendor Invoices'!E:E)</f>
        <v>45151</v>
      </c>
      <c r="O58" s="78" t="str">
        <f>_xlfn.XLOOKUP($L:$L,'Vendor Invoices'!$B:$B,'Vendor Invoices'!F:F)</f>
        <v>Finance</v>
      </c>
      <c r="Q58" s="79">
        <f>SUMIFS('Vendor Invoices'!$M:$M,'Vendor Invoices'!$B:$B,'Payment Sheet'!L58)</f>
        <v>4588</v>
      </c>
      <c r="R58" s="79">
        <f>SUMIFS('Vendor Invoices'!$N:$N,'Vendor Invoices'!$B:$B,'Payment Sheet'!L58)</f>
        <v>2752.8</v>
      </c>
      <c r="S58" s="79">
        <f>SUMIFS('Vendor Invoices'!O:O,'Vendor Invoices'!B:B,'Payment Sheet'!L:L)</f>
        <v>7340.8</v>
      </c>
    </row>
    <row r="59" spans="12:19" x14ac:dyDescent="0.25">
      <c r="L59" s="28" t="str">
        <v>N_15083</v>
      </c>
      <c r="M59" s="28" t="str">
        <f>_xlfn.XLOOKUP($L:$L,'Vendor Invoices'!$B:$B,'Vendor Invoices'!C:C)</f>
        <v>OperationsExperts</v>
      </c>
      <c r="N59" s="78">
        <f>_xlfn.XLOOKUP($L:$L,'Vendor Invoices'!$B:$B,'Vendor Invoices'!E:E)</f>
        <v>45259</v>
      </c>
      <c r="O59" s="78" t="str">
        <f>_xlfn.XLOOKUP($L:$L,'Vendor Invoices'!$B:$B,'Vendor Invoices'!F:F)</f>
        <v>Marketing</v>
      </c>
      <c r="Q59" s="79">
        <f>SUMIFS('Vendor Invoices'!$M:$M,'Vendor Invoices'!$B:$B,'Payment Sheet'!L59)</f>
        <v>55625</v>
      </c>
      <c r="R59" s="79">
        <f>SUMIFS('Vendor Invoices'!$N:$N,'Vendor Invoices'!$B:$B,'Payment Sheet'!L59)</f>
        <v>700.87500000000011</v>
      </c>
      <c r="S59" s="79">
        <f>SUMIFS('Vendor Invoices'!O:O,'Vendor Invoices'!B:B,'Payment Sheet'!L:L)</f>
        <v>56325.875</v>
      </c>
    </row>
    <row r="60" spans="12:19" x14ac:dyDescent="0.25">
      <c r="L60" s="28" t="str">
        <v>N_10863</v>
      </c>
      <c r="M60" s="28" t="str">
        <f>_xlfn.XLOOKUP($L:$L,'Vendor Invoices'!$B:$B,'Vendor Invoices'!C:C)</f>
        <v>DataWorks</v>
      </c>
      <c r="N60" s="78">
        <f>_xlfn.XLOOKUP($L:$L,'Vendor Invoices'!$B:$B,'Vendor Invoices'!E:E)</f>
        <v>45264</v>
      </c>
      <c r="O60" s="78" t="str">
        <f>_xlfn.XLOOKUP($L:$L,'Vendor Invoices'!$B:$B,'Vendor Invoices'!F:F)</f>
        <v>Tech</v>
      </c>
      <c r="Q60" s="79">
        <f>SUMIFS('Vendor Invoices'!$M:$M,'Vendor Invoices'!$B:$B,'Payment Sheet'!L60)</f>
        <v>83035</v>
      </c>
      <c r="R60" s="79">
        <f>SUMIFS('Vendor Invoices'!$N:$N,'Vendor Invoices'!$B:$B,'Payment Sheet'!L60)</f>
        <v>2150.6064999999999</v>
      </c>
      <c r="S60" s="79">
        <f>SUMIFS('Vendor Invoices'!O:O,'Vendor Invoices'!B:B,'Payment Sheet'!L:L)</f>
        <v>85185.606499999994</v>
      </c>
    </row>
    <row r="61" spans="12:19" x14ac:dyDescent="0.25">
      <c r="L61" s="28" t="str">
        <v>N_63317</v>
      </c>
      <c r="M61" s="28" t="str">
        <f>_xlfn.XLOOKUP($L:$L,'Vendor Invoices'!$B:$B,'Vendor Invoices'!C:C)</f>
        <v>LogisticsMasters</v>
      </c>
      <c r="N61" s="78">
        <f>_xlfn.XLOOKUP($L:$L,'Vendor Invoices'!$B:$B,'Vendor Invoices'!E:E)</f>
        <v>45216</v>
      </c>
      <c r="O61" s="78" t="str">
        <f>_xlfn.XLOOKUP($L:$L,'Vendor Invoices'!$B:$B,'Vendor Invoices'!F:F)</f>
        <v>Finance</v>
      </c>
      <c r="Q61" s="79">
        <f>SUMIFS('Vendor Invoices'!$M:$M,'Vendor Invoices'!$B:$B,'Payment Sheet'!L61)</f>
        <v>97772</v>
      </c>
      <c r="R61" s="79">
        <f>SUMIFS('Vendor Invoices'!$N:$N,'Vendor Invoices'!$B:$B,'Payment Sheet'!L61)</f>
        <v>415.53100000000001</v>
      </c>
      <c r="S61" s="79">
        <f>SUMIFS('Vendor Invoices'!O:O,'Vendor Invoices'!B:B,'Payment Sheet'!L:L)</f>
        <v>98187.531000000003</v>
      </c>
    </row>
    <row r="62" spans="12:19" x14ac:dyDescent="0.25">
      <c r="L62" s="28" t="str">
        <v>N_82283</v>
      </c>
      <c r="M62" s="28" t="str">
        <f>_xlfn.XLOOKUP($L:$L,'Vendor Invoices'!$B:$B,'Vendor Invoices'!C:C)</f>
        <v>TechSolutions</v>
      </c>
      <c r="N62" s="78">
        <f>_xlfn.XLOOKUP($L:$L,'Vendor Invoices'!$B:$B,'Vendor Invoices'!E:E)</f>
        <v>45258</v>
      </c>
      <c r="O62" s="78" t="str">
        <f>_xlfn.XLOOKUP($L:$L,'Vendor Invoices'!$B:$B,'Vendor Invoices'!F:F)</f>
        <v>Tech</v>
      </c>
      <c r="Q62" s="79">
        <f>SUMIFS('Vendor Invoices'!$M:$M,'Vendor Invoices'!$B:$B,'Payment Sheet'!L62)</f>
        <v>78981</v>
      </c>
      <c r="R62" s="79">
        <f>SUMIFS('Vendor Invoices'!$N:$N,'Vendor Invoices'!$B:$B,'Payment Sheet'!L62)</f>
        <v>67923.66</v>
      </c>
      <c r="S62" s="79">
        <f>SUMIFS('Vendor Invoices'!O:O,'Vendor Invoices'!B:B,'Payment Sheet'!L:L)</f>
        <v>146904.66</v>
      </c>
    </row>
    <row r="63" spans="12:19" x14ac:dyDescent="0.25">
      <c r="L63" s="28" t="str">
        <v>N_14750</v>
      </c>
      <c r="M63" s="28" t="str">
        <f>_xlfn.XLOOKUP($L:$L,'Vendor Invoices'!$B:$B,'Vendor Invoices'!C:C)</f>
        <v>TechSolutions</v>
      </c>
      <c r="N63" s="78">
        <f>_xlfn.XLOOKUP($L:$L,'Vendor Invoices'!$B:$B,'Vendor Invoices'!E:E)</f>
        <v>45204</v>
      </c>
      <c r="O63" s="78" t="str">
        <f>_xlfn.XLOOKUP($L:$L,'Vendor Invoices'!$B:$B,'Vendor Invoices'!F:F)</f>
        <v>Tech</v>
      </c>
      <c r="Q63" s="79">
        <f>SUMIFS('Vendor Invoices'!$M:$M,'Vendor Invoices'!$B:$B,'Payment Sheet'!L63)</f>
        <v>-861.49800000000687</v>
      </c>
      <c r="R63" s="79">
        <f>SUMIFS('Vendor Invoices'!$N:$N,'Vendor Invoices'!$B:$B,'Payment Sheet'!L63)</f>
        <v>185700.68</v>
      </c>
      <c r="S63" s="79">
        <f>SUMIFS('Vendor Invoices'!O:O,'Vendor Invoices'!B:B,'Payment Sheet'!L:L)</f>
        <v>184839.18199999997</v>
      </c>
    </row>
    <row r="64" spans="12:19" x14ac:dyDescent="0.25">
      <c r="L64" s="28" t="str">
        <v>N_22413</v>
      </c>
      <c r="M64" s="28" t="str">
        <f>_xlfn.XLOOKUP($L:$L,'Vendor Invoices'!$B:$B,'Vendor Invoices'!C:C)</f>
        <v>FinanceGenius</v>
      </c>
      <c r="N64" s="78">
        <f>_xlfn.XLOOKUP($L:$L,'Vendor Invoices'!$B:$B,'Vendor Invoices'!E:E)</f>
        <v>44962</v>
      </c>
      <c r="O64" s="78" t="str">
        <f>_xlfn.XLOOKUP($L:$L,'Vendor Invoices'!$B:$B,'Vendor Invoices'!F:F)</f>
        <v>Operations</v>
      </c>
      <c r="Q64" s="79">
        <f>SUMIFS('Vendor Invoices'!$M:$M,'Vendor Invoices'!$B:$B,'Payment Sheet'!L64)</f>
        <v>2160.1500000000015</v>
      </c>
      <c r="R64" s="79">
        <f>SUMIFS('Vendor Invoices'!$N:$N,'Vendor Invoices'!$B:$B,'Payment Sheet'!L64)</f>
        <v>5858.3267999999998</v>
      </c>
      <c r="S64" s="79">
        <f>SUMIFS('Vendor Invoices'!O:O,'Vendor Invoices'!B:B,'Payment Sheet'!L:L)</f>
        <v>8018.4768000000013</v>
      </c>
    </row>
    <row r="65" spans="12:19" x14ac:dyDescent="0.25">
      <c r="L65" s="28" t="str">
        <v>N_86951</v>
      </c>
      <c r="M65" s="28" t="str">
        <f>_xlfn.XLOOKUP($L:$L,'Vendor Invoices'!$B:$B,'Vendor Invoices'!C:C)</f>
        <v>DataWorks</v>
      </c>
      <c r="N65" s="78">
        <f>_xlfn.XLOOKUP($L:$L,'Vendor Invoices'!$B:$B,'Vendor Invoices'!E:E)</f>
        <v>45281</v>
      </c>
      <c r="O65" s="78" t="str">
        <f>_xlfn.XLOOKUP($L:$L,'Vendor Invoices'!$B:$B,'Vendor Invoices'!F:F)</f>
        <v>Tech</v>
      </c>
      <c r="Q65" s="79">
        <f>SUMIFS('Vendor Invoices'!$M:$M,'Vendor Invoices'!$B:$B,'Payment Sheet'!L65)</f>
        <v>84258</v>
      </c>
      <c r="R65" s="79">
        <f>SUMIFS('Vendor Invoices'!$N:$N,'Vendor Invoices'!$B:$B,'Payment Sheet'!L65)</f>
        <v>1179.6120000000001</v>
      </c>
      <c r="S65" s="79">
        <f>SUMIFS('Vendor Invoices'!O:O,'Vendor Invoices'!B:B,'Payment Sheet'!L:L)</f>
        <v>85437.611999999994</v>
      </c>
    </row>
    <row r="66" spans="12:19" x14ac:dyDescent="0.25">
      <c r="L66" s="28" t="str">
        <v>N_38336</v>
      </c>
      <c r="M66" s="28" t="str">
        <f>_xlfn.XLOOKUP($L:$L,'Vendor Invoices'!$B:$B,'Vendor Invoices'!C:C)</f>
        <v>TechGenie</v>
      </c>
      <c r="N66" s="78">
        <f>_xlfn.XLOOKUP($L:$L,'Vendor Invoices'!$B:$B,'Vendor Invoices'!E:E)</f>
        <v>45225</v>
      </c>
      <c r="O66" s="78" t="str">
        <f>_xlfn.XLOOKUP($L:$L,'Vendor Invoices'!$B:$B,'Vendor Invoices'!F:F)</f>
        <v>Finance</v>
      </c>
      <c r="Q66" s="79">
        <f>SUMIFS('Vendor Invoices'!$M:$M,'Vendor Invoices'!$B:$B,'Payment Sheet'!L66)</f>
        <v>46930</v>
      </c>
      <c r="R66" s="79">
        <f>SUMIFS('Vendor Invoices'!$N:$N,'Vendor Invoices'!$B:$B,'Payment Sheet'!L66)</f>
        <v>1961.6739999999998</v>
      </c>
      <c r="S66" s="79">
        <f>SUMIFS('Vendor Invoices'!O:O,'Vendor Invoices'!B:B,'Payment Sheet'!L:L)</f>
        <v>48891.673999999999</v>
      </c>
    </row>
    <row r="67" spans="12:19" x14ac:dyDescent="0.25">
      <c r="L67" s="28" t="str">
        <v>N_13366</v>
      </c>
      <c r="M67" s="28" t="str">
        <f>_xlfn.XLOOKUP($L:$L,'Vendor Invoices'!$B:$B,'Vendor Invoices'!C:C)</f>
        <v>FinanceGenius</v>
      </c>
      <c r="N67" s="78">
        <f>_xlfn.XLOOKUP($L:$L,'Vendor Invoices'!$B:$B,'Vendor Invoices'!E:E)</f>
        <v>45006</v>
      </c>
      <c r="O67" s="78" t="str">
        <f>_xlfn.XLOOKUP($L:$L,'Vendor Invoices'!$B:$B,'Vendor Invoices'!F:F)</f>
        <v>Tech</v>
      </c>
      <c r="Q67" s="79">
        <f>SUMIFS('Vendor Invoices'!$M:$M,'Vendor Invoices'!$B:$B,'Payment Sheet'!L67)</f>
        <v>3896.8799999999974</v>
      </c>
      <c r="R67" s="79">
        <f>SUMIFS('Vendor Invoices'!$N:$N,'Vendor Invoices'!$B:$B,'Payment Sheet'!L67)</f>
        <v>5747.8980000000001</v>
      </c>
      <c r="S67" s="79">
        <f>SUMIFS('Vendor Invoices'!O:O,'Vendor Invoices'!B:B,'Payment Sheet'!L:L)</f>
        <v>9644.7779999999984</v>
      </c>
    </row>
    <row r="68" spans="12:19" x14ac:dyDescent="0.25">
      <c r="L68" s="28" t="str">
        <v>N_30051</v>
      </c>
      <c r="M68" s="28" t="str">
        <f>_xlfn.XLOOKUP($L:$L,'Vendor Invoices'!$B:$B,'Vendor Invoices'!C:C)</f>
        <v>TechGenie</v>
      </c>
      <c r="N68" s="78">
        <f>_xlfn.XLOOKUP($L:$L,'Vendor Invoices'!$B:$B,'Vendor Invoices'!E:E)</f>
        <v>44958</v>
      </c>
      <c r="O68" s="78" t="str">
        <f>_xlfn.XLOOKUP($L:$L,'Vendor Invoices'!$B:$B,'Vendor Invoices'!F:F)</f>
        <v>Marketing</v>
      </c>
      <c r="Q68" s="79">
        <f>SUMIFS('Vendor Invoices'!$M:$M,'Vendor Invoices'!$B:$B,'Payment Sheet'!L68)</f>
        <v>8804.611235999997</v>
      </c>
      <c r="R68" s="79">
        <f>SUMIFS('Vendor Invoices'!$N:$N,'Vendor Invoices'!$B:$B,'Payment Sheet'!L68)</f>
        <v>21298.019049999999</v>
      </c>
      <c r="S68" s="79">
        <f>SUMIFS('Vendor Invoices'!O:O,'Vendor Invoices'!B:B,'Payment Sheet'!L:L)</f>
        <v>30102.630285999996</v>
      </c>
    </row>
    <row r="69" spans="12:19" x14ac:dyDescent="0.25">
      <c r="L69" s="28" t="str">
        <v>N_16260</v>
      </c>
      <c r="M69" s="28" t="str">
        <f>_xlfn.XLOOKUP($L:$L,'Vendor Invoices'!$B:$B,'Vendor Invoices'!C:C)</f>
        <v>MarketEdge</v>
      </c>
      <c r="N69" s="78">
        <f>_xlfn.XLOOKUP($L:$L,'Vendor Invoices'!$B:$B,'Vendor Invoices'!E:E)</f>
        <v>45261</v>
      </c>
      <c r="O69" s="78" t="str">
        <f>_xlfn.XLOOKUP($L:$L,'Vendor Invoices'!$B:$B,'Vendor Invoices'!F:F)</f>
        <v>Finance</v>
      </c>
      <c r="Q69" s="79">
        <f>SUMIFS('Vendor Invoices'!$M:$M,'Vendor Invoices'!$B:$B,'Payment Sheet'!L69)</f>
        <v>75273</v>
      </c>
      <c r="R69" s="79">
        <f>SUMIFS('Vendor Invoices'!$N:$N,'Vendor Invoices'!$B:$B,'Payment Sheet'!L69)</f>
        <v>1656.0059999999999</v>
      </c>
      <c r="S69" s="79">
        <f>SUMIFS('Vendor Invoices'!O:O,'Vendor Invoices'!B:B,'Payment Sheet'!L:L)</f>
        <v>76929.005999999994</v>
      </c>
    </row>
    <row r="70" spans="12:19" x14ac:dyDescent="0.25">
      <c r="L70" s="28" t="str">
        <v>N_54797</v>
      </c>
      <c r="M70" s="28" t="str">
        <f>_xlfn.XLOOKUP($L:$L,'Vendor Invoices'!$B:$B,'Vendor Invoices'!C:C)</f>
        <v>DataWorks</v>
      </c>
      <c r="N70" s="78">
        <f>_xlfn.XLOOKUP($L:$L,'Vendor Invoices'!$B:$B,'Vendor Invoices'!E:E)</f>
        <v>45240</v>
      </c>
      <c r="O70" s="78" t="str">
        <f>_xlfn.XLOOKUP($L:$L,'Vendor Invoices'!$B:$B,'Vendor Invoices'!F:F)</f>
        <v>Finance</v>
      </c>
      <c r="Q70" s="79">
        <f>SUMIFS('Vendor Invoices'!$M:$M,'Vendor Invoices'!$B:$B,'Payment Sheet'!L70)</f>
        <v>118329</v>
      </c>
      <c r="R70" s="79">
        <f>SUMIFS('Vendor Invoices'!$N:$N,'Vendor Invoices'!$B:$B,'Payment Sheet'!L70)</f>
        <v>5052.6482999999998</v>
      </c>
      <c r="S70" s="79">
        <f>SUMIFS('Vendor Invoices'!O:O,'Vendor Invoices'!B:B,'Payment Sheet'!L:L)</f>
        <v>123381.6483</v>
      </c>
    </row>
    <row r="71" spans="12:19" x14ac:dyDescent="0.25">
      <c r="L71" s="28" t="str">
        <v>N_02840</v>
      </c>
      <c r="M71" s="28" t="str">
        <f>_xlfn.XLOOKUP($L:$L,'Vendor Invoices'!$B:$B,'Vendor Invoices'!C:C)</f>
        <v>FinancialFocus</v>
      </c>
      <c r="N71" s="78">
        <f>_xlfn.XLOOKUP($L:$L,'Vendor Invoices'!$B:$B,'Vendor Invoices'!E:E)</f>
        <v>45200</v>
      </c>
      <c r="O71" s="78" t="str">
        <f>_xlfn.XLOOKUP($L:$L,'Vendor Invoices'!$B:$B,'Vendor Invoices'!F:F)</f>
        <v>Finance</v>
      </c>
      <c r="Q71" s="79">
        <f>SUMIFS('Vendor Invoices'!$M:$M,'Vendor Invoices'!$B:$B,'Payment Sheet'!L71)</f>
        <v>54373</v>
      </c>
      <c r="R71" s="79">
        <f>SUMIFS('Vendor Invoices'!$N:$N,'Vendor Invoices'!$B:$B,'Payment Sheet'!L71)</f>
        <v>2471.2528500000003</v>
      </c>
      <c r="S71" s="79">
        <f>SUMIFS('Vendor Invoices'!O:O,'Vendor Invoices'!B:B,'Payment Sheet'!L:L)</f>
        <v>56844.252849999997</v>
      </c>
    </row>
    <row r="72" spans="12:19" x14ac:dyDescent="0.25">
      <c r="L72" s="28" t="str">
        <v>N_05829</v>
      </c>
      <c r="M72" s="28" t="str">
        <f>_xlfn.XLOOKUP($L:$L,'Vendor Invoices'!$B:$B,'Vendor Invoices'!C:C)</f>
        <v>OperationsExperts</v>
      </c>
      <c r="N72" s="78">
        <f>_xlfn.XLOOKUP($L:$L,'Vendor Invoices'!$B:$B,'Vendor Invoices'!E:E)</f>
        <v>45271</v>
      </c>
      <c r="O72" s="78" t="str">
        <f>_xlfn.XLOOKUP($L:$L,'Vendor Invoices'!$B:$B,'Vendor Invoices'!F:F)</f>
        <v>Finance</v>
      </c>
      <c r="Q72" s="79">
        <f>SUMIFS('Vendor Invoices'!$M:$M,'Vendor Invoices'!$B:$B,'Payment Sheet'!L72)</f>
        <v>63415</v>
      </c>
      <c r="R72" s="79">
        <f>SUMIFS('Vendor Invoices'!$N:$N,'Vendor Invoices'!$B:$B,'Payment Sheet'!L72)</f>
        <v>570.73500000000001</v>
      </c>
      <c r="S72" s="79">
        <f>SUMIFS('Vendor Invoices'!O:O,'Vendor Invoices'!B:B,'Payment Sheet'!L:L)</f>
        <v>63985.735000000001</v>
      </c>
    </row>
    <row r="73" spans="12:19" x14ac:dyDescent="0.25">
      <c r="L73" s="28" t="str">
        <v>N_85432</v>
      </c>
      <c r="M73" s="28" t="str">
        <f>_xlfn.XLOOKUP($L:$L,'Vendor Invoices'!$B:$B,'Vendor Invoices'!C:C)</f>
        <v>DesignCrafters</v>
      </c>
      <c r="N73" s="78">
        <f>_xlfn.XLOOKUP($L:$L,'Vendor Invoices'!$B:$B,'Vendor Invoices'!E:E)</f>
        <v>44955</v>
      </c>
      <c r="O73" s="78" t="str">
        <f>_xlfn.XLOOKUP($L:$L,'Vendor Invoices'!$B:$B,'Vendor Invoices'!F:F)</f>
        <v>Operations</v>
      </c>
      <c r="Q73" s="79">
        <f>SUMIFS('Vendor Invoices'!$M:$M,'Vendor Invoices'!$B:$B,'Payment Sheet'!L73)</f>
        <v>7019.4400000000023</v>
      </c>
      <c r="R73" s="79">
        <f>SUMIFS('Vendor Invoices'!$N:$N,'Vendor Invoices'!$B:$B,'Payment Sheet'!L73)</f>
        <v>24287.2624</v>
      </c>
      <c r="S73" s="79">
        <f>SUMIFS('Vendor Invoices'!O:O,'Vendor Invoices'!B:B,'Payment Sheet'!L:L)</f>
        <v>31306.702400000002</v>
      </c>
    </row>
    <row r="74" spans="12:19" x14ac:dyDescent="0.25">
      <c r="L74" s="28" t="str">
        <v>N_03699</v>
      </c>
      <c r="M74" s="28" t="str">
        <f>_xlfn.XLOOKUP($L:$L,'Vendor Invoices'!$B:$B,'Vendor Invoices'!C:C)</f>
        <v>TechGenie</v>
      </c>
      <c r="N74" s="78">
        <f>_xlfn.XLOOKUP($L:$L,'Vendor Invoices'!$B:$B,'Vendor Invoices'!E:E)</f>
        <v>45265</v>
      </c>
      <c r="O74" s="78" t="str">
        <f>_xlfn.XLOOKUP($L:$L,'Vendor Invoices'!$B:$B,'Vendor Invoices'!F:F)</f>
        <v>Operations</v>
      </c>
      <c r="Q74" s="79">
        <f>SUMIFS('Vendor Invoices'!$M:$M,'Vendor Invoices'!$B:$B,'Payment Sheet'!L74)</f>
        <v>5419.8199999999924</v>
      </c>
      <c r="R74" s="79">
        <f>SUMIFS('Vendor Invoices'!$N:$N,'Vendor Invoices'!$B:$B,'Payment Sheet'!L74)</f>
        <v>1533.0347999999999</v>
      </c>
      <c r="S74" s="79">
        <f>SUMIFS('Vendor Invoices'!O:O,'Vendor Invoices'!B:B,'Payment Sheet'!L:L)</f>
        <v>6952.8547999999919</v>
      </c>
    </row>
    <row r="75" spans="12:19" x14ac:dyDescent="0.25">
      <c r="L75" s="28" t="str">
        <v>N_65469</v>
      </c>
      <c r="M75" s="28" t="str">
        <f>_xlfn.XLOOKUP($L:$L,'Vendor Invoices'!$B:$B,'Vendor Invoices'!C:C)</f>
        <v>DataWorks</v>
      </c>
      <c r="N75" s="78">
        <f>_xlfn.XLOOKUP($L:$L,'Vendor Invoices'!$B:$B,'Vendor Invoices'!E:E)</f>
        <v>45255</v>
      </c>
      <c r="O75" s="78" t="str">
        <f>_xlfn.XLOOKUP($L:$L,'Vendor Invoices'!$B:$B,'Vendor Invoices'!F:F)</f>
        <v>Marketing</v>
      </c>
      <c r="Q75" s="79">
        <f>SUMIFS('Vendor Invoices'!$M:$M,'Vendor Invoices'!$B:$B,'Payment Sheet'!L75)</f>
        <v>92674</v>
      </c>
      <c r="R75" s="79">
        <f>SUMIFS('Vendor Invoices'!$N:$N,'Vendor Invoices'!$B:$B,'Payment Sheet'!L75)</f>
        <v>2984.1028000000001</v>
      </c>
      <c r="S75" s="79">
        <f>SUMIFS('Vendor Invoices'!O:O,'Vendor Invoices'!B:B,'Payment Sheet'!L:L)</f>
        <v>95658.102799999993</v>
      </c>
    </row>
    <row r="76" spans="12:19" x14ac:dyDescent="0.25">
      <c r="L76" s="28" t="str">
        <v>N_87168</v>
      </c>
      <c r="M76" s="28" t="str">
        <f>_xlfn.XLOOKUP($L:$L,'Vendor Invoices'!$B:$B,'Vendor Invoices'!C:C)</f>
        <v>MarketingPros</v>
      </c>
      <c r="N76" s="78">
        <f>_xlfn.XLOOKUP($L:$L,'Vendor Invoices'!$B:$B,'Vendor Invoices'!E:E)</f>
        <v>45204</v>
      </c>
      <c r="O76" s="78" t="str">
        <f>_xlfn.XLOOKUP($L:$L,'Vendor Invoices'!$B:$B,'Vendor Invoices'!F:F)</f>
        <v>Operations</v>
      </c>
      <c r="Q76" s="79">
        <f>SUMIFS('Vendor Invoices'!$M:$M,'Vendor Invoices'!$B:$B,'Payment Sheet'!L76)</f>
        <v>72506</v>
      </c>
      <c r="R76" s="79">
        <f>SUMIFS('Vendor Invoices'!$N:$N,'Vendor Invoices'!$B:$B,'Payment Sheet'!L76)</f>
        <v>3868.1950999999995</v>
      </c>
      <c r="S76" s="79">
        <f>SUMIFS('Vendor Invoices'!O:O,'Vendor Invoices'!B:B,'Payment Sheet'!L:L)</f>
        <v>76374.195099999997</v>
      </c>
    </row>
    <row r="77" spans="12:19" x14ac:dyDescent="0.25">
      <c r="L77" s="28" t="str">
        <v>N_24572</v>
      </c>
      <c r="M77" s="28" t="str">
        <f>_xlfn.XLOOKUP($L:$L,'Vendor Invoices'!$B:$B,'Vendor Invoices'!C:C)</f>
        <v>FinancialFocus</v>
      </c>
      <c r="N77" s="78">
        <f>_xlfn.XLOOKUP($L:$L,'Vendor Invoices'!$B:$B,'Vendor Invoices'!E:E)</f>
        <v>45237</v>
      </c>
      <c r="O77" s="78" t="str">
        <f>_xlfn.XLOOKUP($L:$L,'Vendor Invoices'!$B:$B,'Vendor Invoices'!F:F)</f>
        <v>Tech</v>
      </c>
      <c r="Q77" s="79">
        <f>SUMIFS('Vendor Invoices'!$M:$M,'Vendor Invoices'!$B:$B,'Payment Sheet'!L77)</f>
        <v>111844</v>
      </c>
      <c r="R77" s="79">
        <f>SUMIFS('Vendor Invoices'!$N:$N,'Vendor Invoices'!$B:$B,'Payment Sheet'!L77)</f>
        <v>3221.1072000000004</v>
      </c>
      <c r="S77" s="79">
        <f>SUMIFS('Vendor Invoices'!O:O,'Vendor Invoices'!B:B,'Payment Sheet'!L:L)</f>
        <v>115065.1072</v>
      </c>
    </row>
    <row r="78" spans="12:19" x14ac:dyDescent="0.25">
      <c r="L78" s="28" t="str">
        <v>N_96716</v>
      </c>
      <c r="M78" s="28" t="str">
        <f>_xlfn.XLOOKUP($L:$L,'Vendor Invoices'!$B:$B,'Vendor Invoices'!C:C)</f>
        <v>FinanceGenius</v>
      </c>
      <c r="N78" s="78">
        <f>_xlfn.XLOOKUP($L:$L,'Vendor Invoices'!$B:$B,'Vendor Invoices'!E:E)</f>
        <v>45249</v>
      </c>
      <c r="O78" s="78" t="str">
        <f>_xlfn.XLOOKUP($L:$L,'Vendor Invoices'!$B:$B,'Vendor Invoices'!F:F)</f>
        <v>Marketing</v>
      </c>
      <c r="Q78" s="79">
        <f>SUMIFS('Vendor Invoices'!$M:$M,'Vendor Invoices'!$B:$B,'Payment Sheet'!L78)</f>
        <v>109875</v>
      </c>
      <c r="R78" s="79">
        <f>SUMIFS('Vendor Invoices'!$N:$N,'Vendor Invoices'!$B:$B,'Payment Sheet'!L78)</f>
        <v>2285.4</v>
      </c>
      <c r="S78" s="79">
        <f>SUMIFS('Vendor Invoices'!O:O,'Vendor Invoices'!B:B,'Payment Sheet'!L:L)</f>
        <v>112160.4</v>
      </c>
    </row>
    <row r="79" spans="12:19" x14ac:dyDescent="0.25">
      <c r="L79" s="28" t="str">
        <v>N_67176</v>
      </c>
      <c r="M79" s="28" t="str">
        <f>_xlfn.XLOOKUP($L:$L,'Vendor Invoices'!$B:$B,'Vendor Invoices'!C:C)</f>
        <v>DesignCrafters</v>
      </c>
      <c r="N79" s="78">
        <f>_xlfn.XLOOKUP($L:$L,'Vendor Invoices'!$B:$B,'Vendor Invoices'!E:E)</f>
        <v>45217</v>
      </c>
      <c r="O79" s="78" t="str">
        <f>_xlfn.XLOOKUP($L:$L,'Vendor Invoices'!$B:$B,'Vendor Invoices'!F:F)</f>
        <v>Marketing</v>
      </c>
      <c r="Q79" s="79">
        <f>SUMIFS('Vendor Invoices'!$M:$M,'Vendor Invoices'!$B:$B,'Payment Sheet'!L79)</f>
        <v>111040</v>
      </c>
      <c r="R79" s="79">
        <f>SUMIFS('Vendor Invoices'!$N:$N,'Vendor Invoices'!$B:$B,'Payment Sheet'!L79)</f>
        <v>7461.8880000000008</v>
      </c>
      <c r="S79" s="79">
        <f>SUMIFS('Vendor Invoices'!O:O,'Vendor Invoices'!B:B,'Payment Sheet'!L:L)</f>
        <v>118501.88800000001</v>
      </c>
    </row>
    <row r="80" spans="12:19" x14ac:dyDescent="0.25">
      <c r="L80" s="28" t="str">
        <v>N_23518</v>
      </c>
      <c r="M80" s="28" t="str">
        <f>_xlfn.XLOOKUP($L:$L,'Vendor Invoices'!$B:$B,'Vendor Invoices'!C:C)</f>
        <v>MarketingPros</v>
      </c>
      <c r="N80" s="78">
        <f>_xlfn.XLOOKUP($L:$L,'Vendor Invoices'!$B:$B,'Vendor Invoices'!E:E)</f>
        <v>45188</v>
      </c>
      <c r="O80" s="78" t="str">
        <f>_xlfn.XLOOKUP($L:$L,'Vendor Invoices'!$B:$B,'Vendor Invoices'!F:F)</f>
        <v>Marketing</v>
      </c>
      <c r="Q80" s="79">
        <f>SUMIFS('Vendor Invoices'!$M:$M,'Vendor Invoices'!$B:$B,'Payment Sheet'!L80)</f>
        <v>6869.5199999999895</v>
      </c>
      <c r="R80" s="79">
        <f>SUMIFS('Vendor Invoices'!$N:$N,'Vendor Invoices'!$B:$B,'Payment Sheet'!L80)</f>
        <v>6099.152399999999</v>
      </c>
      <c r="S80" s="79">
        <f>SUMIFS('Vendor Invoices'!O:O,'Vendor Invoices'!B:B,'Payment Sheet'!L:L)</f>
        <v>12968.672399999989</v>
      </c>
    </row>
    <row r="81" spans="12:19" x14ac:dyDescent="0.25">
      <c r="L81" s="28" t="str">
        <v>N_48474</v>
      </c>
      <c r="M81" s="28" t="str">
        <f>_xlfn.XLOOKUP($L:$L,'Vendor Invoices'!$B:$B,'Vendor Invoices'!C:C)</f>
        <v>DesignCrafters</v>
      </c>
      <c r="N81" s="78">
        <f>_xlfn.XLOOKUP($L:$L,'Vendor Invoices'!$B:$B,'Vendor Invoices'!E:E)</f>
        <v>45108</v>
      </c>
      <c r="O81" s="78" t="str">
        <f>_xlfn.XLOOKUP($L:$L,'Vendor Invoices'!$B:$B,'Vendor Invoices'!F:F)</f>
        <v>Finance</v>
      </c>
      <c r="Q81" s="79">
        <f>SUMIFS('Vendor Invoices'!$M:$M,'Vendor Invoices'!$B:$B,'Payment Sheet'!L81)</f>
        <v>7859.5200000000041</v>
      </c>
      <c r="R81" s="79">
        <f>SUMIFS('Vendor Invoices'!$N:$N,'Vendor Invoices'!$B:$B,'Payment Sheet'!L81)</f>
        <v>13483.443200000002</v>
      </c>
      <c r="S81" s="79">
        <f>SUMIFS('Vendor Invoices'!O:O,'Vendor Invoices'!B:B,'Payment Sheet'!L:L)</f>
        <v>21342.963200000006</v>
      </c>
    </row>
    <row r="82" spans="12:19" x14ac:dyDescent="0.25">
      <c r="L82" s="28" t="str">
        <v>N_22832</v>
      </c>
      <c r="M82" s="28" t="str">
        <f>_xlfn.XLOOKUP($L:$L,'Vendor Invoices'!$B:$B,'Vendor Invoices'!C:C)</f>
        <v>TechSolutions</v>
      </c>
      <c r="N82" s="78">
        <f>_xlfn.XLOOKUP($L:$L,'Vendor Invoices'!$B:$B,'Vendor Invoices'!E:E)</f>
        <v>45200</v>
      </c>
      <c r="O82" s="78" t="str">
        <f>_xlfn.XLOOKUP($L:$L,'Vendor Invoices'!$B:$B,'Vendor Invoices'!F:F)</f>
        <v>Marketing</v>
      </c>
      <c r="Q82" s="79">
        <f>SUMIFS('Vendor Invoices'!$M:$M,'Vendor Invoices'!$B:$B,'Payment Sheet'!L82)</f>
        <v>84277</v>
      </c>
      <c r="R82" s="79">
        <f>SUMIFS('Vendor Invoices'!$N:$N,'Vendor Invoices'!$B:$B,'Payment Sheet'!L82)</f>
        <v>170239.54</v>
      </c>
      <c r="S82" s="79">
        <f>SUMIFS('Vendor Invoices'!O:O,'Vendor Invoices'!B:B,'Payment Sheet'!L:L)</f>
        <v>254516.54</v>
      </c>
    </row>
    <row r="83" spans="12:19" x14ac:dyDescent="0.25">
      <c r="L83" s="28" t="str">
        <v>N_56128</v>
      </c>
      <c r="M83" s="28" t="str">
        <f>_xlfn.XLOOKUP($L:$L,'Vendor Invoices'!$B:$B,'Vendor Invoices'!C:C)</f>
        <v>DesignCrafters</v>
      </c>
      <c r="N83" s="78">
        <f>_xlfn.XLOOKUP($L:$L,'Vendor Invoices'!$B:$B,'Vendor Invoices'!E:E)</f>
        <v>45235</v>
      </c>
      <c r="O83" s="78" t="str">
        <f>_xlfn.XLOOKUP($L:$L,'Vendor Invoices'!$B:$B,'Vendor Invoices'!F:F)</f>
        <v>Finance</v>
      </c>
      <c r="Q83" s="79">
        <f>SUMIFS('Vendor Invoices'!$M:$M,'Vendor Invoices'!$B:$B,'Payment Sheet'!L83)</f>
        <v>3267.3899999999994</v>
      </c>
      <c r="R83" s="79">
        <f>SUMIFS('Vendor Invoices'!$N:$N,'Vendor Invoices'!$B:$B,'Payment Sheet'!L83)</f>
        <v>2464.5455999999999</v>
      </c>
      <c r="S83" s="79">
        <f>SUMIFS('Vendor Invoices'!O:O,'Vendor Invoices'!B:B,'Payment Sheet'!L:L)</f>
        <v>5731.9355999999989</v>
      </c>
    </row>
    <row r="84" spans="12:19" x14ac:dyDescent="0.25">
      <c r="L84" s="28" t="str">
        <v>N_97999</v>
      </c>
      <c r="M84" s="28" t="str">
        <f>_xlfn.XLOOKUP($L:$L,'Vendor Invoices'!$B:$B,'Vendor Invoices'!C:C)</f>
        <v>MarketEdge</v>
      </c>
      <c r="N84" s="78">
        <f>_xlfn.XLOOKUP($L:$L,'Vendor Invoices'!$B:$B,'Vendor Invoices'!E:E)</f>
        <v>44927</v>
      </c>
      <c r="O84" s="78" t="str">
        <f>_xlfn.XLOOKUP($L:$L,'Vendor Invoices'!$B:$B,'Vendor Invoices'!F:F)</f>
        <v>Finance</v>
      </c>
      <c r="Q84" s="79">
        <f>SUMIFS('Vendor Invoices'!$M:$M,'Vendor Invoices'!$B:$B,'Payment Sheet'!L84)</f>
        <v>5792.0400000000081</v>
      </c>
      <c r="R84" s="79">
        <f>SUMIFS('Vendor Invoices'!$N:$N,'Vendor Invoices'!$B:$B,'Payment Sheet'!L84)</f>
        <v>19857.043799999996</v>
      </c>
      <c r="S84" s="79">
        <f>SUMIFS('Vendor Invoices'!O:O,'Vendor Invoices'!B:B,'Payment Sheet'!L:L)</f>
        <v>25649.083800000004</v>
      </c>
    </row>
    <row r="85" spans="12:19" x14ac:dyDescent="0.25">
      <c r="L85" s="28" t="str">
        <v>N_97488</v>
      </c>
      <c r="M85" s="28" t="str">
        <f>_xlfn.XLOOKUP($L:$L,'Vendor Invoices'!$B:$B,'Vendor Invoices'!C:C)</f>
        <v>TechGenie</v>
      </c>
      <c r="N85" s="78">
        <f>_xlfn.XLOOKUP($L:$L,'Vendor Invoices'!$B:$B,'Vendor Invoices'!E:E)</f>
        <v>45268</v>
      </c>
      <c r="O85" s="78" t="str">
        <f>_xlfn.XLOOKUP($L:$L,'Vendor Invoices'!$B:$B,'Vendor Invoices'!F:F)</f>
        <v>Finance</v>
      </c>
      <c r="Q85" s="79">
        <f>SUMIFS('Vendor Invoices'!$M:$M,'Vendor Invoices'!$B:$B,'Payment Sheet'!L85)</f>
        <v>43962</v>
      </c>
      <c r="R85" s="79">
        <f>SUMIFS('Vendor Invoices'!$N:$N,'Vendor Invoices'!$B:$B,'Payment Sheet'!L85)</f>
        <v>797.91029999999978</v>
      </c>
      <c r="S85" s="79">
        <f>SUMIFS('Vendor Invoices'!O:O,'Vendor Invoices'!B:B,'Payment Sheet'!L:L)</f>
        <v>44759.910300000003</v>
      </c>
    </row>
    <row r="86" spans="12:19" x14ac:dyDescent="0.25">
      <c r="L86" s="28" t="str">
        <v>N_07375</v>
      </c>
      <c r="M86" s="28" t="str">
        <f>_xlfn.XLOOKUP($L:$L,'Vendor Invoices'!$B:$B,'Vendor Invoices'!C:C)</f>
        <v>DesignCrafters</v>
      </c>
      <c r="N86" s="78">
        <f>_xlfn.XLOOKUP($L:$L,'Vendor Invoices'!$B:$B,'Vendor Invoices'!E:E)</f>
        <v>45245</v>
      </c>
      <c r="O86" s="78" t="str">
        <f>_xlfn.XLOOKUP($L:$L,'Vendor Invoices'!$B:$B,'Vendor Invoices'!F:F)</f>
        <v>Operations</v>
      </c>
      <c r="Q86" s="79">
        <f>SUMIFS('Vendor Invoices'!$M:$M,'Vendor Invoices'!$B:$B,'Payment Sheet'!L86)</f>
        <v>8047.3399999999965</v>
      </c>
      <c r="R86" s="79">
        <f>SUMIFS('Vendor Invoices'!$N:$N,'Vendor Invoices'!$B:$B,'Payment Sheet'!L86)</f>
        <v>5150.2975999999999</v>
      </c>
      <c r="S86" s="79">
        <f>SUMIFS('Vendor Invoices'!O:O,'Vendor Invoices'!B:B,'Payment Sheet'!L:L)</f>
        <v>13197.637599999996</v>
      </c>
    </row>
    <row r="87" spans="12:19" x14ac:dyDescent="0.25">
      <c r="L87" s="28" t="str">
        <v>N_46829</v>
      </c>
      <c r="M87" s="28" t="str">
        <f>_xlfn.XLOOKUP($L:$L,'Vendor Invoices'!$B:$B,'Vendor Invoices'!C:C)</f>
        <v>TechGenie</v>
      </c>
      <c r="N87" s="78">
        <f>_xlfn.XLOOKUP($L:$L,'Vendor Invoices'!$B:$B,'Vendor Invoices'!E:E)</f>
        <v>45283</v>
      </c>
      <c r="O87" s="78" t="str">
        <f>_xlfn.XLOOKUP($L:$L,'Vendor Invoices'!$B:$B,'Vendor Invoices'!F:F)</f>
        <v>Marketing</v>
      </c>
      <c r="Q87" s="79">
        <f>SUMIFS('Vendor Invoices'!$M:$M,'Vendor Invoices'!$B:$B,'Payment Sheet'!L87)</f>
        <v>50711</v>
      </c>
      <c r="R87" s="79">
        <f>SUMIFS('Vendor Invoices'!$N:$N,'Vendor Invoices'!$B:$B,'Payment Sheet'!L87)</f>
        <v>502.03889999999996</v>
      </c>
      <c r="S87" s="79">
        <f>SUMIFS('Vendor Invoices'!O:O,'Vendor Invoices'!B:B,'Payment Sheet'!L:L)</f>
        <v>51213.0389</v>
      </c>
    </row>
    <row r="88" spans="12:19" x14ac:dyDescent="0.25">
      <c r="L88" s="28" t="str">
        <v>N_96906</v>
      </c>
      <c r="M88" s="28" t="str">
        <f>_xlfn.XLOOKUP($L:$L,'Vendor Invoices'!$B:$B,'Vendor Invoices'!C:C)</f>
        <v>MarketingPros</v>
      </c>
      <c r="N88" s="78">
        <f>_xlfn.XLOOKUP($L:$L,'Vendor Invoices'!$B:$B,'Vendor Invoices'!E:E)</f>
        <v>45275</v>
      </c>
      <c r="O88" s="78" t="str">
        <f>_xlfn.XLOOKUP($L:$L,'Vendor Invoices'!$B:$B,'Vendor Invoices'!F:F)</f>
        <v>Finance</v>
      </c>
      <c r="Q88" s="79">
        <f>SUMIFS('Vendor Invoices'!$M:$M,'Vendor Invoices'!$B:$B,'Payment Sheet'!L88)</f>
        <v>46435</v>
      </c>
      <c r="R88" s="79">
        <f>SUMIFS('Vendor Invoices'!$N:$N,'Vendor Invoices'!$B:$B,'Payment Sheet'!L88)</f>
        <v>664.02049999999997</v>
      </c>
      <c r="S88" s="79">
        <f>SUMIFS('Vendor Invoices'!O:O,'Vendor Invoices'!B:B,'Payment Sheet'!L:L)</f>
        <v>47099.020499999999</v>
      </c>
    </row>
    <row r="89" spans="12:19" x14ac:dyDescent="0.25">
      <c r="L89" s="28" t="str">
        <v>N_41558</v>
      </c>
      <c r="M89" s="28" t="str">
        <f>_xlfn.XLOOKUP($L:$L,'Vendor Invoices'!$B:$B,'Vendor Invoices'!C:C)</f>
        <v>MarketEdge</v>
      </c>
      <c r="N89" s="78">
        <f>_xlfn.XLOOKUP($L:$L,'Vendor Invoices'!$B:$B,'Vendor Invoices'!E:E)</f>
        <v>45164</v>
      </c>
      <c r="O89" s="78" t="str">
        <f>_xlfn.XLOOKUP($L:$L,'Vendor Invoices'!$B:$B,'Vendor Invoices'!F:F)</f>
        <v>Finance</v>
      </c>
      <c r="Q89" s="79">
        <f>SUMIFS('Vendor Invoices'!$M:$M,'Vendor Invoices'!$B:$B,'Payment Sheet'!L89)</f>
        <v>8509.5999999999913</v>
      </c>
      <c r="R89" s="79">
        <f>SUMIFS('Vendor Invoices'!$N:$N,'Vendor Invoices'!$B:$B,'Payment Sheet'!L89)</f>
        <v>8014.9794999999986</v>
      </c>
      <c r="S89" s="79">
        <f>SUMIFS('Vendor Invoices'!O:O,'Vendor Invoices'!B:B,'Payment Sheet'!L:L)</f>
        <v>16524.579499999989</v>
      </c>
    </row>
    <row r="90" spans="12:19" x14ac:dyDescent="0.25">
      <c r="L90" s="28" t="str">
        <v>N_00144</v>
      </c>
      <c r="M90" s="28" t="str">
        <f>_xlfn.XLOOKUP($L:$L,'Vendor Invoices'!$B:$B,'Vendor Invoices'!C:C)</f>
        <v>MarketingPros</v>
      </c>
      <c r="N90" s="78">
        <f>_xlfn.XLOOKUP($L:$L,'Vendor Invoices'!$B:$B,'Vendor Invoices'!E:E)</f>
        <v>45286</v>
      </c>
      <c r="O90" s="78" t="str">
        <f>_xlfn.XLOOKUP($L:$L,'Vendor Invoices'!$B:$B,'Vendor Invoices'!F:F)</f>
        <v>Finance</v>
      </c>
      <c r="Q90" s="79">
        <f>SUMIFS('Vendor Invoices'!$M:$M,'Vendor Invoices'!$B:$B,'Payment Sheet'!L90)</f>
        <v>116581</v>
      </c>
      <c r="R90" s="79">
        <f>SUMIFS('Vendor Invoices'!$N:$N,'Vendor Invoices'!$B:$B,'Payment Sheet'!L90)</f>
        <v>961.79324999999983</v>
      </c>
      <c r="S90" s="79">
        <f>SUMIFS('Vendor Invoices'!O:O,'Vendor Invoices'!B:B,'Payment Sheet'!L:L)</f>
        <v>117542.79325</v>
      </c>
    </row>
    <row r="91" spans="12:19" x14ac:dyDescent="0.25">
      <c r="L91" s="28" t="str">
        <v>N_77128</v>
      </c>
      <c r="M91" s="28" t="str">
        <f>_xlfn.XLOOKUP($L:$L,'Vendor Invoices'!$B:$B,'Vendor Invoices'!C:C)</f>
        <v>TechSolutions</v>
      </c>
      <c r="N91" s="78">
        <f>_xlfn.XLOOKUP($L:$L,'Vendor Invoices'!$B:$B,'Vendor Invoices'!E:E)</f>
        <v>45266</v>
      </c>
      <c r="O91" s="78" t="str">
        <f>_xlfn.XLOOKUP($L:$L,'Vendor Invoices'!$B:$B,'Vendor Invoices'!F:F)</f>
        <v>Operations</v>
      </c>
      <c r="Q91" s="79">
        <f>SUMIFS('Vendor Invoices'!$M:$M,'Vendor Invoices'!$B:$B,'Payment Sheet'!L91)</f>
        <v>96619</v>
      </c>
      <c r="R91" s="79">
        <f>SUMIFS('Vendor Invoices'!$N:$N,'Vendor Invoices'!$B:$B,'Payment Sheet'!L91)</f>
        <v>67633.3</v>
      </c>
      <c r="S91" s="79">
        <f>SUMIFS('Vendor Invoices'!O:O,'Vendor Invoices'!B:B,'Payment Sheet'!L:L)</f>
        <v>164252.29999999999</v>
      </c>
    </row>
    <row r="92" spans="12:19" x14ac:dyDescent="0.25">
      <c r="L92" s="28" t="str">
        <v>N_09141</v>
      </c>
      <c r="M92" s="28" t="str">
        <f>_xlfn.XLOOKUP($L:$L,'Vendor Invoices'!$B:$B,'Vendor Invoices'!C:C)</f>
        <v>TechGenie</v>
      </c>
      <c r="N92" s="78">
        <f>_xlfn.XLOOKUP($L:$L,'Vendor Invoices'!$B:$B,'Vendor Invoices'!E:E)</f>
        <v>45234</v>
      </c>
      <c r="O92" s="78" t="str">
        <f>_xlfn.XLOOKUP($L:$L,'Vendor Invoices'!$B:$B,'Vendor Invoices'!F:F)</f>
        <v>Finance</v>
      </c>
      <c r="Q92" s="79">
        <f>SUMIFS('Vendor Invoices'!$M:$M,'Vendor Invoices'!$B:$B,'Payment Sheet'!L92)</f>
        <v>56825</v>
      </c>
      <c r="R92" s="79">
        <f>SUMIFS('Vendor Invoices'!$N:$N,'Vendor Invoices'!$B:$B,'Payment Sheet'!L92)</f>
        <v>2094.0012499999998</v>
      </c>
      <c r="S92" s="79">
        <f>SUMIFS('Vendor Invoices'!O:O,'Vendor Invoices'!B:B,'Payment Sheet'!L:L)</f>
        <v>58919.001250000001</v>
      </c>
    </row>
    <row r="93" spans="12:19" x14ac:dyDescent="0.25">
      <c r="L93" s="28" t="str">
        <v>N_77820</v>
      </c>
      <c r="M93" s="28" t="str">
        <f>_xlfn.XLOOKUP($L:$L,'Vendor Invoices'!$B:$B,'Vendor Invoices'!C:C)</f>
        <v>MarketingPros</v>
      </c>
      <c r="N93" s="78">
        <f>_xlfn.XLOOKUP($L:$L,'Vendor Invoices'!$B:$B,'Vendor Invoices'!E:E)</f>
        <v>45264</v>
      </c>
      <c r="O93" s="78" t="str">
        <f>_xlfn.XLOOKUP($L:$L,'Vendor Invoices'!$B:$B,'Vendor Invoices'!F:F)</f>
        <v>Tech</v>
      </c>
      <c r="Q93" s="79">
        <f>SUMIFS('Vendor Invoices'!$M:$M,'Vendor Invoices'!$B:$B,'Payment Sheet'!L93)</f>
        <v>54957</v>
      </c>
      <c r="R93" s="79">
        <f>SUMIFS('Vendor Invoices'!$N:$N,'Vendor Invoices'!$B:$B,'Payment Sheet'!L93)</f>
        <v>1118.3749499999999</v>
      </c>
      <c r="S93" s="79">
        <f>SUMIFS('Vendor Invoices'!O:O,'Vendor Invoices'!B:B,'Payment Sheet'!L:L)</f>
        <v>56075.374949999998</v>
      </c>
    </row>
  </sheetData>
  <autoFilter ref="Q4:S93" xr:uid="{1EF10E6F-F028-40B2-8083-6551083FFF8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1FDE-33FE-4CF7-A90B-ADACBE90E1FC}">
  <dimension ref="A1:G23"/>
  <sheetViews>
    <sheetView showGridLines="0" zoomScale="70" zoomScaleNormal="70" workbookViewId="0">
      <selection activeCell="G19" sqref="G19"/>
    </sheetView>
  </sheetViews>
  <sheetFormatPr defaultColWidth="9.1796875" defaultRowHeight="12.5" x14ac:dyDescent="0.25"/>
  <cols>
    <col min="1" max="1" width="1.7265625" style="1" customWidth="1"/>
    <col min="2" max="2" width="25.7265625" style="1" customWidth="1"/>
    <col min="3" max="7" width="20.7265625" style="1" customWidth="1"/>
    <col min="8" max="16384" width="9.1796875" style="1"/>
  </cols>
  <sheetData>
    <row r="1" spans="1:7" s="3" customFormat="1" ht="25" x14ac:dyDescent="0.5">
      <c r="A1" s="3" t="s">
        <v>2</v>
      </c>
    </row>
    <row r="2" spans="1:7" ht="5.15" customHeight="1" x14ac:dyDescent="0.25"/>
    <row r="3" spans="1:7" ht="25" customHeight="1" x14ac:dyDescent="0.25">
      <c r="B3" s="26" t="s">
        <v>43</v>
      </c>
      <c r="C3" s="30" t="s">
        <v>44</v>
      </c>
      <c r="D3" s="31" t="s">
        <v>45</v>
      </c>
      <c r="E3" s="32" t="s">
        <v>46</v>
      </c>
      <c r="F3" s="33" t="s">
        <v>47</v>
      </c>
      <c r="G3" s="34" t="s">
        <v>48</v>
      </c>
    </row>
    <row r="4" spans="1:7" ht="20.149999999999999" customHeight="1" x14ac:dyDescent="0.25">
      <c r="B4" s="35" t="s">
        <v>33</v>
      </c>
      <c r="C4" s="36">
        <f>SUMIFS('Vendor Invoices'!$M:$M,'Vendor Invoices'!$Q:$Q,'Aging Schedule'!C$3,'Vendor Invoices'!$C:$C,'Aging Schedule'!$B4)</f>
        <v>134690</v>
      </c>
      <c r="D4" s="36">
        <f>SUMIFS('Vendor Invoices'!$M:$M,'Vendor Invoices'!$Q:$Q,'Aging Schedule'!D$3,'Vendor Invoices'!$C:$C,'Aging Schedule'!$B4)</f>
        <v>83035</v>
      </c>
      <c r="E4" s="36">
        <f>SUMIFS('Vendor Invoices'!$M:$M,'Vendor Invoices'!$Q:$Q,'Aging Schedule'!E$3,'Vendor Invoices'!$C:$C,'Aging Schedule'!$B4)</f>
        <v>132154</v>
      </c>
      <c r="F4" s="36">
        <f>SUMIFS('Vendor Invoices'!$M:$M,'Vendor Invoices'!$Q:$Q,'Aging Schedule'!F$3,'Vendor Invoices'!$C:$C,'Aging Schedule'!$B4)</f>
        <v>118329</v>
      </c>
      <c r="G4" s="36">
        <f>SUMIFS('Vendor Invoices'!$M:$M,'Vendor Invoices'!$Q:$Q,'Aging Schedule'!G$3,'Vendor Invoices'!$C:$C,'Aging Schedule'!$B4)</f>
        <v>14933.300000000003</v>
      </c>
    </row>
    <row r="5" spans="1:7" ht="20.149999999999999" customHeight="1" x14ac:dyDescent="0.25">
      <c r="B5" s="35" t="s">
        <v>34</v>
      </c>
      <c r="C5" s="36">
        <f>SUMIFS('Vendor Invoices'!$M:$M,'Vendor Invoices'!$Q:$Q,'Aging Schedule'!C$3,'Vendor Invoices'!$C:$C,'Aging Schedule'!$B5)</f>
        <v>78141</v>
      </c>
      <c r="D5" s="36">
        <f>SUMIFS('Vendor Invoices'!$M:$M,'Vendor Invoices'!$Q:$Q,'Aging Schedule'!D$3,'Vendor Invoices'!$C:$C,'Aging Schedule'!$B5)</f>
        <v>175600</v>
      </c>
      <c r="E5" s="36">
        <f>SUMIFS('Vendor Invoices'!$M:$M,'Vendor Invoices'!$Q:$Q,'Aging Schedule'!E$3,'Vendor Invoices'!$C:$C,'Aging Schedule'!$B5)</f>
        <v>0</v>
      </c>
      <c r="F5" s="36">
        <f>SUMIFS('Vendor Invoices'!$M:$M,'Vendor Invoices'!$Q:$Q,'Aging Schedule'!F$3,'Vendor Invoices'!$C:$C,'Aging Schedule'!$B5)</f>
        <v>0</v>
      </c>
      <c r="G5" s="36">
        <f>SUMIFS('Vendor Invoices'!$M:$M,'Vendor Invoices'!$Q:$Q,'Aging Schedule'!G$3,'Vendor Invoices'!$C:$C,'Aging Schedule'!$B5)</f>
        <v>145061.64139999999</v>
      </c>
    </row>
    <row r="6" spans="1:7" ht="20.149999999999999" customHeight="1" x14ac:dyDescent="0.25">
      <c r="B6" s="35" t="s">
        <v>35</v>
      </c>
      <c r="C6" s="36">
        <f>SUMIFS('Vendor Invoices'!$M:$M,'Vendor Invoices'!$Q:$Q,'Aging Schedule'!C$3,'Vendor Invoices'!$C:$C,'Aging Schedule'!$B6)</f>
        <v>148315</v>
      </c>
      <c r="D6" s="36">
        <f>SUMIFS('Vendor Invoices'!$M:$M,'Vendor Invoices'!$Q:$Q,'Aging Schedule'!D$3,'Vendor Invoices'!$C:$C,'Aging Schedule'!$B6)</f>
        <v>60629</v>
      </c>
      <c r="E6" s="36">
        <f>SUMIFS('Vendor Invoices'!$M:$M,'Vendor Invoices'!$Q:$Q,'Aging Schedule'!E$3,'Vendor Invoices'!$C:$C,'Aging Schedule'!$B6)</f>
        <v>0</v>
      </c>
      <c r="F6" s="36">
        <f>SUMIFS('Vendor Invoices'!$M:$M,'Vendor Invoices'!$Q:$Q,'Aging Schedule'!F$3,'Vendor Invoices'!$C:$C,'Aging Schedule'!$B6)</f>
        <v>143172</v>
      </c>
      <c r="G6" s="36">
        <f>SUMIFS('Vendor Invoices'!$M:$M,'Vendor Invoices'!$Q:$Q,'Aging Schedule'!G$3,'Vendor Invoices'!$C:$C,'Aging Schedule'!$B6)</f>
        <v>54373</v>
      </c>
    </row>
    <row r="7" spans="1:7" ht="20.149999999999999" customHeight="1" x14ac:dyDescent="0.25">
      <c r="B7" s="35" t="s">
        <v>36</v>
      </c>
      <c r="C7" s="36">
        <f>SUMIFS('Vendor Invoices'!$M:$M,'Vendor Invoices'!$Q:$Q,'Aging Schedule'!C$3,'Vendor Invoices'!$C:$C,'Aging Schedule'!$B7)</f>
        <v>0</v>
      </c>
      <c r="D7" s="36">
        <f>SUMIFS('Vendor Invoices'!$M:$M,'Vendor Invoices'!$Q:$Q,'Aging Schedule'!D$3,'Vendor Invoices'!$C:$C,'Aging Schedule'!$B7)</f>
        <v>0</v>
      </c>
      <c r="E7" s="36">
        <f>SUMIFS('Vendor Invoices'!$M:$M,'Vendor Invoices'!$Q:$Q,'Aging Schedule'!E$3,'Vendor Invoices'!$C:$C,'Aging Schedule'!$B7)</f>
        <v>80283.34</v>
      </c>
      <c r="F7" s="36">
        <f>SUMIFS('Vendor Invoices'!$M:$M,'Vendor Invoices'!$Q:$Q,'Aging Schedule'!F$3,'Vendor Invoices'!$C:$C,'Aging Schedule'!$B7)</f>
        <v>270218.39</v>
      </c>
      <c r="G7" s="36">
        <f>SUMIFS('Vendor Invoices'!$M:$M,'Vendor Invoices'!$Q:$Q,'Aging Schedule'!G$3,'Vendor Invoices'!$C:$C,'Aging Schedule'!$B7)</f>
        <v>40766.58</v>
      </c>
    </row>
    <row r="8" spans="1:7" ht="20.149999999999999" customHeight="1" x14ac:dyDescent="0.25">
      <c r="B8" s="35" t="s">
        <v>37</v>
      </c>
      <c r="C8" s="36">
        <f>SUMIFS('Vendor Invoices'!$M:$M,'Vendor Invoices'!$Q:$Q,'Aging Schedule'!C$3,'Vendor Invoices'!$C:$C,'Aging Schedule'!$B8)</f>
        <v>163016</v>
      </c>
      <c r="D8" s="36">
        <f>SUMIFS('Vendor Invoices'!$M:$M,'Vendor Invoices'!$Q:$Q,'Aging Schedule'!D$3,'Vendor Invoices'!$C:$C,'Aging Schedule'!$B8)</f>
        <v>54957</v>
      </c>
      <c r="E8" s="36">
        <f>SUMIFS('Vendor Invoices'!$M:$M,'Vendor Invoices'!$Q:$Q,'Aging Schedule'!E$3,'Vendor Invoices'!$C:$C,'Aging Schedule'!$B8)</f>
        <v>0</v>
      </c>
      <c r="F8" s="36">
        <f>SUMIFS('Vendor Invoices'!$M:$M,'Vendor Invoices'!$Q:$Q,'Aging Schedule'!F$3,'Vendor Invoices'!$C:$C,'Aging Schedule'!$B8)</f>
        <v>0</v>
      </c>
      <c r="G8" s="36">
        <f>SUMIFS('Vendor Invoices'!$M:$M,'Vendor Invoices'!$Q:$Q,'Aging Schedule'!G$3,'Vendor Invoices'!$C:$C,'Aging Schedule'!$B8)</f>
        <v>94001.799999999988</v>
      </c>
    </row>
    <row r="9" spans="1:7" ht="20.149999999999999" customHeight="1" x14ac:dyDescent="0.25">
      <c r="B9" s="35" t="s">
        <v>38</v>
      </c>
      <c r="C9" s="36">
        <f>SUMIFS('Vendor Invoices'!$M:$M,'Vendor Invoices'!$Q:$Q,'Aging Schedule'!C$3,'Vendor Invoices'!$C:$C,'Aging Schedule'!$B9)</f>
        <v>5302.1699999999983</v>
      </c>
      <c r="D9" s="36">
        <f>SUMIFS('Vendor Invoices'!$M:$M,'Vendor Invoices'!$Q:$Q,'Aging Schedule'!D$3,'Vendor Invoices'!$C:$C,'Aging Schedule'!$B9)</f>
        <v>94685</v>
      </c>
      <c r="E9" s="36">
        <f>SUMIFS('Vendor Invoices'!$M:$M,'Vendor Invoices'!$Q:$Q,'Aging Schedule'!E$3,'Vendor Invoices'!$C:$C,'Aging Schedule'!$B9)</f>
        <v>11484.970000000001</v>
      </c>
      <c r="F9" s="36">
        <f>SUMIFS('Vendor Invoices'!$M:$M,'Vendor Invoices'!$Q:$Q,'Aging Schedule'!F$3,'Vendor Invoices'!$C:$C,'Aging Schedule'!$B9)</f>
        <v>280588.82487499999</v>
      </c>
      <c r="G9" s="36">
        <f>SUMIFS('Vendor Invoices'!$M:$M,'Vendor Invoices'!$Q:$Q,'Aging Schedule'!G$3,'Vendor Invoices'!$C:$C,'Aging Schedule'!$B9)</f>
        <v>46061.078824000011</v>
      </c>
    </row>
    <row r="10" spans="1:7" ht="20.149999999999999" customHeight="1" x14ac:dyDescent="0.25">
      <c r="B10" s="35" t="s">
        <v>39</v>
      </c>
      <c r="C10" s="36">
        <f>SUMIFS('Vendor Invoices'!$M:$M,'Vendor Invoices'!$Q:$Q,'Aging Schedule'!C$3,'Vendor Invoices'!$C:$C,'Aging Schedule'!$B10)</f>
        <v>80545</v>
      </c>
      <c r="D10" s="36">
        <f>SUMIFS('Vendor Invoices'!$M:$M,'Vendor Invoices'!$Q:$Q,'Aging Schedule'!D$3,'Vendor Invoices'!$C:$C,'Aging Schedule'!$B10)</f>
        <v>125329</v>
      </c>
      <c r="E10" s="36">
        <f>SUMIFS('Vendor Invoices'!$M:$M,'Vendor Invoices'!$Q:$Q,'Aging Schedule'!E$3,'Vendor Invoices'!$C:$C,'Aging Schedule'!$B10)</f>
        <v>105881</v>
      </c>
      <c r="F10" s="36">
        <f>SUMIFS('Vendor Invoices'!$M:$M,'Vendor Invoices'!$Q:$Q,'Aging Schedule'!F$3,'Vendor Invoices'!$C:$C,'Aging Schedule'!$B10)</f>
        <v>0</v>
      </c>
      <c r="G10" s="36">
        <f>SUMIFS('Vendor Invoices'!$M:$M,'Vendor Invoices'!$Q:$Q,'Aging Schedule'!G$3,'Vendor Invoices'!$C:$C,'Aging Schedule'!$B10)</f>
        <v>14301.64</v>
      </c>
    </row>
    <row r="11" spans="1:7" ht="20.149999999999999" customHeight="1" x14ac:dyDescent="0.25">
      <c r="B11" s="35" t="s">
        <v>40</v>
      </c>
      <c r="C11" s="36">
        <f>SUMIFS('Vendor Invoices'!$M:$M,'Vendor Invoices'!$Q:$Q,'Aging Schedule'!C$3,'Vendor Invoices'!$C:$C,'Aging Schedule'!$B11)</f>
        <v>243704</v>
      </c>
      <c r="D11" s="36">
        <f>SUMIFS('Vendor Invoices'!$M:$M,'Vendor Invoices'!$Q:$Q,'Aging Schedule'!D$3,'Vendor Invoices'!$C:$C,'Aging Schedule'!$B11)</f>
        <v>0</v>
      </c>
      <c r="E11" s="36">
        <f>SUMIFS('Vendor Invoices'!$M:$M,'Vendor Invoices'!$Q:$Q,'Aging Schedule'!E$3,'Vendor Invoices'!$C:$C,'Aging Schedule'!$B11)</f>
        <v>109875</v>
      </c>
      <c r="F11" s="36">
        <f>SUMIFS('Vendor Invoices'!$M:$M,'Vendor Invoices'!$Q:$Q,'Aging Schedule'!F$3,'Vendor Invoices'!$C:$C,'Aging Schedule'!$B11)</f>
        <v>0</v>
      </c>
      <c r="G11" s="36">
        <f>SUMIFS('Vendor Invoices'!$M:$M,'Vendor Invoices'!$Q:$Q,'Aging Schedule'!G$3,'Vendor Invoices'!$C:$C,'Aging Schedule'!$B11)</f>
        <v>17301.819999999992</v>
      </c>
    </row>
    <row r="12" spans="1:7" ht="20.149999999999999" customHeight="1" x14ac:dyDescent="0.25">
      <c r="B12" s="35" t="s">
        <v>41</v>
      </c>
      <c r="C12" s="36">
        <f>SUMIFS('Vendor Invoices'!$M:$M,'Vendor Invoices'!$Q:$Q,'Aging Schedule'!C$3,'Vendor Invoices'!$C:$C,'Aging Schedule'!$B12)</f>
        <v>114255</v>
      </c>
      <c r="D12" s="36">
        <f>SUMIFS('Vendor Invoices'!$M:$M,'Vendor Invoices'!$Q:$Q,'Aging Schedule'!D$3,'Vendor Invoices'!$C:$C,'Aging Schedule'!$B12)</f>
        <v>49381.819999999992</v>
      </c>
      <c r="E12" s="36">
        <f>SUMIFS('Vendor Invoices'!$M:$M,'Vendor Invoices'!$Q:$Q,'Aging Schedule'!E$3,'Vendor Invoices'!$C:$C,'Aging Schedule'!$B12)</f>
        <v>186920</v>
      </c>
      <c r="F12" s="36">
        <f>SUMIFS('Vendor Invoices'!$M:$M,'Vendor Invoices'!$Q:$Q,'Aging Schedule'!F$3,'Vendor Invoices'!$C:$C,'Aging Schedule'!$B12)</f>
        <v>147330</v>
      </c>
      <c r="G12" s="36">
        <f>SUMIFS('Vendor Invoices'!$M:$M,'Vendor Invoices'!$Q:$Q,'Aging Schedule'!G$3,'Vendor Invoices'!$C:$C,'Aging Schedule'!$B12)</f>
        <v>33793.341235999978</v>
      </c>
    </row>
    <row r="13" spans="1:7" ht="20.149999999999999" customHeight="1" x14ac:dyDescent="0.25">
      <c r="B13" s="35" t="s">
        <v>42</v>
      </c>
      <c r="C13" s="36">
        <f>SUMIFS('Vendor Invoices'!$M:$M,'Vendor Invoices'!$Q:$Q,'Aging Schedule'!C$3,'Vendor Invoices'!$C:$C,'Aging Schedule'!$B13)</f>
        <v>63415</v>
      </c>
      <c r="D13" s="36">
        <f>SUMIFS('Vendor Invoices'!$M:$M,'Vendor Invoices'!$Q:$Q,'Aging Schedule'!D$3,'Vendor Invoices'!$C:$C,'Aging Schedule'!$B13)</f>
        <v>172322</v>
      </c>
      <c r="E13" s="36">
        <f>SUMIFS('Vendor Invoices'!$M:$M,'Vendor Invoices'!$Q:$Q,'Aging Schedule'!E$3,'Vendor Invoices'!$C:$C,'Aging Schedule'!$B13)</f>
        <v>95968</v>
      </c>
      <c r="F13" s="36">
        <f>SUMIFS('Vendor Invoices'!$M:$M,'Vendor Invoices'!$Q:$Q,'Aging Schedule'!F$3,'Vendor Invoices'!$C:$C,'Aging Schedule'!$B13)</f>
        <v>186849</v>
      </c>
      <c r="G13" s="36">
        <f>SUMIFS('Vendor Invoices'!$M:$M,'Vendor Invoices'!$Q:$Q,'Aging Schedule'!G$3,'Vendor Invoices'!$C:$C,'Aging Schedule'!$B13)</f>
        <v>7943.6000000000058</v>
      </c>
    </row>
    <row r="16" spans="1:7" ht="13" x14ac:dyDescent="0.25">
      <c r="B16" s="37" t="s">
        <v>49</v>
      </c>
      <c r="C16" s="38"/>
      <c r="D16" s="38"/>
    </row>
    <row r="17" spans="2:4" ht="13" x14ac:dyDescent="0.3">
      <c r="B17" s="39" t="s">
        <v>50</v>
      </c>
      <c r="C17" s="39" t="s">
        <v>51</v>
      </c>
      <c r="D17" s="39" t="s">
        <v>52</v>
      </c>
    </row>
    <row r="18" spans="2:4" x14ac:dyDescent="0.25">
      <c r="B18" s="40">
        <v>0</v>
      </c>
      <c r="C18" s="40">
        <v>30</v>
      </c>
      <c r="D18" s="40" t="s">
        <v>44</v>
      </c>
    </row>
    <row r="19" spans="2:4" x14ac:dyDescent="0.25">
      <c r="B19" s="40">
        <v>31</v>
      </c>
      <c r="C19" s="40">
        <v>45</v>
      </c>
      <c r="D19" s="40" t="s">
        <v>45</v>
      </c>
    </row>
    <row r="20" spans="2:4" x14ac:dyDescent="0.25">
      <c r="B20" s="40">
        <v>46</v>
      </c>
      <c r="C20" s="40">
        <v>60</v>
      </c>
      <c r="D20" s="40" t="s">
        <v>46</v>
      </c>
    </row>
    <row r="21" spans="2:4" x14ac:dyDescent="0.25">
      <c r="B21" s="40">
        <v>61</v>
      </c>
      <c r="C21" s="40">
        <v>90</v>
      </c>
      <c r="D21" s="40" t="s">
        <v>47</v>
      </c>
    </row>
    <row r="22" spans="2:4" x14ac:dyDescent="0.25">
      <c r="B22" s="40">
        <v>91</v>
      </c>
      <c r="C22" s="40">
        <v>1E+100</v>
      </c>
      <c r="D22" s="40" t="s">
        <v>48</v>
      </c>
    </row>
    <row r="23" spans="2:4" x14ac:dyDescent="0.25">
      <c r="B23" s="41"/>
      <c r="C23" s="4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9DCC-1E8C-4EB2-A872-3696229774E9}">
  <sheetPr>
    <tabColor theme="0"/>
  </sheetPr>
  <dimension ref="A1"/>
  <sheetViews>
    <sheetView topLeftCell="XFD1048576" workbookViewId="0">
      <selection sqref="A1:XFD1048576"/>
    </sheetView>
  </sheetViews>
  <sheetFormatPr defaultColWidth="0" defaultRowHeight="14.5" zeroHeight="1" x14ac:dyDescent="0.35"/>
  <cols>
    <col min="1" max="16384" width="9.1796875" hidden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F6BD-DC6B-4F19-82D6-5EF5C18A8FFC}">
  <sheetPr>
    <tabColor theme="9" tint="-0.499984740745262"/>
  </sheetPr>
  <dimension ref="B1:S206"/>
  <sheetViews>
    <sheetView showGridLines="0" zoomScale="70" zoomScaleNormal="70" workbookViewId="0">
      <selection activeCell="J12" sqref="J12"/>
    </sheetView>
  </sheetViews>
  <sheetFormatPr defaultColWidth="9.1796875" defaultRowHeight="12.5" x14ac:dyDescent="0.25"/>
  <cols>
    <col min="1" max="1" width="1.7265625" style="1" customWidth="1"/>
    <col min="2" max="2" width="13.1796875" style="1" bestFit="1" customWidth="1"/>
    <col min="3" max="3" width="16.36328125" style="1" bestFit="1" customWidth="1"/>
    <col min="4" max="4" width="14" style="1" bestFit="1" customWidth="1"/>
    <col min="5" max="5" width="12.453125" style="1" bestFit="1" customWidth="1"/>
    <col min="6" max="6" width="11.54296875" style="1" bestFit="1" customWidth="1"/>
    <col min="7" max="7" width="21" style="72" bestFit="1" customWidth="1"/>
    <col min="8" max="8" width="1.6328125" style="1" customWidth="1"/>
    <col min="9" max="9" width="13.36328125" style="1" bestFit="1" customWidth="1"/>
    <col min="10" max="10" width="50.453125" style="71" bestFit="1" customWidth="1"/>
    <col min="11" max="11" width="16.1796875" style="1" bestFit="1" customWidth="1"/>
    <col min="12" max="12" width="14.90625" style="1" bestFit="1" customWidth="1"/>
    <col min="13" max="13" width="21.6328125" style="72" bestFit="1" customWidth="1"/>
    <col min="14" max="14" width="35.1796875" style="1" bestFit="1" customWidth="1"/>
    <col min="15" max="15" width="26.36328125" style="1" bestFit="1" customWidth="1"/>
    <col min="16" max="16" width="16.453125" style="1" bestFit="1" customWidth="1"/>
    <col min="17" max="17" width="12.453125" style="1" bestFit="1" customWidth="1"/>
    <col min="18" max="18" width="10.36328125" style="1" hidden="1" customWidth="1"/>
    <col min="19" max="19" width="13.81640625" style="1" bestFit="1" customWidth="1"/>
    <col min="20" max="22" width="9.1796875" style="1" customWidth="1"/>
    <col min="23" max="16384" width="9.1796875" style="1"/>
  </cols>
  <sheetData>
    <row r="1" spans="2:19" s="3" customFormat="1" ht="25" x14ac:dyDescent="0.5">
      <c r="B1" s="3" t="s">
        <v>3</v>
      </c>
      <c r="G1" s="74"/>
      <c r="M1" s="74"/>
    </row>
    <row r="2" spans="2:19" ht="5.15" customHeight="1" x14ac:dyDescent="0.25"/>
    <row r="3" spans="2:19" ht="13" x14ac:dyDescent="0.3">
      <c r="B3" s="8" t="s">
        <v>54</v>
      </c>
      <c r="C3" s="42">
        <f>DATE(2024,1,10)</f>
        <v>45301</v>
      </c>
      <c r="J3" s="54" t="s">
        <v>463</v>
      </c>
      <c r="N3" s="76" t="s">
        <v>462</v>
      </c>
    </row>
    <row r="4" spans="2:19" ht="5.15" customHeight="1" x14ac:dyDescent="0.25"/>
    <row r="5" spans="2:19" ht="13" x14ac:dyDescent="0.3">
      <c r="B5" s="68" t="s">
        <v>31</v>
      </c>
      <c r="C5" s="68" t="s">
        <v>25</v>
      </c>
      <c r="D5" s="68" t="s">
        <v>55</v>
      </c>
      <c r="E5" s="68" t="s">
        <v>32</v>
      </c>
      <c r="F5" s="68" t="s">
        <v>9</v>
      </c>
      <c r="G5" s="75" t="s">
        <v>56</v>
      </c>
      <c r="I5" s="54" t="s">
        <v>260</v>
      </c>
      <c r="J5" s="54" t="s">
        <v>453</v>
      </c>
      <c r="K5" s="54" t="s">
        <v>454</v>
      </c>
      <c r="L5" s="54" t="s">
        <v>455</v>
      </c>
      <c r="M5" s="76" t="s">
        <v>456</v>
      </c>
      <c r="N5" s="76" t="s">
        <v>457</v>
      </c>
      <c r="O5" s="76" t="s">
        <v>458</v>
      </c>
      <c r="P5" s="54" t="s">
        <v>460</v>
      </c>
      <c r="Q5" s="54" t="s">
        <v>459</v>
      </c>
      <c r="S5" s="76" t="s">
        <v>464</v>
      </c>
    </row>
    <row r="6" spans="2:19" x14ac:dyDescent="0.25">
      <c r="B6" s="1" t="s">
        <v>57</v>
      </c>
      <c r="C6" s="1" t="s">
        <v>33</v>
      </c>
      <c r="D6" s="43">
        <v>44830</v>
      </c>
      <c r="E6" s="43">
        <v>44931</v>
      </c>
      <c r="F6" s="1" t="s">
        <v>18</v>
      </c>
      <c r="G6" s="72">
        <v>62887</v>
      </c>
      <c r="I6" s="67" cm="1">
        <f t="array" ref="I6:I205">IFERROR(_xlfn.XLOOKUP(B6:B205,'Payment HIstory'!D10:D156,'Payment HIstory'!H10:H156),"")</f>
        <v>44931</v>
      </c>
      <c r="J6" s="73" t="str">
        <f>IFERROR(IF(I6&gt;E6,(I6-E6)*_xlfn.XLOOKUP(C6,'Vendor Details'!$B$4:$B$33,'Vendor Details'!$F$4:$F$33)*'Vendor Invoices'!G6,""),0)</f>
        <v/>
      </c>
      <c r="K6" s="72">
        <f>IFERROR(_xlfn.XLOOKUP(B6,'Payment HIstory'!$D:$D,'Payment HIstory'!$F:$F),0)</f>
        <v>62887</v>
      </c>
      <c r="L6" s="1" t="str">
        <f t="shared" ref="L6:L69" si="0">IF(I6&lt;&gt;"",IF(K6&gt;=SUM(G6,J6),"Paid","Outstanding"),"Outstanding")</f>
        <v>Paid</v>
      </c>
      <c r="M6" s="72">
        <f>IF(L6="Outstanding",G6-K6,0)</f>
        <v>0</v>
      </c>
      <c r="N6" s="72">
        <f>IF(L6="Outstanding",($C$3-E6)*_xlfn.XLOOKUP(C6,'Vendor Details'!$B:$B,'Vendor Details'!$F:$F)*'Vendor Invoices'!G6,0)</f>
        <v>0</v>
      </c>
      <c r="O6" s="77">
        <f>SUM(M6,N6)</f>
        <v>0</v>
      </c>
      <c r="P6" s="70" t="str">
        <f t="shared" ref="P6:P37" si="1">IF(L6="Outstanding",$C$3-E6,"")</f>
        <v/>
      </c>
      <c r="Q6" s="1" t="str" cm="1">
        <f t="array" ref="Q6">IF(L6="Outstanding",_xlfn.XLOOKUP(1,(P6&gt;='Aging Schedule'!$B$18:$B$22)*(P6&lt;='Aging Schedule'!$C$18:$C$22),'Aging Schedule'!$D$18:$D$22),"")</f>
        <v/>
      </c>
      <c r="R6" s="1" t="str">
        <f>IF(L6="Outstanding",VLOOKUP(P6,'Aging Schedule'!$B$18:$D$22,3),"")</f>
        <v/>
      </c>
      <c r="S6" s="77">
        <f>SUM(N6,J6)</f>
        <v>0</v>
      </c>
    </row>
    <row r="7" spans="2:19" x14ac:dyDescent="0.25">
      <c r="B7" s="1" t="s">
        <v>58</v>
      </c>
      <c r="C7" s="1" t="s">
        <v>34</v>
      </c>
      <c r="D7" s="43">
        <v>44943</v>
      </c>
      <c r="E7" s="43">
        <v>44967</v>
      </c>
      <c r="F7" s="1" t="s">
        <v>19</v>
      </c>
      <c r="G7" s="72">
        <v>48348</v>
      </c>
      <c r="I7" s="67">
        <v>44967</v>
      </c>
      <c r="J7" s="73" t="str">
        <f>IFERROR(IF(I7&gt;E7,(I7-E7)*_xlfn.XLOOKUP(C7,'Vendor Details'!$B$4:$B$33,'Vendor Details'!$F$4:$F$33)*'Vendor Invoices'!G7,""),0)</f>
        <v/>
      </c>
      <c r="K7" s="72">
        <f>IFERROR(_xlfn.XLOOKUP(B7,'Payment HIstory'!$D:$D,'Payment HIstory'!$F:$F),0)</f>
        <v>48348</v>
      </c>
      <c r="L7" s="1" t="str">
        <f t="shared" si="0"/>
        <v>Paid</v>
      </c>
      <c r="M7" s="72">
        <f t="shared" ref="M7:M70" si="2">IF(L7="Outstanding",G7-K7,0)</f>
        <v>0</v>
      </c>
      <c r="N7" s="72">
        <f>IF(L7="Outstanding",($C$3-E7)*_xlfn.XLOOKUP(C7,'Vendor Details'!$B:$B,'Vendor Details'!$F:$F)*'Vendor Invoices'!G7,0)</f>
        <v>0</v>
      </c>
      <c r="O7" s="77">
        <f t="shared" ref="O7:O70" si="3">SUM(M7,N7)</f>
        <v>0</v>
      </c>
      <c r="P7" s="70" t="str">
        <f t="shared" si="1"/>
        <v/>
      </c>
      <c r="Q7" s="1" t="str" cm="1">
        <f t="array" ref="Q7">IF(L7="Outstanding",_xlfn.XLOOKUP(1,(P7&gt;='Aging Schedule'!$B$18:$B$22)*(P7&lt;='Aging Schedule'!$C$18:$C$22),'Aging Schedule'!$D$18:$D$22),"")</f>
        <v/>
      </c>
      <c r="R7" s="1" t="str">
        <f>IF(L7="Outstanding",VLOOKUP(P7,'Aging Schedule'!$B$18:$D$22,3),"")</f>
        <v/>
      </c>
      <c r="S7" s="77">
        <f t="shared" ref="S7:S70" si="4">SUM(N7,J7)</f>
        <v>0</v>
      </c>
    </row>
    <row r="8" spans="2:19" x14ac:dyDescent="0.25">
      <c r="B8" s="1" t="s">
        <v>59</v>
      </c>
      <c r="C8" s="1" t="s">
        <v>35</v>
      </c>
      <c r="D8" s="43">
        <v>44975</v>
      </c>
      <c r="E8" s="43">
        <v>45000</v>
      </c>
      <c r="F8" s="1" t="s">
        <v>20</v>
      </c>
      <c r="G8" s="72">
        <v>43929</v>
      </c>
      <c r="I8" s="67">
        <v>45000</v>
      </c>
      <c r="J8" s="73" t="str">
        <f>IFERROR(IF(I8&gt;E8,(I8-E8)*_xlfn.XLOOKUP(C8,'Vendor Details'!$B$4:$B$33,'Vendor Details'!$F$4:$F$33)*'Vendor Invoices'!G8,""),0)</f>
        <v/>
      </c>
      <c r="K8" s="72">
        <f>IFERROR(_xlfn.XLOOKUP(B8,'Payment HIstory'!$D:$D,'Payment HIstory'!$F:$F),0)</f>
        <v>43929</v>
      </c>
      <c r="L8" s="1" t="str">
        <f t="shared" si="0"/>
        <v>Paid</v>
      </c>
      <c r="M8" s="72">
        <f t="shared" si="2"/>
        <v>0</v>
      </c>
      <c r="N8" s="72">
        <f>IF(L8="Outstanding",($C$3-E8)*_xlfn.XLOOKUP(C8,'Vendor Details'!$B:$B,'Vendor Details'!$F:$F)*'Vendor Invoices'!G8,0)</f>
        <v>0</v>
      </c>
      <c r="O8" s="77">
        <f t="shared" si="3"/>
        <v>0</v>
      </c>
      <c r="P8" s="70" t="str">
        <f t="shared" si="1"/>
        <v/>
      </c>
      <c r="Q8" s="1" t="str" cm="1">
        <f t="array" ref="Q8">IF(L8="Outstanding",_xlfn.XLOOKUP(1,(P8&gt;='Aging Schedule'!$B$18:$B$22)*(P8&lt;='Aging Schedule'!$C$18:$C$22),'Aging Schedule'!$D$18:$D$22),"")</f>
        <v/>
      </c>
      <c r="R8" s="1" t="str">
        <f>IF(L8="Outstanding",VLOOKUP(P8,'Aging Schedule'!$B$18:$D$22,3),"")</f>
        <v/>
      </c>
      <c r="S8" s="77">
        <f t="shared" si="4"/>
        <v>0</v>
      </c>
    </row>
    <row r="9" spans="2:19" x14ac:dyDescent="0.25">
      <c r="B9" s="1" t="s">
        <v>60</v>
      </c>
      <c r="C9" s="1" t="s">
        <v>36</v>
      </c>
      <c r="D9" s="43">
        <v>44949</v>
      </c>
      <c r="E9" s="43">
        <v>45036</v>
      </c>
      <c r="F9" s="1" t="s">
        <v>21</v>
      </c>
      <c r="G9" s="72">
        <v>94509</v>
      </c>
      <c r="I9" s="67">
        <v>45036</v>
      </c>
      <c r="J9" s="73" t="str">
        <f>IFERROR(IF(I9&gt;E9,(I9-E9)*_xlfn.XLOOKUP(C9,'Vendor Details'!$B$4:$B$33,'Vendor Details'!$F$4:$F$33)*'Vendor Invoices'!G9,""),0)</f>
        <v/>
      </c>
      <c r="K9" s="72">
        <f>IFERROR(_xlfn.XLOOKUP(B9,'Payment HIstory'!$D:$D,'Payment HIstory'!$F:$F),0)</f>
        <v>94509</v>
      </c>
      <c r="L9" s="1" t="str">
        <f t="shared" si="0"/>
        <v>Paid</v>
      </c>
      <c r="M9" s="72">
        <f t="shared" si="2"/>
        <v>0</v>
      </c>
      <c r="N9" s="72">
        <f>IF(L9="Outstanding",($C$3-E9)*_xlfn.XLOOKUP(C9,'Vendor Details'!$B:$B,'Vendor Details'!$F:$F)*'Vendor Invoices'!G9,0)</f>
        <v>0</v>
      </c>
      <c r="O9" s="77">
        <f t="shared" si="3"/>
        <v>0</v>
      </c>
      <c r="P9" s="70" t="str">
        <f t="shared" si="1"/>
        <v/>
      </c>
      <c r="Q9" s="1" t="str" cm="1">
        <f t="array" ref="Q9">IF(L9="Outstanding",_xlfn.XLOOKUP(1,(P9&gt;='Aging Schedule'!$B$18:$B$22)*(P9&lt;='Aging Schedule'!$C$18:$C$22),'Aging Schedule'!$D$18:$D$22),"")</f>
        <v/>
      </c>
      <c r="R9" s="1" t="str">
        <f>IF(L9="Outstanding",VLOOKUP(P9,'Aging Schedule'!$B$18:$D$22,3),"")</f>
        <v/>
      </c>
      <c r="S9" s="77">
        <f t="shared" si="4"/>
        <v>0</v>
      </c>
    </row>
    <row r="10" spans="2:19" x14ac:dyDescent="0.25">
      <c r="B10" s="1" t="s">
        <v>61</v>
      </c>
      <c r="C10" s="1" t="s">
        <v>37</v>
      </c>
      <c r="D10" s="43">
        <v>45027</v>
      </c>
      <c r="E10" s="43">
        <v>45071</v>
      </c>
      <c r="F10" s="1" t="s">
        <v>18</v>
      </c>
      <c r="G10" s="72">
        <v>57908</v>
      </c>
      <c r="I10" s="67">
        <v>45100</v>
      </c>
      <c r="J10" s="73">
        <f>IFERROR(IF(I10&gt;E10,(I10-E10)*_xlfn.XLOOKUP(C10,'Vendor Details'!$B$4:$B$33,'Vendor Details'!$F$4:$F$33)*'Vendor Invoices'!G10,""),0)</f>
        <v>923.63259999999991</v>
      </c>
      <c r="K10" s="72">
        <f>IFERROR(_xlfn.XLOOKUP(B10,'Payment HIstory'!$D:$D,'Payment HIstory'!$F:$F),0)</f>
        <v>58831.632599999997</v>
      </c>
      <c r="L10" s="1" t="str">
        <f t="shared" si="0"/>
        <v>Paid</v>
      </c>
      <c r="M10" s="72">
        <f t="shared" si="2"/>
        <v>0</v>
      </c>
      <c r="N10" s="72">
        <f>IF(L10="Outstanding",($C$3-E10)*_xlfn.XLOOKUP(C10,'Vendor Details'!$B:$B,'Vendor Details'!$F:$F)*'Vendor Invoices'!G10,0)</f>
        <v>0</v>
      </c>
      <c r="O10" s="77">
        <f t="shared" si="3"/>
        <v>0</v>
      </c>
      <c r="P10" s="70" t="str">
        <f t="shared" si="1"/>
        <v/>
      </c>
      <c r="Q10" s="1" t="str" cm="1">
        <f t="array" ref="Q10">IF(L10="Outstanding",_xlfn.XLOOKUP(1,(P10&gt;='Aging Schedule'!$B$18:$B$22)*(P10&lt;='Aging Schedule'!$C$18:$C$22),'Aging Schedule'!$D$18:$D$22),"")</f>
        <v/>
      </c>
      <c r="R10" s="1" t="str">
        <f>IF(L10="Outstanding",VLOOKUP(P10,'Aging Schedule'!$B$18:$D$22,3),"")</f>
        <v/>
      </c>
      <c r="S10" s="77">
        <f t="shared" si="4"/>
        <v>923.63259999999991</v>
      </c>
    </row>
    <row r="11" spans="2:19" x14ac:dyDescent="0.25">
      <c r="B11" s="1" t="s">
        <v>62</v>
      </c>
      <c r="C11" s="1" t="s">
        <v>38</v>
      </c>
      <c r="D11" s="43">
        <v>45205</v>
      </c>
      <c r="E11" s="43">
        <v>45235</v>
      </c>
      <c r="F11" s="1" t="s">
        <v>19</v>
      </c>
      <c r="G11" s="72">
        <v>84268</v>
      </c>
      <c r="I11" s="67" t="str">
        <v/>
      </c>
      <c r="J11" s="73">
        <f>IFERROR(IF(I11&gt;E11,(I11-E11)*_xlfn.XLOOKUP(C11,'Vendor Details'!$B$4:$B$33,'Vendor Details'!$F$4:$F$33)*'Vendor Invoices'!G11,""),0)</f>
        <v>0</v>
      </c>
      <c r="K11" s="72">
        <f>IFERROR(_xlfn.XLOOKUP(B11,'Payment HIstory'!$D:$D,'Payment HIstory'!$F:$F),0)</f>
        <v>0</v>
      </c>
      <c r="L11" s="1" t="str">
        <f t="shared" si="0"/>
        <v>Outstanding</v>
      </c>
      <c r="M11" s="72">
        <f t="shared" si="2"/>
        <v>84268</v>
      </c>
      <c r="N11" s="72">
        <f>IF(L11="Outstanding",($C$3-E11)*_xlfn.XLOOKUP(C11,'Vendor Details'!$B:$B,'Vendor Details'!$F:$F)*'Vendor Invoices'!G11,0)</f>
        <v>278.08440000000002</v>
      </c>
      <c r="O11" s="77">
        <f t="shared" si="3"/>
        <v>84546.084400000007</v>
      </c>
      <c r="P11" s="70">
        <f t="shared" si="1"/>
        <v>66</v>
      </c>
      <c r="Q11" s="1" t="str" cm="1">
        <f t="array" ref="Q11">IF(L11="Outstanding",_xlfn.XLOOKUP(1,(P11&gt;='Aging Schedule'!$B$18:$B$22)*(P11&lt;='Aging Schedule'!$C$18:$C$22),'Aging Schedule'!$D$18:$D$22),"")</f>
        <v>61-90 Days</v>
      </c>
      <c r="R11" s="1" t="str">
        <f>IF(L11="Outstanding",VLOOKUP(P11,'Aging Schedule'!$B$18:$D$22,3),"")</f>
        <v>61-90 Days</v>
      </c>
      <c r="S11" s="77">
        <f t="shared" si="4"/>
        <v>278.08440000000002</v>
      </c>
    </row>
    <row r="12" spans="2:19" x14ac:dyDescent="0.25">
      <c r="B12" s="1" t="s">
        <v>63</v>
      </c>
      <c r="C12" s="1" t="s">
        <v>36</v>
      </c>
      <c r="D12" s="43">
        <v>44993</v>
      </c>
      <c r="E12" s="43">
        <v>45112</v>
      </c>
      <c r="F12" s="1" t="s">
        <v>20</v>
      </c>
      <c r="G12" s="72">
        <v>70331</v>
      </c>
      <c r="I12" s="67">
        <v>45112</v>
      </c>
      <c r="J12" s="73" t="str">
        <f>IFERROR(IF(I12&gt;E12,(I12-E12)*_xlfn.XLOOKUP(C12,'Vendor Details'!$B$4:$B$33,'Vendor Details'!$F$4:$F$33)*'Vendor Invoices'!G12,""),0)</f>
        <v/>
      </c>
      <c r="K12" s="72">
        <f>IFERROR(_xlfn.XLOOKUP(B12,'Payment HIstory'!$D:$D,'Payment HIstory'!$F:$F),0)</f>
        <v>70331</v>
      </c>
      <c r="L12" s="1" t="str">
        <f t="shared" si="0"/>
        <v>Paid</v>
      </c>
      <c r="M12" s="72">
        <f t="shared" si="2"/>
        <v>0</v>
      </c>
      <c r="N12" s="72">
        <f>IF(L12="Outstanding",($C$3-E12)*_xlfn.XLOOKUP(C12,'Vendor Details'!$B:$B,'Vendor Details'!$F:$F)*'Vendor Invoices'!G12,0)</f>
        <v>0</v>
      </c>
      <c r="O12" s="77">
        <f t="shared" si="3"/>
        <v>0</v>
      </c>
      <c r="P12" s="70" t="str">
        <f t="shared" si="1"/>
        <v/>
      </c>
      <c r="Q12" s="1" t="str" cm="1">
        <f t="array" ref="Q12">IF(L12="Outstanding",_xlfn.XLOOKUP(1,(P12&gt;='Aging Schedule'!$B$18:$B$22)*(P12&lt;='Aging Schedule'!$C$18:$C$22),'Aging Schedule'!$D$18:$D$22),"")</f>
        <v/>
      </c>
      <c r="R12" s="1" t="str">
        <f>IF(L12="Outstanding",VLOOKUP(P12,'Aging Schedule'!$B$18:$D$22,3),"")</f>
        <v/>
      </c>
      <c r="S12" s="77">
        <f t="shared" si="4"/>
        <v>0</v>
      </c>
    </row>
    <row r="13" spans="2:19" x14ac:dyDescent="0.25">
      <c r="B13" s="1" t="s">
        <v>64</v>
      </c>
      <c r="C13" s="1" t="s">
        <v>38</v>
      </c>
      <c r="D13" s="43">
        <v>45058</v>
      </c>
      <c r="E13" s="43">
        <v>45148</v>
      </c>
      <c r="F13" s="1" t="s">
        <v>21</v>
      </c>
      <c r="G13" s="72">
        <v>78952</v>
      </c>
      <c r="I13" s="67">
        <v>45148</v>
      </c>
      <c r="J13" s="73" t="str">
        <f>IFERROR(IF(I13&gt;E13,(I13-E13)*_xlfn.XLOOKUP(C13,'Vendor Details'!$B$4:$B$33,'Vendor Details'!$F$4:$F$33)*'Vendor Invoices'!G13,""),0)</f>
        <v/>
      </c>
      <c r="K13" s="72">
        <f>IFERROR(_xlfn.XLOOKUP(B13,'Payment HIstory'!$D:$D,'Payment HIstory'!$F:$F),0)</f>
        <v>78952</v>
      </c>
      <c r="L13" s="1" t="str">
        <f t="shared" si="0"/>
        <v>Paid</v>
      </c>
      <c r="M13" s="72">
        <f t="shared" si="2"/>
        <v>0</v>
      </c>
      <c r="N13" s="72">
        <f>IF(L13="Outstanding",($C$3-E13)*_xlfn.XLOOKUP(C13,'Vendor Details'!$B:$B,'Vendor Details'!$F:$F)*'Vendor Invoices'!G13,0)</f>
        <v>0</v>
      </c>
      <c r="O13" s="77">
        <f t="shared" si="3"/>
        <v>0</v>
      </c>
      <c r="P13" s="70" t="str">
        <f t="shared" si="1"/>
        <v/>
      </c>
      <c r="Q13" s="1" t="str" cm="1">
        <f t="array" ref="Q13">IF(L13="Outstanding",_xlfn.XLOOKUP(1,(P13&gt;='Aging Schedule'!$B$18:$B$22)*(P13&lt;='Aging Schedule'!$C$18:$C$22),'Aging Schedule'!$D$18:$D$22),"")</f>
        <v/>
      </c>
      <c r="R13" s="1" t="str">
        <f>IF(L13="Outstanding",VLOOKUP(P13,'Aging Schedule'!$B$18:$D$22,3),"")</f>
        <v/>
      </c>
      <c r="S13" s="77">
        <f t="shared" si="4"/>
        <v>0</v>
      </c>
    </row>
    <row r="14" spans="2:19" x14ac:dyDescent="0.25">
      <c r="B14" s="1" t="s">
        <v>65</v>
      </c>
      <c r="C14" s="1" t="s">
        <v>39</v>
      </c>
      <c r="D14" s="43">
        <v>45089</v>
      </c>
      <c r="E14" s="43">
        <v>45184</v>
      </c>
      <c r="F14" s="1" t="s">
        <v>18</v>
      </c>
      <c r="G14" s="72">
        <v>74835</v>
      </c>
      <c r="I14" s="67">
        <v>45184</v>
      </c>
      <c r="J14" s="73" t="str">
        <f>IFERROR(IF(I14&gt;E14,(I14-E14)*_xlfn.XLOOKUP(C14,'Vendor Details'!$B$4:$B$33,'Vendor Details'!$F$4:$F$33)*'Vendor Invoices'!G14,""),0)</f>
        <v/>
      </c>
      <c r="K14" s="72">
        <f>IFERROR(_xlfn.XLOOKUP(B14,'Payment HIstory'!$D:$D,'Payment HIstory'!$F:$F),0)</f>
        <v>74835</v>
      </c>
      <c r="L14" s="1" t="str">
        <f t="shared" si="0"/>
        <v>Paid</v>
      </c>
      <c r="M14" s="72">
        <f t="shared" si="2"/>
        <v>0</v>
      </c>
      <c r="N14" s="72">
        <f>IF(L14="Outstanding",($C$3-E14)*_xlfn.XLOOKUP(C14,'Vendor Details'!$B:$B,'Vendor Details'!$F:$F)*'Vendor Invoices'!G14,0)</f>
        <v>0</v>
      </c>
      <c r="O14" s="77">
        <f t="shared" si="3"/>
        <v>0</v>
      </c>
      <c r="P14" s="70" t="str">
        <f t="shared" si="1"/>
        <v/>
      </c>
      <c r="Q14" s="1" t="str" cm="1">
        <f t="array" ref="Q14">IF(L14="Outstanding",_xlfn.XLOOKUP(1,(P14&gt;='Aging Schedule'!$B$18:$B$22)*(P14&lt;='Aging Schedule'!$C$18:$C$22),'Aging Schedule'!$D$18:$D$22),"")</f>
        <v/>
      </c>
      <c r="R14" s="1" t="str">
        <f>IF(L14="Outstanding",VLOOKUP(P14,'Aging Schedule'!$B$18:$D$22,3),"")</f>
        <v/>
      </c>
      <c r="S14" s="77">
        <f t="shared" si="4"/>
        <v>0</v>
      </c>
    </row>
    <row r="15" spans="2:19" x14ac:dyDescent="0.25">
      <c r="B15" s="1" t="s">
        <v>66</v>
      </c>
      <c r="C15" s="1" t="s">
        <v>40</v>
      </c>
      <c r="D15" s="43">
        <v>45253</v>
      </c>
      <c r="E15" s="43">
        <v>45283</v>
      </c>
      <c r="F15" s="1" t="s">
        <v>19</v>
      </c>
      <c r="G15" s="72">
        <v>113971</v>
      </c>
      <c r="I15" s="67" t="str">
        <v/>
      </c>
      <c r="J15" s="73">
        <f>IFERROR(IF(I15&gt;E15,(I15-E15)*_xlfn.XLOOKUP(C15,'Vendor Details'!$B$4:$B$33,'Vendor Details'!$F$4:$F$33)*'Vendor Invoices'!G15,""),0)</f>
        <v>0</v>
      </c>
      <c r="K15" s="72">
        <f>IFERROR(_xlfn.XLOOKUP(B15,'Payment HIstory'!$D:$D,'Payment HIstory'!$F:$F),0)</f>
        <v>0</v>
      </c>
      <c r="L15" s="1" t="str">
        <f t="shared" si="0"/>
        <v>Outstanding</v>
      </c>
      <c r="M15" s="72">
        <f t="shared" si="2"/>
        <v>113971</v>
      </c>
      <c r="N15" s="72">
        <f>IF(L15="Outstanding",($C$3-E15)*_xlfn.XLOOKUP(C15,'Vendor Details'!$B:$B,'Vendor Details'!$F:$F)*'Vendor Invoices'!G15,0)</f>
        <v>820.59120000000007</v>
      </c>
      <c r="O15" s="77">
        <f t="shared" si="3"/>
        <v>114791.5912</v>
      </c>
      <c r="P15" s="70">
        <f t="shared" si="1"/>
        <v>18</v>
      </c>
      <c r="Q15" s="1" t="str" cm="1">
        <f t="array" ref="Q15">IF(L15="Outstanding",_xlfn.XLOOKUP(1,(P15&gt;='Aging Schedule'!$B$18:$B$22)*(P15&lt;='Aging Schedule'!$C$18:$C$22),'Aging Schedule'!$D$18:$D$22),"")</f>
        <v>0-30 Days</v>
      </c>
      <c r="R15" s="1" t="str">
        <f>IF(L15="Outstanding",VLOOKUP(P15,'Aging Schedule'!$B$18:$D$22,3),"")</f>
        <v>0-30 Days</v>
      </c>
      <c r="S15" s="77">
        <f t="shared" si="4"/>
        <v>820.59120000000007</v>
      </c>
    </row>
    <row r="16" spans="2:19" x14ac:dyDescent="0.25">
      <c r="B16" s="1" t="s">
        <v>67</v>
      </c>
      <c r="C16" s="1" t="s">
        <v>33</v>
      </c>
      <c r="D16" s="43">
        <v>45204</v>
      </c>
      <c r="E16" s="43">
        <v>45255</v>
      </c>
      <c r="F16" s="1" t="s">
        <v>20</v>
      </c>
      <c r="G16" s="72">
        <v>119411</v>
      </c>
      <c r="I16" s="67">
        <v>45255</v>
      </c>
      <c r="J16" s="73" t="str">
        <f>IFERROR(IF(I16&gt;E16,(I16-E16)*_xlfn.XLOOKUP(C16,'Vendor Details'!$B$4:$B$33,'Vendor Details'!$F$4:$F$33)*'Vendor Invoices'!G16,""),0)</f>
        <v/>
      </c>
      <c r="K16" s="72">
        <f>IFERROR(_xlfn.XLOOKUP(B16,'Payment HIstory'!$D:$D,'Payment HIstory'!$F:$F),0)</f>
        <v>119411</v>
      </c>
      <c r="L16" s="1" t="str">
        <f t="shared" si="0"/>
        <v>Paid</v>
      </c>
      <c r="M16" s="72">
        <f t="shared" si="2"/>
        <v>0</v>
      </c>
      <c r="N16" s="72">
        <f>IF(L16="Outstanding",($C$3-E16)*_xlfn.XLOOKUP(C16,'Vendor Details'!$B:$B,'Vendor Details'!$F:$F)*'Vendor Invoices'!G16,0)</f>
        <v>0</v>
      </c>
      <c r="O16" s="77">
        <f t="shared" si="3"/>
        <v>0</v>
      </c>
      <c r="P16" s="70" t="str">
        <f t="shared" si="1"/>
        <v/>
      </c>
      <c r="Q16" s="1" t="str" cm="1">
        <f t="array" ref="Q16">IF(L16="Outstanding",_xlfn.XLOOKUP(1,(P16&gt;='Aging Schedule'!$B$18:$B$22)*(P16&lt;='Aging Schedule'!$C$18:$C$22),'Aging Schedule'!$D$18:$D$22),"")</f>
        <v/>
      </c>
      <c r="R16" s="1" t="str">
        <f>IF(L16="Outstanding",VLOOKUP(P16,'Aging Schedule'!$B$18:$D$22,3),"")</f>
        <v/>
      </c>
      <c r="S16" s="77">
        <f t="shared" si="4"/>
        <v>0</v>
      </c>
    </row>
    <row r="17" spans="2:19" x14ac:dyDescent="0.25">
      <c r="B17" s="1" t="s">
        <v>68</v>
      </c>
      <c r="C17" s="1" t="s">
        <v>35</v>
      </c>
      <c r="D17" s="43">
        <v>45175</v>
      </c>
      <c r="E17" s="43">
        <v>45290</v>
      </c>
      <c r="F17" s="1" t="s">
        <v>21</v>
      </c>
      <c r="G17" s="72">
        <v>94479</v>
      </c>
      <c r="I17" s="67">
        <v>45290</v>
      </c>
      <c r="J17" s="73" t="str">
        <f>IFERROR(IF(I17&gt;E17,(I17-E17)*_xlfn.XLOOKUP(C17,'Vendor Details'!$B$4:$B$33,'Vendor Details'!$F$4:$F$33)*'Vendor Invoices'!G17,""),0)</f>
        <v/>
      </c>
      <c r="K17" s="72">
        <f>IFERROR(_xlfn.XLOOKUP(B17,'Payment HIstory'!$D:$D,'Payment HIstory'!$F:$F),0)</f>
        <v>94479</v>
      </c>
      <c r="L17" s="1" t="str">
        <f t="shared" si="0"/>
        <v>Paid</v>
      </c>
      <c r="M17" s="72">
        <f t="shared" si="2"/>
        <v>0</v>
      </c>
      <c r="N17" s="72">
        <f>IF(L17="Outstanding",($C$3-E17)*_xlfn.XLOOKUP(C17,'Vendor Details'!$B:$B,'Vendor Details'!$F:$F)*'Vendor Invoices'!G17,0)</f>
        <v>0</v>
      </c>
      <c r="O17" s="77">
        <f t="shared" si="3"/>
        <v>0</v>
      </c>
      <c r="P17" s="70" t="str">
        <f t="shared" si="1"/>
        <v/>
      </c>
      <c r="Q17" s="1" t="str" cm="1">
        <f t="array" ref="Q17">IF(L17="Outstanding",_xlfn.XLOOKUP(1,(P17&gt;='Aging Schedule'!$B$18:$B$22)*(P17&lt;='Aging Schedule'!$C$18:$C$22),'Aging Schedule'!$D$18:$D$22),"")</f>
        <v/>
      </c>
      <c r="R17" s="1" t="str">
        <f>IF(L17="Outstanding",VLOOKUP(P17,'Aging Schedule'!$B$18:$D$22,3),"")</f>
        <v/>
      </c>
      <c r="S17" s="77">
        <f t="shared" si="4"/>
        <v>0</v>
      </c>
    </row>
    <row r="18" spans="2:19" x14ac:dyDescent="0.25">
      <c r="B18" s="1" t="s">
        <v>69</v>
      </c>
      <c r="C18" s="1" t="s">
        <v>41</v>
      </c>
      <c r="D18" s="43">
        <v>45248</v>
      </c>
      <c r="E18" s="43">
        <v>45278</v>
      </c>
      <c r="F18" s="1" t="s">
        <v>18</v>
      </c>
      <c r="G18" s="72">
        <v>63544</v>
      </c>
      <c r="I18" s="67" t="str">
        <v/>
      </c>
      <c r="J18" s="73">
        <f>IFERROR(IF(I18&gt;E18,(I18-E18)*_xlfn.XLOOKUP(C18,'Vendor Details'!$B$4:$B$33,'Vendor Details'!$F$4:$F$33)*'Vendor Invoices'!G18,""),0)</f>
        <v>0</v>
      </c>
      <c r="K18" s="72">
        <f>IFERROR(_xlfn.XLOOKUP(B18,'Payment HIstory'!$D:$D,'Payment HIstory'!$F:$F),0)</f>
        <v>0</v>
      </c>
      <c r="L18" s="1" t="str">
        <f t="shared" si="0"/>
        <v>Outstanding</v>
      </c>
      <c r="M18" s="72">
        <f t="shared" si="2"/>
        <v>63544</v>
      </c>
      <c r="N18" s="72">
        <f>IF(L18="Outstanding",($C$3-E18)*_xlfn.XLOOKUP(C18,'Vendor Details'!$B:$B,'Vendor Details'!$F:$F)*'Vendor Invoices'!G18,0)</f>
        <v>803.83159999999987</v>
      </c>
      <c r="O18" s="77">
        <f t="shared" si="3"/>
        <v>64347.831599999998</v>
      </c>
      <c r="P18" s="70">
        <f t="shared" si="1"/>
        <v>23</v>
      </c>
      <c r="Q18" s="1" t="str" cm="1">
        <f t="array" ref="Q18">IF(L18="Outstanding",_xlfn.XLOOKUP(1,(P18&gt;='Aging Schedule'!$B$18:$B$22)*(P18&lt;='Aging Schedule'!$C$18:$C$22),'Aging Schedule'!$D$18:$D$22),"")</f>
        <v>0-30 Days</v>
      </c>
      <c r="R18" s="1" t="str">
        <f>IF(L18="Outstanding",VLOOKUP(P18,'Aging Schedule'!$B$18:$D$22,3),"")</f>
        <v>0-30 Days</v>
      </c>
      <c r="S18" s="77">
        <f t="shared" si="4"/>
        <v>803.83159999999987</v>
      </c>
    </row>
    <row r="19" spans="2:19" x14ac:dyDescent="0.25">
      <c r="B19" s="1" t="s">
        <v>70</v>
      </c>
      <c r="C19" s="1" t="s">
        <v>41</v>
      </c>
      <c r="D19" s="43">
        <v>44865</v>
      </c>
      <c r="E19" s="43">
        <v>44967</v>
      </c>
      <c r="F19" s="1" t="s">
        <v>19</v>
      </c>
      <c r="G19" s="72">
        <v>99219</v>
      </c>
      <c r="I19" s="67">
        <v>44967</v>
      </c>
      <c r="J19" s="73" t="str">
        <f>IFERROR(IF(I19&gt;E19,(I19-E19)*_xlfn.XLOOKUP(C19,'Vendor Details'!$B$4:$B$33,'Vendor Details'!$F$4:$F$33)*'Vendor Invoices'!G19,""),0)</f>
        <v/>
      </c>
      <c r="K19" s="72">
        <f>IFERROR(_xlfn.XLOOKUP(B19,'Payment HIstory'!$D:$D,'Payment HIstory'!$F:$F),0)</f>
        <v>89297.1</v>
      </c>
      <c r="L19" s="1" t="str">
        <f t="shared" si="0"/>
        <v>Outstanding</v>
      </c>
      <c r="M19" s="72">
        <f t="shared" si="2"/>
        <v>9921.8999999999942</v>
      </c>
      <c r="N19" s="72">
        <f>IF(L19="Outstanding",($C$3-E19)*_xlfn.XLOOKUP(C19,'Vendor Details'!$B:$B,'Vendor Details'!$F:$F)*'Vendor Invoices'!G19,0)</f>
        <v>18226.530299999999</v>
      </c>
      <c r="O19" s="77">
        <f t="shared" si="3"/>
        <v>28148.430299999993</v>
      </c>
      <c r="P19" s="70">
        <f t="shared" si="1"/>
        <v>334</v>
      </c>
      <c r="Q19" s="1" t="str" cm="1">
        <f t="array" ref="Q19">IF(L19="Outstanding",_xlfn.XLOOKUP(1,(P19&gt;='Aging Schedule'!$B$18:$B$22)*(P19&lt;='Aging Schedule'!$C$18:$C$22),'Aging Schedule'!$D$18:$D$22),"")</f>
        <v>91+ Days</v>
      </c>
      <c r="R19" s="1" t="str">
        <f>IF(L19="Outstanding",VLOOKUP(P19,'Aging Schedule'!$B$18:$D$22,3),"")</f>
        <v>91+ Days</v>
      </c>
      <c r="S19" s="77">
        <f t="shared" si="4"/>
        <v>18226.530299999999</v>
      </c>
    </row>
    <row r="20" spans="2:19" x14ac:dyDescent="0.25">
      <c r="B20" s="1" t="s">
        <v>71</v>
      </c>
      <c r="C20" s="1" t="s">
        <v>40</v>
      </c>
      <c r="D20" s="43">
        <v>44880</v>
      </c>
      <c r="E20" s="43">
        <v>45000</v>
      </c>
      <c r="F20" s="1" t="s">
        <v>20</v>
      </c>
      <c r="G20" s="72">
        <v>56928</v>
      </c>
      <c r="I20" s="67">
        <v>45000</v>
      </c>
      <c r="J20" s="73" t="str">
        <f>IFERROR(IF(I20&gt;E20,(I20-E20)*_xlfn.XLOOKUP(C20,'Vendor Details'!$B$4:$B$33,'Vendor Details'!$F$4:$F$33)*'Vendor Invoices'!G20,""),0)</f>
        <v/>
      </c>
      <c r="K20" s="72">
        <f>IFERROR(_xlfn.XLOOKUP(B20,'Payment HIstory'!$D:$D,'Payment HIstory'!$F:$F),0)</f>
        <v>56928</v>
      </c>
      <c r="L20" s="1" t="str">
        <f t="shared" si="0"/>
        <v>Paid</v>
      </c>
      <c r="M20" s="72">
        <f t="shared" si="2"/>
        <v>0</v>
      </c>
      <c r="N20" s="72">
        <f>IF(L20="Outstanding",($C$3-E20)*_xlfn.XLOOKUP(C20,'Vendor Details'!$B:$B,'Vendor Details'!$F:$F)*'Vendor Invoices'!G20,0)</f>
        <v>0</v>
      </c>
      <c r="O20" s="77">
        <f t="shared" si="3"/>
        <v>0</v>
      </c>
      <c r="P20" s="70" t="str">
        <f t="shared" si="1"/>
        <v/>
      </c>
      <c r="Q20" s="1" t="str" cm="1">
        <f t="array" ref="Q20">IF(L20="Outstanding",_xlfn.XLOOKUP(1,(P20&gt;='Aging Schedule'!$B$18:$B$22)*(P20&lt;='Aging Schedule'!$C$18:$C$22),'Aging Schedule'!$D$18:$D$22),"")</f>
        <v/>
      </c>
      <c r="R20" s="1" t="str">
        <f>IF(L20="Outstanding",VLOOKUP(P20,'Aging Schedule'!$B$18:$D$22,3),"")</f>
        <v/>
      </c>
      <c r="S20" s="77">
        <f t="shared" si="4"/>
        <v>0</v>
      </c>
    </row>
    <row r="21" spans="2:19" x14ac:dyDescent="0.25">
      <c r="B21" s="1" t="s">
        <v>72</v>
      </c>
      <c r="C21" s="1" t="s">
        <v>39</v>
      </c>
      <c r="D21" s="43">
        <v>45234</v>
      </c>
      <c r="E21" s="43">
        <v>45264</v>
      </c>
      <c r="F21" s="1" t="s">
        <v>21</v>
      </c>
      <c r="G21" s="72">
        <v>50056</v>
      </c>
      <c r="I21" s="67" t="str">
        <v/>
      </c>
      <c r="J21" s="73">
        <f>IFERROR(IF(I21&gt;E21,(I21-E21)*_xlfn.XLOOKUP(C21,'Vendor Details'!$B$4:$B$33,'Vendor Details'!$F$4:$F$33)*'Vendor Invoices'!G21,""),0)</f>
        <v>0</v>
      </c>
      <c r="K21" s="72">
        <f>IFERROR(_xlfn.XLOOKUP(B21,'Payment HIstory'!$D:$D,'Payment HIstory'!$F:$F),0)</f>
        <v>0</v>
      </c>
      <c r="L21" s="1" t="str">
        <f>IF(I21&lt;&gt;"",IF(K21&gt;=SUM(G21,J21),"Paid","Outstanding"),"Outstanding")</f>
        <v>Outstanding</v>
      </c>
      <c r="M21" s="72">
        <f t="shared" si="2"/>
        <v>50056</v>
      </c>
      <c r="N21" s="72">
        <f>IF(L21="Outstanding",($C$3-E21)*_xlfn.XLOOKUP(C21,'Vendor Details'!$B:$B,'Vendor Details'!$F:$F)*'Vendor Invoices'!G21,0)</f>
        <v>1018.6395999999999</v>
      </c>
      <c r="O21" s="77">
        <f t="shared" si="3"/>
        <v>51074.639600000002</v>
      </c>
      <c r="P21" s="70">
        <f t="shared" si="1"/>
        <v>37</v>
      </c>
      <c r="Q21" s="1" t="str" cm="1">
        <f t="array" ref="Q21">IF(L21="Outstanding",_xlfn.XLOOKUP(1,(P21&gt;='Aging Schedule'!$B$18:$B$22)*(P21&lt;='Aging Schedule'!$C$18:$C$22),'Aging Schedule'!$D$18:$D$22),"")</f>
        <v>31-45 Days</v>
      </c>
      <c r="R21" s="1" t="str">
        <f>IF(L21="Outstanding",VLOOKUP(P21,'Aging Schedule'!$B$18:$D$22,3),"")</f>
        <v>31-45 Days</v>
      </c>
      <c r="S21" s="77">
        <f t="shared" si="4"/>
        <v>1018.6395999999999</v>
      </c>
    </row>
    <row r="22" spans="2:19" x14ac:dyDescent="0.25">
      <c r="B22" s="1" t="s">
        <v>73</v>
      </c>
      <c r="C22" s="1" t="s">
        <v>41</v>
      </c>
      <c r="D22" s="43">
        <v>44987</v>
      </c>
      <c r="E22" s="43">
        <v>45071</v>
      </c>
      <c r="F22" s="1" t="s">
        <v>18</v>
      </c>
      <c r="G22" s="72">
        <v>92006</v>
      </c>
      <c r="I22" s="67">
        <v>45071</v>
      </c>
      <c r="J22" s="73" t="str">
        <f>IFERROR(IF(I22&gt;E22,(I22-E22)*_xlfn.XLOOKUP(C22,'Vendor Details'!$B$4:$B$33,'Vendor Details'!$F$4:$F$33)*'Vendor Invoices'!G22,""),0)</f>
        <v/>
      </c>
      <c r="K22" s="72">
        <f>IFERROR(_xlfn.XLOOKUP(B22,'Payment HIstory'!$D:$D,'Payment HIstory'!$F:$F),0)</f>
        <v>83725.460000000006</v>
      </c>
      <c r="L22" s="1" t="str">
        <f t="shared" si="0"/>
        <v>Outstanding</v>
      </c>
      <c r="M22" s="72">
        <f t="shared" si="2"/>
        <v>8280.5399999999936</v>
      </c>
      <c r="N22" s="72">
        <f>IF(L22="Outstanding",($C$3-E22)*_xlfn.XLOOKUP(C22,'Vendor Details'!$B:$B,'Vendor Details'!$F:$F)*'Vendor Invoices'!G22,0)</f>
        <v>11638.758999999998</v>
      </c>
      <c r="O22" s="77">
        <f t="shared" si="3"/>
        <v>19919.298999999992</v>
      </c>
      <c r="P22" s="70">
        <f t="shared" si="1"/>
        <v>230</v>
      </c>
      <c r="Q22" s="1" t="str" cm="1">
        <f t="array" ref="Q22">IF(L22="Outstanding",_xlfn.XLOOKUP(1,(P22&gt;='Aging Schedule'!$B$18:$B$22)*(P22&lt;='Aging Schedule'!$C$18:$C$22),'Aging Schedule'!$D$18:$D$22),"")</f>
        <v>91+ Days</v>
      </c>
      <c r="R22" s="1" t="str">
        <f>IF(L22="Outstanding",VLOOKUP(P22,'Aging Schedule'!$B$18:$D$22,3),"")</f>
        <v>91+ Days</v>
      </c>
      <c r="S22" s="77">
        <f t="shared" si="4"/>
        <v>11638.758999999998</v>
      </c>
    </row>
    <row r="23" spans="2:19" x14ac:dyDescent="0.25">
      <c r="B23" s="1" t="s">
        <v>74</v>
      </c>
      <c r="C23" s="1" t="s">
        <v>42</v>
      </c>
      <c r="D23" s="43">
        <v>45192</v>
      </c>
      <c r="E23" s="43">
        <v>45222</v>
      </c>
      <c r="F23" s="1" t="s">
        <v>19</v>
      </c>
      <c r="G23" s="72">
        <v>73302</v>
      </c>
      <c r="I23" s="67" t="str">
        <v/>
      </c>
      <c r="J23" s="73">
        <f>IFERROR(IF(I23&gt;E23,(I23-E23)*_xlfn.XLOOKUP(C23,'Vendor Details'!$B$4:$B$33,'Vendor Details'!$F$4:$F$33)*'Vendor Invoices'!G23,""),0)</f>
        <v>0</v>
      </c>
      <c r="K23" s="72">
        <f>IFERROR(_xlfn.XLOOKUP(B23,'Payment HIstory'!$D:$D,'Payment HIstory'!$F:$F),0)</f>
        <v>0</v>
      </c>
      <c r="L23" s="1" t="str">
        <f t="shared" si="0"/>
        <v>Outstanding</v>
      </c>
      <c r="M23" s="72">
        <f t="shared" si="2"/>
        <v>73302</v>
      </c>
      <c r="N23" s="72">
        <f>IF(L23="Outstanding",($C$3-E23)*_xlfn.XLOOKUP(C23,'Vendor Details'!$B:$B,'Vendor Details'!$F:$F)*'Vendor Invoices'!G23,0)</f>
        <v>1737.2574000000002</v>
      </c>
      <c r="O23" s="77">
        <f t="shared" si="3"/>
        <v>75039.257400000002</v>
      </c>
      <c r="P23" s="70">
        <f t="shared" si="1"/>
        <v>79</v>
      </c>
      <c r="Q23" s="1" t="str" cm="1">
        <f t="array" ref="Q23">IF(L23="Outstanding",_xlfn.XLOOKUP(1,(P23&gt;='Aging Schedule'!$B$18:$B$22)*(P23&lt;='Aging Schedule'!$C$18:$C$22),'Aging Schedule'!$D$18:$D$22),"")</f>
        <v>61-90 Days</v>
      </c>
      <c r="R23" s="1" t="str">
        <f>IF(L23="Outstanding",VLOOKUP(P23,'Aging Schedule'!$B$18:$D$22,3),"")</f>
        <v>61-90 Days</v>
      </c>
      <c r="S23" s="77">
        <f t="shared" si="4"/>
        <v>1737.2574000000002</v>
      </c>
    </row>
    <row r="24" spans="2:19" x14ac:dyDescent="0.25">
      <c r="B24" s="1" t="s">
        <v>75</v>
      </c>
      <c r="C24" s="1" t="s">
        <v>33</v>
      </c>
      <c r="D24" s="43">
        <v>45047</v>
      </c>
      <c r="E24" s="43">
        <v>45112</v>
      </c>
      <c r="F24" s="1" t="s">
        <v>20</v>
      </c>
      <c r="G24" s="72">
        <v>96932</v>
      </c>
      <c r="I24" s="67">
        <v>45112</v>
      </c>
      <c r="J24" s="73" t="str">
        <f>IFERROR(IF(I24&gt;E24,(I24-E24)*_xlfn.XLOOKUP(C24,'Vendor Details'!$B$4:$B$33,'Vendor Details'!$F$4:$F$33)*'Vendor Invoices'!G24,""),0)</f>
        <v/>
      </c>
      <c r="K24" s="72">
        <f>IFERROR(_xlfn.XLOOKUP(B24,'Payment HIstory'!$D:$D,'Payment HIstory'!$F:$F),0)</f>
        <v>92085.4</v>
      </c>
      <c r="L24" s="1" t="str">
        <f t="shared" si="0"/>
        <v>Outstanding</v>
      </c>
      <c r="M24" s="72">
        <f t="shared" si="2"/>
        <v>4846.6000000000058</v>
      </c>
      <c r="N24" s="72">
        <f>IF(L24="Outstanding",($C$3-E24)*_xlfn.XLOOKUP(C24,'Vendor Details'!$B:$B,'Vendor Details'!$F:$F)*'Vendor Invoices'!G24,0)</f>
        <v>12824.1036</v>
      </c>
      <c r="O24" s="77">
        <f t="shared" si="3"/>
        <v>17670.703600000008</v>
      </c>
      <c r="P24" s="70">
        <f t="shared" si="1"/>
        <v>189</v>
      </c>
      <c r="Q24" s="1" t="str" cm="1">
        <f t="array" ref="Q24">IF(L24="Outstanding",_xlfn.XLOOKUP(1,(P24&gt;='Aging Schedule'!$B$18:$B$22)*(P24&lt;='Aging Schedule'!$C$18:$C$22),'Aging Schedule'!$D$18:$D$22),"")</f>
        <v>91+ Days</v>
      </c>
      <c r="R24" s="1" t="str">
        <f>IF(L24="Outstanding",VLOOKUP(P24,'Aging Schedule'!$B$18:$D$22,3),"")</f>
        <v>91+ Days</v>
      </c>
      <c r="S24" s="77">
        <f t="shared" si="4"/>
        <v>12824.1036</v>
      </c>
    </row>
    <row r="25" spans="2:19" x14ac:dyDescent="0.25">
      <c r="B25" s="1" t="s">
        <v>76</v>
      </c>
      <c r="C25" s="1" t="s">
        <v>34</v>
      </c>
      <c r="D25" s="43">
        <v>45259</v>
      </c>
      <c r="E25" s="43">
        <v>45289</v>
      </c>
      <c r="F25" s="1" t="s">
        <v>21</v>
      </c>
      <c r="G25" s="72">
        <v>78141</v>
      </c>
      <c r="I25" s="67" t="str">
        <v/>
      </c>
      <c r="J25" s="73">
        <f>IFERROR(IF(I25&gt;E25,(I25-E25)*_xlfn.XLOOKUP(C25,'Vendor Details'!$B$4:$B$33,'Vendor Details'!$F$4:$F$33)*'Vendor Invoices'!G25,""),0)</f>
        <v>0</v>
      </c>
      <c r="K25" s="72">
        <f>IFERROR(_xlfn.XLOOKUP(B25,'Payment HIstory'!$D:$D,'Payment HIstory'!$F:$F),0)</f>
        <v>0</v>
      </c>
      <c r="L25" s="1" t="str">
        <f t="shared" si="0"/>
        <v>Outstanding</v>
      </c>
      <c r="M25" s="72">
        <f t="shared" si="2"/>
        <v>78141</v>
      </c>
      <c r="N25" s="72">
        <f>IF(L25="Outstanding",($C$3-E25)*_xlfn.XLOOKUP(C25,'Vendor Details'!$B:$B,'Vendor Details'!$F:$F)*'Vendor Invoices'!G25,0)</f>
        <v>18753.84</v>
      </c>
      <c r="O25" s="77">
        <f t="shared" si="3"/>
        <v>96894.84</v>
      </c>
      <c r="P25" s="70">
        <f t="shared" si="1"/>
        <v>12</v>
      </c>
      <c r="Q25" s="1" t="str" cm="1">
        <f t="array" ref="Q25">IF(L25="Outstanding",_xlfn.XLOOKUP(1,(P25&gt;='Aging Schedule'!$B$18:$B$22)*(P25&lt;='Aging Schedule'!$C$18:$C$22),'Aging Schedule'!$D$18:$D$22),"")</f>
        <v>0-30 Days</v>
      </c>
      <c r="R25" s="1" t="str">
        <f>IF(L25="Outstanding",VLOOKUP(P25,'Aging Schedule'!$B$18:$D$22,3),"")</f>
        <v>0-30 Days</v>
      </c>
      <c r="S25" s="77">
        <f t="shared" si="4"/>
        <v>18753.84</v>
      </c>
    </row>
    <row r="26" spans="2:19" x14ac:dyDescent="0.25">
      <c r="B26" s="1" t="s">
        <v>77</v>
      </c>
      <c r="C26" s="1" t="s">
        <v>37</v>
      </c>
      <c r="D26" s="43">
        <v>45070</v>
      </c>
      <c r="E26" s="43">
        <v>45184</v>
      </c>
      <c r="F26" s="1" t="s">
        <v>18</v>
      </c>
      <c r="G26" s="72">
        <v>71011</v>
      </c>
      <c r="I26" s="67">
        <v>45163</v>
      </c>
      <c r="J26" s="73" t="str">
        <f>IFERROR(IF(I26&gt;E26,(I26-E26)*_xlfn.XLOOKUP(C26,'Vendor Details'!$B$4:$B$33,'Vendor Details'!$F$4:$F$33)*'Vendor Invoices'!G26,""),0)</f>
        <v/>
      </c>
      <c r="K26" s="72">
        <f>IFERROR(_xlfn.XLOOKUP(B26,'Payment HIstory'!$D:$D,'Payment HIstory'!$F:$F),0)</f>
        <v>71011</v>
      </c>
      <c r="L26" s="1" t="str">
        <f t="shared" si="0"/>
        <v>Paid</v>
      </c>
      <c r="M26" s="72">
        <f t="shared" si="2"/>
        <v>0</v>
      </c>
      <c r="N26" s="72">
        <f>IF(L26="Outstanding",($C$3-E26)*_xlfn.XLOOKUP(C26,'Vendor Details'!$B:$B,'Vendor Details'!$F:$F)*'Vendor Invoices'!G26,0)</f>
        <v>0</v>
      </c>
      <c r="O26" s="77">
        <f t="shared" si="3"/>
        <v>0</v>
      </c>
      <c r="P26" s="70" t="str">
        <f t="shared" si="1"/>
        <v/>
      </c>
      <c r="Q26" s="1" t="str" cm="1">
        <f t="array" ref="Q26">IF(L26="Outstanding",_xlfn.XLOOKUP(1,(P26&gt;='Aging Schedule'!$B$18:$B$22)*(P26&lt;='Aging Schedule'!$C$18:$C$22),'Aging Schedule'!$D$18:$D$22),"")</f>
        <v/>
      </c>
      <c r="R26" s="1" t="str">
        <f>IF(L26="Outstanding",VLOOKUP(P26,'Aging Schedule'!$B$18:$D$22,3),"")</f>
        <v/>
      </c>
      <c r="S26" s="77">
        <f t="shared" si="4"/>
        <v>0</v>
      </c>
    </row>
    <row r="27" spans="2:19" x14ac:dyDescent="0.25">
      <c r="B27" s="1" t="s">
        <v>78</v>
      </c>
      <c r="C27" s="1" t="s">
        <v>37</v>
      </c>
      <c r="D27" s="43">
        <v>45147</v>
      </c>
      <c r="E27" s="43">
        <v>45219</v>
      </c>
      <c r="F27" s="1" t="s">
        <v>19</v>
      </c>
      <c r="G27" s="72">
        <v>84699</v>
      </c>
      <c r="I27" s="67">
        <v>45219</v>
      </c>
      <c r="J27" s="73" t="str">
        <f>IFERROR(IF(I27&gt;E27,(I27-E27)*_xlfn.XLOOKUP(C27,'Vendor Details'!$B$4:$B$33,'Vendor Details'!$F$4:$F$33)*'Vendor Invoices'!G27,""),0)</f>
        <v/>
      </c>
      <c r="K27" s="72">
        <f>IFERROR(_xlfn.XLOOKUP(B27,'Payment HIstory'!$D:$D,'Payment HIstory'!$F:$F),0)</f>
        <v>84699</v>
      </c>
      <c r="L27" s="1" t="str">
        <f t="shared" si="0"/>
        <v>Paid</v>
      </c>
      <c r="M27" s="72">
        <f t="shared" si="2"/>
        <v>0</v>
      </c>
      <c r="N27" s="72">
        <f>IF(L27="Outstanding",($C$3-E27)*_xlfn.XLOOKUP(C27,'Vendor Details'!$B:$B,'Vendor Details'!$F:$F)*'Vendor Invoices'!G27,0)</f>
        <v>0</v>
      </c>
      <c r="O27" s="77">
        <f t="shared" si="3"/>
        <v>0</v>
      </c>
      <c r="P27" s="70" t="str">
        <f t="shared" si="1"/>
        <v/>
      </c>
      <c r="Q27" s="1" t="str" cm="1">
        <f t="array" ref="Q27">IF(L27="Outstanding",_xlfn.XLOOKUP(1,(P27&gt;='Aging Schedule'!$B$18:$B$22)*(P27&lt;='Aging Schedule'!$C$18:$C$22),'Aging Schedule'!$D$18:$D$22),"")</f>
        <v/>
      </c>
      <c r="R27" s="1" t="str">
        <f>IF(L27="Outstanding",VLOOKUP(P27,'Aging Schedule'!$B$18:$D$22,3),"")</f>
        <v/>
      </c>
      <c r="S27" s="77">
        <f t="shared" si="4"/>
        <v>0</v>
      </c>
    </row>
    <row r="28" spans="2:19" x14ac:dyDescent="0.25">
      <c r="B28" s="1" t="s">
        <v>79</v>
      </c>
      <c r="C28" s="1" t="s">
        <v>38</v>
      </c>
      <c r="D28" s="43">
        <v>45167</v>
      </c>
      <c r="E28" s="43">
        <v>45255</v>
      </c>
      <c r="F28" s="1" t="s">
        <v>20</v>
      </c>
      <c r="G28" s="72">
        <v>89928</v>
      </c>
      <c r="I28" s="67">
        <v>45255</v>
      </c>
      <c r="J28" s="73" t="str">
        <f>IFERROR(IF(I28&gt;E28,(I28-E28)*_xlfn.XLOOKUP(C28,'Vendor Details'!$B$4:$B$33,'Vendor Details'!$F$4:$F$33)*'Vendor Invoices'!G28,""),0)</f>
        <v/>
      </c>
      <c r="K28" s="72">
        <f>IFERROR(_xlfn.XLOOKUP(B28,'Payment HIstory'!$D:$D,'Payment HIstory'!$F:$F),0)</f>
        <v>89928</v>
      </c>
      <c r="L28" s="1" t="str">
        <f t="shared" si="0"/>
        <v>Paid</v>
      </c>
      <c r="M28" s="72">
        <f t="shared" si="2"/>
        <v>0</v>
      </c>
      <c r="N28" s="72">
        <f>IF(L28="Outstanding",($C$3-E28)*_xlfn.XLOOKUP(C28,'Vendor Details'!$B:$B,'Vendor Details'!$F:$F)*'Vendor Invoices'!G28,0)</f>
        <v>0</v>
      </c>
      <c r="O28" s="77">
        <f t="shared" si="3"/>
        <v>0</v>
      </c>
      <c r="P28" s="70" t="str">
        <f t="shared" si="1"/>
        <v/>
      </c>
      <c r="Q28" s="1" t="str" cm="1">
        <f t="array" ref="Q28">IF(L28="Outstanding",_xlfn.XLOOKUP(1,(P28&gt;='Aging Schedule'!$B$18:$B$22)*(P28&lt;='Aging Schedule'!$C$18:$C$22),'Aging Schedule'!$D$18:$D$22),"")</f>
        <v/>
      </c>
      <c r="R28" s="1" t="str">
        <f>IF(L28="Outstanding",VLOOKUP(P28,'Aging Schedule'!$B$18:$D$22,3),"")</f>
        <v/>
      </c>
      <c r="S28" s="77">
        <f t="shared" si="4"/>
        <v>0</v>
      </c>
    </row>
    <row r="29" spans="2:19" x14ac:dyDescent="0.25">
      <c r="B29" s="1" t="s">
        <v>80</v>
      </c>
      <c r="C29" s="1" t="s">
        <v>41</v>
      </c>
      <c r="D29" s="43">
        <v>45276</v>
      </c>
      <c r="E29" s="43">
        <v>45290</v>
      </c>
      <c r="F29" s="1" t="s">
        <v>21</v>
      </c>
      <c r="G29" s="72">
        <v>52496</v>
      </c>
      <c r="I29" s="67">
        <v>45290</v>
      </c>
      <c r="J29" s="73" t="str">
        <f>IFERROR(IF(I29&gt;E29,(I29-E29)*_xlfn.XLOOKUP(C29,'Vendor Details'!$B$4:$B$33,'Vendor Details'!$F$4:$F$33)*'Vendor Invoices'!G29,""),0)</f>
        <v/>
      </c>
      <c r="K29" s="72">
        <f>IFERROR(_xlfn.XLOOKUP(B29,'Payment HIstory'!$D:$D,'Payment HIstory'!$F:$F),0)</f>
        <v>52496</v>
      </c>
      <c r="L29" s="1" t="str">
        <f t="shared" si="0"/>
        <v>Paid</v>
      </c>
      <c r="M29" s="72">
        <f t="shared" si="2"/>
        <v>0</v>
      </c>
      <c r="N29" s="72">
        <f>IF(L29="Outstanding",($C$3-E29)*_xlfn.XLOOKUP(C29,'Vendor Details'!$B:$B,'Vendor Details'!$F:$F)*'Vendor Invoices'!G29,0)</f>
        <v>0</v>
      </c>
      <c r="O29" s="77">
        <f t="shared" si="3"/>
        <v>0</v>
      </c>
      <c r="P29" s="70" t="str">
        <f t="shared" si="1"/>
        <v/>
      </c>
      <c r="Q29" s="1" t="str" cm="1">
        <f t="array" ref="Q29">IF(L29="Outstanding",_xlfn.XLOOKUP(1,(P29&gt;='Aging Schedule'!$B$18:$B$22)*(P29&lt;='Aging Schedule'!$C$18:$C$22),'Aging Schedule'!$D$18:$D$22),"")</f>
        <v/>
      </c>
      <c r="R29" s="1" t="str">
        <f>IF(L29="Outstanding",VLOOKUP(P29,'Aging Schedule'!$B$18:$D$22,3),"")</f>
        <v/>
      </c>
      <c r="S29" s="77">
        <f t="shared" si="4"/>
        <v>0</v>
      </c>
    </row>
    <row r="30" spans="2:19" x14ac:dyDescent="0.25">
      <c r="B30" s="1" t="s">
        <v>81</v>
      </c>
      <c r="C30" s="1" t="s">
        <v>33</v>
      </c>
      <c r="D30" s="43">
        <v>45213</v>
      </c>
      <c r="E30" s="43">
        <v>45243</v>
      </c>
      <c r="F30" s="1" t="s">
        <v>18</v>
      </c>
      <c r="G30" s="72">
        <v>39480</v>
      </c>
      <c r="I30" s="67" t="str">
        <v/>
      </c>
      <c r="J30" s="73">
        <f>IFERROR(IF(I30&gt;E30,(I30-E30)*_xlfn.XLOOKUP(C30,'Vendor Details'!$B$4:$B$33,'Vendor Details'!$F$4:$F$33)*'Vendor Invoices'!G30,""),0)</f>
        <v>0</v>
      </c>
      <c r="K30" s="72">
        <f>IFERROR(_xlfn.XLOOKUP(B30,'Payment HIstory'!$D:$D,'Payment HIstory'!$F:$F),0)</f>
        <v>0</v>
      </c>
      <c r="L30" s="1" t="str">
        <f t="shared" si="0"/>
        <v>Outstanding</v>
      </c>
      <c r="M30" s="72">
        <f t="shared" si="2"/>
        <v>39480</v>
      </c>
      <c r="N30" s="72">
        <f>IF(L30="Outstanding",($C$3-E30)*_xlfn.XLOOKUP(C30,'Vendor Details'!$B:$B,'Vendor Details'!$F:$F)*'Vendor Invoices'!G30,0)</f>
        <v>1602.8879999999999</v>
      </c>
      <c r="O30" s="77">
        <f t="shared" si="3"/>
        <v>41082.887999999999</v>
      </c>
      <c r="P30" s="70">
        <f t="shared" si="1"/>
        <v>58</v>
      </c>
      <c r="Q30" s="1" t="str" cm="1">
        <f t="array" ref="Q30">IF(L30="Outstanding",_xlfn.XLOOKUP(1,(P30&gt;='Aging Schedule'!$B$18:$B$22)*(P30&lt;='Aging Schedule'!$C$18:$C$22),'Aging Schedule'!$D$18:$D$22),"")</f>
        <v>46-60 Days</v>
      </c>
      <c r="R30" s="1" t="str">
        <f>IF(L30="Outstanding",VLOOKUP(P30,'Aging Schedule'!$B$18:$D$22,3),"")</f>
        <v>46-60 Days</v>
      </c>
      <c r="S30" s="77">
        <f t="shared" si="4"/>
        <v>1602.8879999999999</v>
      </c>
    </row>
    <row r="31" spans="2:19" x14ac:dyDescent="0.25">
      <c r="B31" s="1" t="s">
        <v>82</v>
      </c>
      <c r="C31" s="1" t="s">
        <v>36</v>
      </c>
      <c r="D31" s="43">
        <v>44871</v>
      </c>
      <c r="E31" s="43">
        <v>44967</v>
      </c>
      <c r="F31" s="1" t="s">
        <v>19</v>
      </c>
      <c r="G31" s="72">
        <v>85725</v>
      </c>
      <c r="I31" s="67">
        <v>44959</v>
      </c>
      <c r="J31" s="73" t="str">
        <f>IFERROR(IF(I31&gt;E31,(I31-E31)*_xlfn.XLOOKUP(C31,'Vendor Details'!$B$4:$B$33,'Vendor Details'!$F$4:$F$33)*'Vendor Invoices'!G31,""),0)</f>
        <v/>
      </c>
      <c r="K31" s="72">
        <f>IFERROR(_xlfn.XLOOKUP(B31,'Payment HIstory'!$D:$D,'Payment HIstory'!$F:$F),0)</f>
        <v>80581.5</v>
      </c>
      <c r="L31" s="1" t="str">
        <f t="shared" si="0"/>
        <v>Outstanding</v>
      </c>
      <c r="M31" s="72">
        <f t="shared" si="2"/>
        <v>5143.5</v>
      </c>
      <c r="N31" s="72">
        <f>IF(L31="Outstanding",($C$3-E31)*_xlfn.XLOOKUP(C31,'Vendor Details'!$B:$B,'Vendor Details'!$F:$F)*'Vendor Invoices'!G31,0)</f>
        <v>22905.72</v>
      </c>
      <c r="O31" s="77">
        <f t="shared" si="3"/>
        <v>28049.22</v>
      </c>
      <c r="P31" s="70">
        <f t="shared" si="1"/>
        <v>334</v>
      </c>
      <c r="Q31" s="1" t="str" cm="1">
        <f t="array" ref="Q31">IF(L31="Outstanding",_xlfn.XLOOKUP(1,(P31&gt;='Aging Schedule'!$B$18:$B$22)*(P31&lt;='Aging Schedule'!$C$18:$C$22),'Aging Schedule'!$D$18:$D$22),"")</f>
        <v>91+ Days</v>
      </c>
      <c r="R31" s="1" t="str">
        <f>IF(L31="Outstanding",VLOOKUP(P31,'Aging Schedule'!$B$18:$D$22,3),"")</f>
        <v>91+ Days</v>
      </c>
      <c r="S31" s="77">
        <f t="shared" si="4"/>
        <v>22905.72</v>
      </c>
    </row>
    <row r="32" spans="2:19" x14ac:dyDescent="0.25">
      <c r="B32" s="1" t="s">
        <v>83</v>
      </c>
      <c r="C32" s="1" t="s">
        <v>36</v>
      </c>
      <c r="D32" s="43">
        <v>45200</v>
      </c>
      <c r="E32" s="43">
        <v>45230</v>
      </c>
      <c r="F32" s="1" t="s">
        <v>20</v>
      </c>
      <c r="G32" s="72">
        <v>80391</v>
      </c>
      <c r="I32" s="67" t="str">
        <v/>
      </c>
      <c r="J32" s="73">
        <f>IFERROR(IF(I32&gt;E32,(I32-E32)*_xlfn.XLOOKUP(C32,'Vendor Details'!$B$4:$B$33,'Vendor Details'!$F$4:$F$33)*'Vendor Invoices'!G32,""),0)</f>
        <v>0</v>
      </c>
      <c r="K32" s="72">
        <f>IFERROR(_xlfn.XLOOKUP(B32,'Payment HIstory'!$D:$D,'Payment HIstory'!$F:$F),0)</f>
        <v>0</v>
      </c>
      <c r="L32" s="1" t="str">
        <f t="shared" si="0"/>
        <v>Outstanding</v>
      </c>
      <c r="M32" s="72">
        <f t="shared" si="2"/>
        <v>80391</v>
      </c>
      <c r="N32" s="72">
        <f>IF(L32="Outstanding",($C$3-E32)*_xlfn.XLOOKUP(C32,'Vendor Details'!$B:$B,'Vendor Details'!$F:$F)*'Vendor Invoices'!G32,0)</f>
        <v>4566.2088000000003</v>
      </c>
      <c r="O32" s="77">
        <f t="shared" si="3"/>
        <v>84957.208799999993</v>
      </c>
      <c r="P32" s="70">
        <f t="shared" si="1"/>
        <v>71</v>
      </c>
      <c r="Q32" s="1" t="str" cm="1">
        <f t="array" ref="Q32">IF(L32="Outstanding",_xlfn.XLOOKUP(1,(P32&gt;='Aging Schedule'!$B$18:$B$22)*(P32&lt;='Aging Schedule'!$C$18:$C$22),'Aging Schedule'!$D$18:$D$22),"")</f>
        <v>61-90 Days</v>
      </c>
      <c r="R32" s="1" t="str">
        <f>IF(L32="Outstanding",VLOOKUP(P32,'Aging Schedule'!$B$18:$D$22,3),"")</f>
        <v>61-90 Days</v>
      </c>
      <c r="S32" s="77">
        <f t="shared" si="4"/>
        <v>4566.2088000000003</v>
      </c>
    </row>
    <row r="33" spans="2:19" x14ac:dyDescent="0.25">
      <c r="B33" s="1" t="s">
        <v>84</v>
      </c>
      <c r="C33" s="1" t="s">
        <v>35</v>
      </c>
      <c r="D33" s="43">
        <v>45255</v>
      </c>
      <c r="E33" s="43">
        <v>45285</v>
      </c>
      <c r="F33" s="1" t="s">
        <v>21</v>
      </c>
      <c r="G33" s="72">
        <v>64117</v>
      </c>
      <c r="I33" s="67" t="str">
        <v/>
      </c>
      <c r="J33" s="73">
        <f>IFERROR(IF(I33&gt;E33,(I33-E33)*_xlfn.XLOOKUP(C33,'Vendor Details'!$B$4:$B$33,'Vendor Details'!$F$4:$F$33)*'Vendor Invoices'!G33,""),0)</f>
        <v>0</v>
      </c>
      <c r="K33" s="72">
        <f>IFERROR(_xlfn.XLOOKUP(B33,'Payment HIstory'!$D:$D,'Payment HIstory'!$F:$F),0)</f>
        <v>0</v>
      </c>
      <c r="L33" s="1" t="str">
        <f t="shared" si="0"/>
        <v>Outstanding</v>
      </c>
      <c r="M33" s="72">
        <f t="shared" si="2"/>
        <v>64117</v>
      </c>
      <c r="N33" s="72">
        <f>IF(L33="Outstanding",($C$3-E33)*_xlfn.XLOOKUP(C33,'Vendor Details'!$B:$B,'Vendor Details'!$F:$F)*'Vendor Invoices'!G33,0)</f>
        <v>461.64240000000007</v>
      </c>
      <c r="O33" s="77">
        <f t="shared" si="3"/>
        <v>64578.642399999997</v>
      </c>
      <c r="P33" s="70">
        <f t="shared" si="1"/>
        <v>16</v>
      </c>
      <c r="Q33" s="1" t="str" cm="1">
        <f t="array" ref="Q33">IF(L33="Outstanding",_xlfn.XLOOKUP(1,(P33&gt;='Aging Schedule'!$B$18:$B$22)*(P33&lt;='Aging Schedule'!$C$18:$C$22),'Aging Schedule'!$D$18:$D$22),"")</f>
        <v>0-30 Days</v>
      </c>
      <c r="R33" s="1" t="str">
        <f>IF(L33="Outstanding",VLOOKUP(P33,'Aging Schedule'!$B$18:$D$22,3),"")</f>
        <v>0-30 Days</v>
      </c>
      <c r="S33" s="77">
        <f t="shared" si="4"/>
        <v>461.64240000000007</v>
      </c>
    </row>
    <row r="34" spans="2:19" x14ac:dyDescent="0.25">
      <c r="B34" s="1" t="s">
        <v>85</v>
      </c>
      <c r="C34" s="1" t="s">
        <v>42</v>
      </c>
      <c r="D34" s="43">
        <v>44990</v>
      </c>
      <c r="E34" s="43">
        <v>45071</v>
      </c>
      <c r="F34" s="1" t="s">
        <v>18</v>
      </c>
      <c r="G34" s="72">
        <v>64032</v>
      </c>
      <c r="I34" s="67">
        <v>45071</v>
      </c>
      <c r="J34" s="73" t="str">
        <f>IFERROR(IF(I34&gt;E34,(I34-E34)*_xlfn.XLOOKUP(C34,'Vendor Details'!$B$4:$B$33,'Vendor Details'!$F$4:$F$33)*'Vendor Invoices'!G34,""),0)</f>
        <v/>
      </c>
      <c r="K34" s="72">
        <f>IFERROR(_xlfn.XLOOKUP(B34,'Payment HIstory'!$D:$D,'Payment HIstory'!$F:$F),0)</f>
        <v>60830.399999999994</v>
      </c>
      <c r="L34" s="1" t="str">
        <f t="shared" si="0"/>
        <v>Outstanding</v>
      </c>
      <c r="M34" s="72">
        <f t="shared" si="2"/>
        <v>3201.6000000000058</v>
      </c>
      <c r="N34" s="72">
        <f>IF(L34="Outstanding",($C$3-E34)*_xlfn.XLOOKUP(C34,'Vendor Details'!$B:$B,'Vendor Details'!$F:$F)*'Vendor Invoices'!G34,0)</f>
        <v>4418.2080000000005</v>
      </c>
      <c r="O34" s="77">
        <f t="shared" si="3"/>
        <v>7619.8080000000064</v>
      </c>
      <c r="P34" s="70">
        <f t="shared" si="1"/>
        <v>230</v>
      </c>
      <c r="Q34" s="1" t="str" cm="1">
        <f t="array" ref="Q34">IF(L34="Outstanding",_xlfn.XLOOKUP(1,(P34&gt;='Aging Schedule'!$B$18:$B$22)*(P34&lt;='Aging Schedule'!$C$18:$C$22),'Aging Schedule'!$D$18:$D$22),"")</f>
        <v>91+ Days</v>
      </c>
      <c r="R34" s="1" t="str">
        <f>IF(L34="Outstanding",VLOOKUP(P34,'Aging Schedule'!$B$18:$D$22,3),"")</f>
        <v>91+ Days</v>
      </c>
      <c r="S34" s="77">
        <f t="shared" si="4"/>
        <v>4418.2080000000005</v>
      </c>
    </row>
    <row r="35" spans="2:19" x14ac:dyDescent="0.25">
      <c r="B35" s="1" t="s">
        <v>86</v>
      </c>
      <c r="C35" s="1" t="s">
        <v>36</v>
      </c>
      <c r="D35" s="43">
        <v>45082</v>
      </c>
      <c r="E35" s="43">
        <v>45107</v>
      </c>
      <c r="F35" s="1" t="s">
        <v>19</v>
      </c>
      <c r="G35" s="72">
        <v>92171</v>
      </c>
      <c r="I35" s="67">
        <v>45107</v>
      </c>
      <c r="J35" s="73" t="str">
        <f>IFERROR(IF(I35&gt;E35,(I35-E35)*_xlfn.XLOOKUP(C35,'Vendor Details'!$B$4:$B$33,'Vendor Details'!$F$4:$F$33)*'Vendor Invoices'!G35,""),0)</f>
        <v/>
      </c>
      <c r="K35" s="72">
        <f>IFERROR(_xlfn.XLOOKUP(B35,'Payment HIstory'!$D:$D,'Payment HIstory'!$F:$F),0)</f>
        <v>87562.45</v>
      </c>
      <c r="L35" s="1" t="str">
        <f t="shared" si="0"/>
        <v>Outstanding</v>
      </c>
      <c r="M35" s="72">
        <f t="shared" si="2"/>
        <v>4608.5500000000029</v>
      </c>
      <c r="N35" s="72">
        <f>IF(L35="Outstanding",($C$3-E35)*_xlfn.XLOOKUP(C35,'Vendor Details'!$B:$B,'Vendor Details'!$F:$F)*'Vendor Invoices'!G35,0)</f>
        <v>14304.939200000001</v>
      </c>
      <c r="O35" s="77">
        <f t="shared" si="3"/>
        <v>18913.489200000004</v>
      </c>
      <c r="P35" s="70">
        <f t="shared" si="1"/>
        <v>194</v>
      </c>
      <c r="Q35" s="1" t="str" cm="1">
        <f t="array" ref="Q35">IF(L35="Outstanding",_xlfn.XLOOKUP(1,(P35&gt;='Aging Schedule'!$B$18:$B$22)*(P35&lt;='Aging Schedule'!$C$18:$C$22),'Aging Schedule'!$D$18:$D$22),"")</f>
        <v>91+ Days</v>
      </c>
      <c r="R35" s="1" t="str">
        <f>IF(L35="Outstanding",VLOOKUP(P35,'Aging Schedule'!$B$18:$D$22,3),"")</f>
        <v>91+ Days</v>
      </c>
      <c r="S35" s="77">
        <f t="shared" si="4"/>
        <v>14304.939200000001</v>
      </c>
    </row>
    <row r="36" spans="2:19" x14ac:dyDescent="0.25">
      <c r="B36" s="1" t="s">
        <v>87</v>
      </c>
      <c r="C36" s="1" t="s">
        <v>33</v>
      </c>
      <c r="D36" s="43">
        <v>45003</v>
      </c>
      <c r="E36" s="43">
        <v>45112</v>
      </c>
      <c r="F36" s="1" t="s">
        <v>20</v>
      </c>
      <c r="G36" s="72">
        <v>100867</v>
      </c>
      <c r="I36" s="67">
        <v>45112</v>
      </c>
      <c r="J36" s="73" t="str">
        <f>IFERROR(IF(I36&gt;E36,(I36-E36)*_xlfn.XLOOKUP(C36,'Vendor Details'!$B$4:$B$33,'Vendor Details'!$F$4:$F$33)*'Vendor Invoices'!G36,""),0)</f>
        <v/>
      </c>
      <c r="K36" s="72">
        <f>IFERROR(_xlfn.XLOOKUP(B36,'Payment HIstory'!$D:$D,'Payment HIstory'!$F:$F),0)</f>
        <v>90780.3</v>
      </c>
      <c r="L36" s="1" t="str">
        <f t="shared" si="0"/>
        <v>Outstanding</v>
      </c>
      <c r="M36" s="72">
        <f t="shared" si="2"/>
        <v>10086.699999999997</v>
      </c>
      <c r="N36" s="72">
        <f>IF(L36="Outstanding",($C$3-E36)*_xlfn.XLOOKUP(C36,'Vendor Details'!$B:$B,'Vendor Details'!$F:$F)*'Vendor Invoices'!G36,0)</f>
        <v>13344.704100000001</v>
      </c>
      <c r="O36" s="77">
        <f t="shared" si="3"/>
        <v>23431.4041</v>
      </c>
      <c r="P36" s="70">
        <f t="shared" si="1"/>
        <v>189</v>
      </c>
      <c r="Q36" s="1" t="str" cm="1">
        <f t="array" ref="Q36">IF(L36="Outstanding",_xlfn.XLOOKUP(1,(P36&gt;='Aging Schedule'!$B$18:$B$22)*(P36&lt;='Aging Schedule'!$C$18:$C$22),'Aging Schedule'!$D$18:$D$22),"")</f>
        <v>91+ Days</v>
      </c>
      <c r="R36" s="1" t="str">
        <f>IF(L36="Outstanding",VLOOKUP(P36,'Aging Schedule'!$B$18:$D$22,3),"")</f>
        <v>91+ Days</v>
      </c>
      <c r="S36" s="77">
        <f t="shared" si="4"/>
        <v>13344.704100000001</v>
      </c>
    </row>
    <row r="37" spans="2:19" x14ac:dyDescent="0.25">
      <c r="B37" s="1" t="s">
        <v>88</v>
      </c>
      <c r="C37" s="1" t="s">
        <v>38</v>
      </c>
      <c r="D37" s="43">
        <v>45174</v>
      </c>
      <c r="E37" s="43">
        <v>45204</v>
      </c>
      <c r="F37" s="1" t="s">
        <v>21</v>
      </c>
      <c r="G37" s="72">
        <v>38574</v>
      </c>
      <c r="I37" s="67" t="str">
        <v/>
      </c>
      <c r="J37" s="73">
        <f>IFERROR(IF(I37&gt;E37,(I37-E37)*_xlfn.XLOOKUP(C37,'Vendor Details'!$B$4:$B$33,'Vendor Details'!$F$4:$F$33)*'Vendor Invoices'!G37,""),0)</f>
        <v>0</v>
      </c>
      <c r="K37" s="72">
        <f>IFERROR(_xlfn.XLOOKUP(B37,'Payment HIstory'!$D:$D,'Payment HIstory'!$F:$F),0)</f>
        <v>0</v>
      </c>
      <c r="L37" s="1" t="str">
        <f t="shared" si="0"/>
        <v>Outstanding</v>
      </c>
      <c r="M37" s="72">
        <f t="shared" si="2"/>
        <v>38574</v>
      </c>
      <c r="N37" s="72">
        <f>IF(L37="Outstanding",($C$3-E37)*_xlfn.XLOOKUP(C37,'Vendor Details'!$B:$B,'Vendor Details'!$F:$F)*'Vendor Invoices'!G37,0)</f>
        <v>187.0839</v>
      </c>
      <c r="O37" s="77">
        <f t="shared" si="3"/>
        <v>38761.083899999998</v>
      </c>
      <c r="P37" s="70">
        <f t="shared" si="1"/>
        <v>97</v>
      </c>
      <c r="Q37" s="1" t="str" cm="1">
        <f t="array" ref="Q37">IF(L37="Outstanding",_xlfn.XLOOKUP(1,(P37&gt;='Aging Schedule'!$B$18:$B$22)*(P37&lt;='Aging Schedule'!$C$18:$C$22),'Aging Schedule'!$D$18:$D$22),"")</f>
        <v>91+ Days</v>
      </c>
      <c r="R37" s="1" t="str">
        <f>IF(L37="Outstanding",VLOOKUP(P37,'Aging Schedule'!$B$18:$D$22,3),"")</f>
        <v>91+ Days</v>
      </c>
      <c r="S37" s="77">
        <f t="shared" si="4"/>
        <v>187.0839</v>
      </c>
    </row>
    <row r="38" spans="2:19" x14ac:dyDescent="0.25">
      <c r="B38" s="1" t="s">
        <v>89</v>
      </c>
      <c r="C38" s="1" t="s">
        <v>42</v>
      </c>
      <c r="D38" s="43">
        <v>45200</v>
      </c>
      <c r="E38" s="43">
        <v>45230</v>
      </c>
      <c r="F38" s="1" t="s">
        <v>18</v>
      </c>
      <c r="G38" s="72">
        <v>113547</v>
      </c>
      <c r="I38" s="67" t="str">
        <v/>
      </c>
      <c r="J38" s="73">
        <f>IFERROR(IF(I38&gt;E38,(I38-E38)*_xlfn.XLOOKUP(C38,'Vendor Details'!$B$4:$B$33,'Vendor Details'!$F$4:$F$33)*'Vendor Invoices'!G38,""),0)</f>
        <v>0</v>
      </c>
      <c r="K38" s="72">
        <f>IFERROR(_xlfn.XLOOKUP(B38,'Payment HIstory'!$D:$D,'Payment HIstory'!$F:$F),0)</f>
        <v>0</v>
      </c>
      <c r="L38" s="1" t="str">
        <f t="shared" si="0"/>
        <v>Outstanding</v>
      </c>
      <c r="M38" s="72">
        <f t="shared" si="2"/>
        <v>113547</v>
      </c>
      <c r="N38" s="72">
        <f>IF(L38="Outstanding",($C$3-E38)*_xlfn.XLOOKUP(C38,'Vendor Details'!$B:$B,'Vendor Details'!$F:$F)*'Vendor Invoices'!G38,0)</f>
        <v>2418.5511000000001</v>
      </c>
      <c r="O38" s="77">
        <f t="shared" si="3"/>
        <v>115965.5511</v>
      </c>
      <c r="P38" s="70">
        <f t="shared" ref="P38:P69" si="5">IF(L38="Outstanding",$C$3-E38,"")</f>
        <v>71</v>
      </c>
      <c r="Q38" s="1" t="str" cm="1">
        <f t="array" ref="Q38">IF(L38="Outstanding",_xlfn.XLOOKUP(1,(P38&gt;='Aging Schedule'!$B$18:$B$22)*(P38&lt;='Aging Schedule'!$C$18:$C$22),'Aging Schedule'!$D$18:$D$22),"")</f>
        <v>61-90 Days</v>
      </c>
      <c r="R38" s="1" t="str">
        <f>IF(L38="Outstanding",VLOOKUP(P38,'Aging Schedule'!$B$18:$D$22,3),"")</f>
        <v>61-90 Days</v>
      </c>
      <c r="S38" s="77">
        <f t="shared" si="4"/>
        <v>2418.5511000000001</v>
      </c>
    </row>
    <row r="39" spans="2:19" x14ac:dyDescent="0.25">
      <c r="B39" s="1" t="s">
        <v>90</v>
      </c>
      <c r="C39" s="1" t="s">
        <v>35</v>
      </c>
      <c r="D39" s="43">
        <v>45178</v>
      </c>
      <c r="E39" s="43">
        <v>45219</v>
      </c>
      <c r="F39" s="1" t="s">
        <v>19</v>
      </c>
      <c r="G39" s="72">
        <v>83348</v>
      </c>
      <c r="I39" s="67">
        <v>45207</v>
      </c>
      <c r="J39" s="73" t="str">
        <f>IFERROR(IF(I39&gt;E39,(I39-E39)*_xlfn.XLOOKUP(C39,'Vendor Details'!$B$4:$B$33,'Vendor Details'!$F$4:$F$33)*'Vendor Invoices'!G39,""),0)</f>
        <v/>
      </c>
      <c r="K39" s="72">
        <f>IFERROR(_xlfn.XLOOKUP(B39,'Payment HIstory'!$D:$D,'Payment HIstory'!$F:$F),0)</f>
        <v>83348</v>
      </c>
      <c r="L39" s="1" t="str">
        <f t="shared" si="0"/>
        <v>Paid</v>
      </c>
      <c r="M39" s="72">
        <f t="shared" si="2"/>
        <v>0</v>
      </c>
      <c r="N39" s="72">
        <f>IF(L39="Outstanding",($C$3-E39)*_xlfn.XLOOKUP(C39,'Vendor Details'!$B:$B,'Vendor Details'!$F:$F)*'Vendor Invoices'!G39,0)</f>
        <v>0</v>
      </c>
      <c r="O39" s="77">
        <f t="shared" si="3"/>
        <v>0</v>
      </c>
      <c r="P39" s="70" t="str">
        <f t="shared" si="5"/>
        <v/>
      </c>
      <c r="Q39" s="1" t="str" cm="1">
        <f t="array" ref="Q39">IF(L39="Outstanding",_xlfn.XLOOKUP(1,(P39&gt;='Aging Schedule'!$B$18:$B$22)*(P39&lt;='Aging Schedule'!$C$18:$C$22),'Aging Schedule'!$D$18:$D$22),"")</f>
        <v/>
      </c>
      <c r="R39" s="1" t="str">
        <f>IF(L39="Outstanding",VLOOKUP(P39,'Aging Schedule'!$B$18:$D$22,3),"")</f>
        <v/>
      </c>
      <c r="S39" s="77">
        <f t="shared" si="4"/>
        <v>0</v>
      </c>
    </row>
    <row r="40" spans="2:19" x14ac:dyDescent="0.25">
      <c r="B40" s="1" t="s">
        <v>91</v>
      </c>
      <c r="C40" s="1" t="s">
        <v>41</v>
      </c>
      <c r="D40" s="43">
        <v>45206</v>
      </c>
      <c r="E40" s="43">
        <v>45255</v>
      </c>
      <c r="F40" s="1" t="s">
        <v>20</v>
      </c>
      <c r="G40" s="72">
        <v>48639</v>
      </c>
      <c r="I40" s="67">
        <v>45255</v>
      </c>
      <c r="J40" s="73" t="str">
        <f>IFERROR(IF(I40&gt;E40,(I40-E40)*_xlfn.XLOOKUP(C40,'Vendor Details'!$B$4:$B$33,'Vendor Details'!$F$4:$F$33)*'Vendor Invoices'!G40,""),0)</f>
        <v/>
      </c>
      <c r="K40" s="72">
        <f>IFERROR(_xlfn.XLOOKUP(B40,'Payment HIstory'!$D:$D,'Payment HIstory'!$F:$F),0)</f>
        <v>48639</v>
      </c>
      <c r="L40" s="1" t="str">
        <f t="shared" si="0"/>
        <v>Paid</v>
      </c>
      <c r="M40" s="72">
        <f t="shared" si="2"/>
        <v>0</v>
      </c>
      <c r="N40" s="72">
        <f>IF(L40="Outstanding",($C$3-E40)*_xlfn.XLOOKUP(C40,'Vendor Details'!$B:$B,'Vendor Details'!$F:$F)*'Vendor Invoices'!G40,0)</f>
        <v>0</v>
      </c>
      <c r="O40" s="77">
        <f t="shared" si="3"/>
        <v>0</v>
      </c>
      <c r="P40" s="70" t="str">
        <f t="shared" si="5"/>
        <v/>
      </c>
      <c r="Q40" s="1" t="str" cm="1">
        <f t="array" ref="Q40">IF(L40="Outstanding",_xlfn.XLOOKUP(1,(P40&gt;='Aging Schedule'!$B$18:$B$22)*(P40&lt;='Aging Schedule'!$C$18:$C$22),'Aging Schedule'!$D$18:$D$22),"")</f>
        <v/>
      </c>
      <c r="R40" s="1" t="str">
        <f>IF(L40="Outstanding",VLOOKUP(P40,'Aging Schedule'!$B$18:$D$22,3),"")</f>
        <v/>
      </c>
      <c r="S40" s="77">
        <f t="shared" si="4"/>
        <v>0</v>
      </c>
    </row>
    <row r="41" spans="2:19" x14ac:dyDescent="0.25">
      <c r="B41" s="1" t="s">
        <v>92</v>
      </c>
      <c r="C41" s="1" t="s">
        <v>42</v>
      </c>
      <c r="D41" s="43">
        <v>45272</v>
      </c>
      <c r="E41" s="43">
        <v>45290</v>
      </c>
      <c r="F41" s="1" t="s">
        <v>21</v>
      </c>
      <c r="G41" s="72">
        <v>33333</v>
      </c>
      <c r="I41" s="67">
        <v>45306</v>
      </c>
      <c r="J41" s="73">
        <f>IFERROR(IF(I41&gt;E41,(I41-E41)*_xlfn.XLOOKUP(C41,'Vendor Details'!$B$4:$B$33,'Vendor Details'!$F$4:$F$33)*'Vendor Invoices'!G41,""),0)</f>
        <v>159.9984</v>
      </c>
      <c r="K41" s="72">
        <f>IFERROR(_xlfn.XLOOKUP(B41,'Payment HIstory'!$D:$D,'Payment HIstory'!$F:$F),0)</f>
        <v>33492.998399999997</v>
      </c>
      <c r="L41" s="1" t="str">
        <f t="shared" si="0"/>
        <v>Paid</v>
      </c>
      <c r="M41" s="72">
        <f t="shared" si="2"/>
        <v>0</v>
      </c>
      <c r="N41" s="72">
        <f>IF(L41="Outstanding",($C$3-E41)*_xlfn.XLOOKUP(C41,'Vendor Details'!$B:$B,'Vendor Details'!$F:$F)*'Vendor Invoices'!G41,0)</f>
        <v>0</v>
      </c>
      <c r="O41" s="77">
        <f t="shared" si="3"/>
        <v>0</v>
      </c>
      <c r="P41" s="70" t="str">
        <f t="shared" si="5"/>
        <v/>
      </c>
      <c r="Q41" s="1" t="str" cm="1">
        <f t="array" ref="Q41">IF(L41="Outstanding",_xlfn.XLOOKUP(1,(P41&gt;='Aging Schedule'!$B$18:$B$22)*(P41&lt;='Aging Schedule'!$C$18:$C$22),'Aging Schedule'!$D$18:$D$22),"")</f>
        <v/>
      </c>
      <c r="R41" s="1" t="str">
        <f>IF(L41="Outstanding",VLOOKUP(P41,'Aging Schedule'!$B$18:$D$22,3),"")</f>
        <v/>
      </c>
      <c r="S41" s="77">
        <f t="shared" si="4"/>
        <v>159.9984</v>
      </c>
    </row>
    <row r="42" spans="2:19" x14ac:dyDescent="0.25">
      <c r="B42" s="1" t="s">
        <v>93</v>
      </c>
      <c r="C42" s="1" t="s">
        <v>41</v>
      </c>
      <c r="D42" s="43">
        <v>45206</v>
      </c>
      <c r="E42" s="43">
        <v>45236</v>
      </c>
      <c r="F42" s="1" t="s">
        <v>18</v>
      </c>
      <c r="G42" s="72">
        <v>43575</v>
      </c>
      <c r="I42" s="67" t="str">
        <v/>
      </c>
      <c r="J42" s="73">
        <f>IFERROR(IF(I42&gt;E42,(I42-E42)*_xlfn.XLOOKUP(C42,'Vendor Details'!$B$4:$B$33,'Vendor Details'!$F$4:$F$33)*'Vendor Invoices'!G42,""),0)</f>
        <v>0</v>
      </c>
      <c r="K42" s="72">
        <f>IFERROR(_xlfn.XLOOKUP(B42,'Payment HIstory'!$D:$D,'Payment HIstory'!$F:$F),0)</f>
        <v>0</v>
      </c>
      <c r="L42" s="1" t="str">
        <f t="shared" si="0"/>
        <v>Outstanding</v>
      </c>
      <c r="M42" s="72">
        <f t="shared" si="2"/>
        <v>43575</v>
      </c>
      <c r="N42" s="72">
        <f>IF(L42="Outstanding",($C$3-E42)*_xlfn.XLOOKUP(C42,'Vendor Details'!$B:$B,'Vendor Details'!$F:$F)*'Vendor Invoices'!G42,0)</f>
        <v>1557.8062499999999</v>
      </c>
      <c r="O42" s="77">
        <f t="shared" si="3"/>
        <v>45132.806250000001</v>
      </c>
      <c r="P42" s="70">
        <f t="shared" si="5"/>
        <v>65</v>
      </c>
      <c r="Q42" s="1" t="str" cm="1">
        <f t="array" ref="Q42">IF(L42="Outstanding",_xlfn.XLOOKUP(1,(P42&gt;='Aging Schedule'!$B$18:$B$22)*(P42&lt;='Aging Schedule'!$C$18:$C$22),'Aging Schedule'!$D$18:$D$22),"")</f>
        <v>61-90 Days</v>
      </c>
      <c r="R42" s="1" t="str">
        <f>IF(L42="Outstanding",VLOOKUP(P42,'Aging Schedule'!$B$18:$D$22,3),"")</f>
        <v>61-90 Days</v>
      </c>
      <c r="S42" s="77">
        <f t="shared" si="4"/>
        <v>1557.8062499999999</v>
      </c>
    </row>
    <row r="43" spans="2:19" x14ac:dyDescent="0.25">
      <c r="B43" s="1" t="s">
        <v>94</v>
      </c>
      <c r="C43" s="1" t="s">
        <v>38</v>
      </c>
      <c r="D43" s="43">
        <v>44892</v>
      </c>
      <c r="E43" s="43">
        <v>44967</v>
      </c>
      <c r="F43" s="1" t="s">
        <v>19</v>
      </c>
      <c r="G43" s="72">
        <v>33367</v>
      </c>
      <c r="I43" s="67">
        <v>44983</v>
      </c>
      <c r="J43" s="73">
        <f>IFERROR(IF(I43&gt;E43,(I43-E43)*_xlfn.XLOOKUP(C43,'Vendor Details'!$B$4:$B$33,'Vendor Details'!$F$4:$F$33)*'Vendor Invoices'!G43,""),0)</f>
        <v>26.6936</v>
      </c>
      <c r="K43" s="72">
        <f>IFERROR(_xlfn.XLOOKUP(B43,'Payment HIstory'!$D:$D,'Payment HIstory'!$F:$F),0)</f>
        <v>30388.261176</v>
      </c>
      <c r="L43" s="1" t="str">
        <f t="shared" si="0"/>
        <v>Outstanding</v>
      </c>
      <c r="M43" s="72">
        <f t="shared" si="2"/>
        <v>2978.738824</v>
      </c>
      <c r="N43" s="72">
        <f>IF(L43="Outstanding",($C$3-E43)*_xlfn.XLOOKUP(C43,'Vendor Details'!$B:$B,'Vendor Details'!$F:$F)*'Vendor Invoices'!G43,0)</f>
        <v>557.22889999999995</v>
      </c>
      <c r="O43" s="77">
        <f t="shared" si="3"/>
        <v>3535.9677240000001</v>
      </c>
      <c r="P43" s="70">
        <f t="shared" si="5"/>
        <v>334</v>
      </c>
      <c r="Q43" s="1" t="str" cm="1">
        <f t="array" ref="Q43">IF(L43="Outstanding",_xlfn.XLOOKUP(1,(P43&gt;='Aging Schedule'!$B$18:$B$22)*(P43&lt;='Aging Schedule'!$C$18:$C$22),'Aging Schedule'!$D$18:$D$22),"")</f>
        <v>91+ Days</v>
      </c>
      <c r="R43" s="1" t="str">
        <f>IF(L43="Outstanding",VLOOKUP(P43,'Aging Schedule'!$B$18:$D$22,3),"")</f>
        <v>91+ Days</v>
      </c>
      <c r="S43" s="77">
        <f t="shared" si="4"/>
        <v>583.9224999999999</v>
      </c>
    </row>
    <row r="44" spans="2:19" x14ac:dyDescent="0.25">
      <c r="B44" s="1" t="s">
        <v>95</v>
      </c>
      <c r="C44" s="1" t="s">
        <v>42</v>
      </c>
      <c r="D44" s="43">
        <v>44949</v>
      </c>
      <c r="E44" s="43">
        <v>45000</v>
      </c>
      <c r="F44" s="1" t="s">
        <v>20</v>
      </c>
      <c r="G44" s="72">
        <v>98725</v>
      </c>
      <c r="I44" s="67">
        <v>45000</v>
      </c>
      <c r="J44" s="73" t="str">
        <f>IFERROR(IF(I44&gt;E44,(I44-E44)*_xlfn.XLOOKUP(C44,'Vendor Details'!$B$4:$B$33,'Vendor Details'!$F$4:$F$33)*'Vendor Invoices'!G44,""),0)</f>
        <v/>
      </c>
      <c r="K44" s="72">
        <f>IFERROR(_xlfn.XLOOKUP(B44,'Payment HIstory'!$D:$D,'Payment HIstory'!$F:$F),0)</f>
        <v>98725</v>
      </c>
      <c r="L44" s="1" t="str">
        <f t="shared" si="0"/>
        <v>Paid</v>
      </c>
      <c r="M44" s="72">
        <f t="shared" si="2"/>
        <v>0</v>
      </c>
      <c r="N44" s="72">
        <f>IF(L44="Outstanding",($C$3-E44)*_xlfn.XLOOKUP(C44,'Vendor Details'!$B:$B,'Vendor Details'!$F:$F)*'Vendor Invoices'!G44,0)</f>
        <v>0</v>
      </c>
      <c r="O44" s="77">
        <f t="shared" si="3"/>
        <v>0</v>
      </c>
      <c r="P44" s="70" t="str">
        <f t="shared" si="5"/>
        <v/>
      </c>
      <c r="Q44" s="1" t="str" cm="1">
        <f t="array" ref="Q44">IF(L44="Outstanding",_xlfn.XLOOKUP(1,(P44&gt;='Aging Schedule'!$B$18:$B$22)*(P44&lt;='Aging Schedule'!$C$18:$C$22),'Aging Schedule'!$D$18:$D$22),"")</f>
        <v/>
      </c>
      <c r="R44" s="1" t="str">
        <f>IF(L44="Outstanding",VLOOKUP(P44,'Aging Schedule'!$B$18:$D$22,3),"")</f>
        <v/>
      </c>
      <c r="S44" s="77">
        <f t="shared" si="4"/>
        <v>0</v>
      </c>
    </row>
    <row r="45" spans="2:19" x14ac:dyDescent="0.25">
      <c r="B45" s="1" t="s">
        <v>96</v>
      </c>
      <c r="C45" s="1" t="s">
        <v>39</v>
      </c>
      <c r="D45" s="43">
        <v>44971</v>
      </c>
      <c r="E45" s="43">
        <v>45036</v>
      </c>
      <c r="F45" s="1" t="s">
        <v>21</v>
      </c>
      <c r="G45" s="72">
        <v>47624</v>
      </c>
      <c r="I45" s="67">
        <v>45036</v>
      </c>
      <c r="J45" s="73" t="str">
        <f>IFERROR(IF(I45&gt;E45,(I45-E45)*_xlfn.XLOOKUP(C45,'Vendor Details'!$B$4:$B$33,'Vendor Details'!$F$4:$F$33)*'Vendor Invoices'!G45,""),0)</f>
        <v/>
      </c>
      <c r="K45" s="72">
        <f>IFERROR(_xlfn.XLOOKUP(B45,'Payment HIstory'!$D:$D,'Payment HIstory'!$F:$F),0)</f>
        <v>47624</v>
      </c>
      <c r="L45" s="1" t="str">
        <f t="shared" si="0"/>
        <v>Paid</v>
      </c>
      <c r="M45" s="72">
        <f t="shared" si="2"/>
        <v>0</v>
      </c>
      <c r="N45" s="72">
        <f>IF(L45="Outstanding",($C$3-E45)*_xlfn.XLOOKUP(C45,'Vendor Details'!$B:$B,'Vendor Details'!$F:$F)*'Vendor Invoices'!G45,0)</f>
        <v>0</v>
      </c>
      <c r="O45" s="77">
        <f t="shared" si="3"/>
        <v>0</v>
      </c>
      <c r="P45" s="70" t="str">
        <f t="shared" si="5"/>
        <v/>
      </c>
      <c r="Q45" s="1" t="str" cm="1">
        <f t="array" ref="Q45">IF(L45="Outstanding",_xlfn.XLOOKUP(1,(P45&gt;='Aging Schedule'!$B$18:$B$22)*(P45&lt;='Aging Schedule'!$C$18:$C$22),'Aging Schedule'!$D$18:$D$22),"")</f>
        <v/>
      </c>
      <c r="R45" s="1" t="str">
        <f>IF(L45="Outstanding",VLOOKUP(P45,'Aging Schedule'!$B$18:$D$22,3),"")</f>
        <v/>
      </c>
      <c r="S45" s="77">
        <f t="shared" si="4"/>
        <v>0</v>
      </c>
    </row>
    <row r="46" spans="2:19" x14ac:dyDescent="0.25">
      <c r="B46" s="1" t="s">
        <v>97</v>
      </c>
      <c r="C46" s="1" t="s">
        <v>38</v>
      </c>
      <c r="D46" s="43">
        <v>44996</v>
      </c>
      <c r="E46" s="43">
        <v>45071</v>
      </c>
      <c r="F46" s="1" t="s">
        <v>18</v>
      </c>
      <c r="G46" s="72">
        <v>75139</v>
      </c>
      <c r="I46" s="67">
        <v>45071</v>
      </c>
      <c r="J46" s="73" t="str">
        <f>IFERROR(IF(I46&gt;E46,(I46-E46)*_xlfn.XLOOKUP(C46,'Vendor Details'!$B$4:$B$33,'Vendor Details'!$F$4:$F$33)*'Vendor Invoices'!G46,""),0)</f>
        <v/>
      </c>
      <c r="K46" s="72">
        <f>IFERROR(_xlfn.XLOOKUP(B46,'Payment HIstory'!$D:$D,'Payment HIstory'!$F:$F),0)</f>
        <v>70630.659999999989</v>
      </c>
      <c r="L46" s="1" t="str">
        <f t="shared" si="0"/>
        <v>Outstanding</v>
      </c>
      <c r="M46" s="72">
        <f t="shared" si="2"/>
        <v>4508.3400000000111</v>
      </c>
      <c r="N46" s="72">
        <f>IF(L46="Outstanding",($C$3-E46)*_xlfn.XLOOKUP(C46,'Vendor Details'!$B:$B,'Vendor Details'!$F:$F)*'Vendor Invoices'!G46,0)</f>
        <v>864.09849999999994</v>
      </c>
      <c r="O46" s="77">
        <f t="shared" si="3"/>
        <v>5372.4385000000111</v>
      </c>
      <c r="P46" s="70">
        <f t="shared" si="5"/>
        <v>230</v>
      </c>
      <c r="Q46" s="1" t="str" cm="1">
        <f t="array" ref="Q46">IF(L46="Outstanding",_xlfn.XLOOKUP(1,(P46&gt;='Aging Schedule'!$B$18:$B$22)*(P46&lt;='Aging Schedule'!$C$18:$C$22),'Aging Schedule'!$D$18:$D$22),"")</f>
        <v>91+ Days</v>
      </c>
      <c r="R46" s="1" t="str">
        <f>IF(L46="Outstanding",VLOOKUP(P46,'Aging Schedule'!$B$18:$D$22,3),"")</f>
        <v>91+ Days</v>
      </c>
      <c r="S46" s="77">
        <f t="shared" si="4"/>
        <v>864.09849999999994</v>
      </c>
    </row>
    <row r="47" spans="2:19" x14ac:dyDescent="0.25">
      <c r="B47" s="1" t="s">
        <v>98</v>
      </c>
      <c r="C47" s="1" t="s">
        <v>33</v>
      </c>
      <c r="D47" s="43">
        <v>45084</v>
      </c>
      <c r="E47" s="43">
        <v>45107</v>
      </c>
      <c r="F47" s="1" t="s">
        <v>19</v>
      </c>
      <c r="G47" s="72">
        <v>117754</v>
      </c>
      <c r="I47" s="67">
        <v>45107</v>
      </c>
      <c r="J47" s="73" t="str">
        <f>IFERROR(IF(I47&gt;E47,(I47-E47)*_xlfn.XLOOKUP(C47,'Vendor Details'!$B$4:$B$33,'Vendor Details'!$F$4:$F$33)*'Vendor Invoices'!G47,""),0)</f>
        <v/>
      </c>
      <c r="K47" s="72">
        <f>IFERROR(_xlfn.XLOOKUP(B47,'Payment HIstory'!$D:$D,'Payment HIstory'!$F:$F),0)</f>
        <v>117754</v>
      </c>
      <c r="L47" s="1" t="str">
        <f t="shared" si="0"/>
        <v>Paid</v>
      </c>
      <c r="M47" s="72">
        <f t="shared" si="2"/>
        <v>0</v>
      </c>
      <c r="N47" s="72">
        <f>IF(L47="Outstanding",($C$3-E47)*_xlfn.XLOOKUP(C47,'Vendor Details'!$B:$B,'Vendor Details'!$F:$F)*'Vendor Invoices'!G47,0)</f>
        <v>0</v>
      </c>
      <c r="O47" s="77">
        <f t="shared" si="3"/>
        <v>0</v>
      </c>
      <c r="P47" s="70" t="str">
        <f t="shared" si="5"/>
        <v/>
      </c>
      <c r="Q47" s="1" t="str" cm="1">
        <f t="array" ref="Q47">IF(L47="Outstanding",_xlfn.XLOOKUP(1,(P47&gt;='Aging Schedule'!$B$18:$B$22)*(P47&lt;='Aging Schedule'!$C$18:$C$22),'Aging Schedule'!$D$18:$D$22),"")</f>
        <v/>
      </c>
      <c r="R47" s="1" t="str">
        <f>IF(L47="Outstanding",VLOOKUP(P47,'Aging Schedule'!$B$18:$D$22,3),"")</f>
        <v/>
      </c>
      <c r="S47" s="77">
        <f t="shared" si="4"/>
        <v>0</v>
      </c>
    </row>
    <row r="48" spans="2:19" x14ac:dyDescent="0.25">
      <c r="B48" s="1" t="s">
        <v>99</v>
      </c>
      <c r="C48" s="1" t="s">
        <v>36</v>
      </c>
      <c r="D48" s="43">
        <v>45217</v>
      </c>
      <c r="E48" s="43">
        <v>45247</v>
      </c>
      <c r="F48" s="1" t="s">
        <v>20</v>
      </c>
      <c r="G48" s="72">
        <v>72236</v>
      </c>
      <c r="I48" s="67" t="str">
        <v/>
      </c>
      <c r="J48" s="73">
        <f>IFERROR(IF(I48&gt;E48,(I48-E48)*_xlfn.XLOOKUP(C48,'Vendor Details'!$B$4:$B$33,'Vendor Details'!$F$4:$F$33)*'Vendor Invoices'!G48,""),0)</f>
        <v>0</v>
      </c>
      <c r="K48" s="72">
        <f>IFERROR(_xlfn.XLOOKUP(B48,'Payment HIstory'!$D:$D,'Payment HIstory'!$F:$F),0)</f>
        <v>0</v>
      </c>
      <c r="L48" s="1" t="str">
        <f t="shared" si="0"/>
        <v>Outstanding</v>
      </c>
      <c r="M48" s="72">
        <f t="shared" si="2"/>
        <v>72236</v>
      </c>
      <c r="N48" s="72">
        <f>IF(L48="Outstanding",($C$3-E48)*_xlfn.XLOOKUP(C48,'Vendor Details'!$B:$B,'Vendor Details'!$F:$F)*'Vendor Invoices'!G48,0)</f>
        <v>3120.5952000000002</v>
      </c>
      <c r="O48" s="77">
        <f t="shared" si="3"/>
        <v>75356.595199999996</v>
      </c>
      <c r="P48" s="70">
        <f t="shared" si="5"/>
        <v>54</v>
      </c>
      <c r="Q48" s="1" t="str" cm="1">
        <f t="array" ref="Q48">IF(L48="Outstanding",_xlfn.XLOOKUP(1,(P48&gt;='Aging Schedule'!$B$18:$B$22)*(P48&lt;='Aging Schedule'!$C$18:$C$22),'Aging Schedule'!$D$18:$D$22),"")</f>
        <v>46-60 Days</v>
      </c>
      <c r="R48" s="1" t="str">
        <f>IF(L48="Outstanding",VLOOKUP(P48,'Aging Schedule'!$B$18:$D$22,3),"")</f>
        <v>46-60 Days</v>
      </c>
      <c r="S48" s="77">
        <f t="shared" si="4"/>
        <v>3120.5952000000002</v>
      </c>
    </row>
    <row r="49" spans="2:19" x14ac:dyDescent="0.25">
      <c r="B49" s="1" t="s">
        <v>100</v>
      </c>
      <c r="C49" s="1" t="s">
        <v>37</v>
      </c>
      <c r="D49" s="43">
        <v>45037</v>
      </c>
      <c r="E49" s="43">
        <v>45148</v>
      </c>
      <c r="F49" s="1" t="s">
        <v>21</v>
      </c>
      <c r="G49" s="72">
        <v>67302</v>
      </c>
      <c r="I49" s="67">
        <v>45148</v>
      </c>
      <c r="J49" s="73" t="str">
        <f>IFERROR(IF(I49&gt;E49,(I49-E49)*_xlfn.XLOOKUP(C49,'Vendor Details'!$B$4:$B$33,'Vendor Details'!$F$4:$F$33)*'Vendor Invoices'!G49,""),0)</f>
        <v/>
      </c>
      <c r="K49" s="72">
        <f>IFERROR(_xlfn.XLOOKUP(B49,'Payment HIstory'!$D:$D,'Payment HIstory'!$F:$F),0)</f>
        <v>67302</v>
      </c>
      <c r="L49" s="1" t="str">
        <f t="shared" si="0"/>
        <v>Paid</v>
      </c>
      <c r="M49" s="72">
        <f t="shared" si="2"/>
        <v>0</v>
      </c>
      <c r="N49" s="72">
        <f>IF(L49="Outstanding",($C$3-E49)*_xlfn.XLOOKUP(C49,'Vendor Details'!$B:$B,'Vendor Details'!$F:$F)*'Vendor Invoices'!G49,0)</f>
        <v>0</v>
      </c>
      <c r="O49" s="77">
        <f t="shared" si="3"/>
        <v>0</v>
      </c>
      <c r="P49" s="70" t="str">
        <f t="shared" si="5"/>
        <v/>
      </c>
      <c r="Q49" s="1" t="str" cm="1">
        <f t="array" ref="Q49">IF(L49="Outstanding",_xlfn.XLOOKUP(1,(P49&gt;='Aging Schedule'!$B$18:$B$22)*(P49&lt;='Aging Schedule'!$C$18:$C$22),'Aging Schedule'!$D$18:$D$22),"")</f>
        <v/>
      </c>
      <c r="R49" s="1" t="str">
        <f>IF(L49="Outstanding",VLOOKUP(P49,'Aging Schedule'!$B$18:$D$22,3),"")</f>
        <v/>
      </c>
      <c r="S49" s="77">
        <f t="shared" si="4"/>
        <v>0</v>
      </c>
    </row>
    <row r="50" spans="2:19" x14ac:dyDescent="0.25">
      <c r="B50" s="1" t="s">
        <v>101</v>
      </c>
      <c r="C50" s="1" t="s">
        <v>37</v>
      </c>
      <c r="D50" s="43">
        <v>45132</v>
      </c>
      <c r="E50" s="43">
        <v>45184</v>
      </c>
      <c r="F50" s="1" t="s">
        <v>18</v>
      </c>
      <c r="G50" s="72">
        <v>46288</v>
      </c>
      <c r="I50" s="67">
        <v>45184</v>
      </c>
      <c r="J50" s="73" t="str">
        <f>IFERROR(IF(I50&gt;E50,(I50-E50)*_xlfn.XLOOKUP(C50,'Vendor Details'!$B$4:$B$33,'Vendor Details'!$F$4:$F$33)*'Vendor Invoices'!G50,""),0)</f>
        <v/>
      </c>
      <c r="K50" s="72">
        <f>IFERROR(_xlfn.XLOOKUP(B50,'Payment HIstory'!$D:$D,'Payment HIstory'!$F:$F),0)</f>
        <v>43047.840000000004</v>
      </c>
      <c r="L50" s="1" t="str">
        <f t="shared" si="0"/>
        <v>Outstanding</v>
      </c>
      <c r="M50" s="72">
        <f t="shared" si="2"/>
        <v>3240.1599999999962</v>
      </c>
      <c r="N50" s="72">
        <f>IF(L50="Outstanding",($C$3-E50)*_xlfn.XLOOKUP(C50,'Vendor Details'!$B:$B,'Vendor Details'!$F:$F)*'Vendor Invoices'!G50,0)</f>
        <v>2978.6327999999994</v>
      </c>
      <c r="O50" s="77">
        <f t="shared" si="3"/>
        <v>6218.7927999999956</v>
      </c>
      <c r="P50" s="70">
        <f t="shared" si="5"/>
        <v>117</v>
      </c>
      <c r="Q50" s="1" t="str" cm="1">
        <f t="array" ref="Q50">IF(L50="Outstanding",_xlfn.XLOOKUP(1,(P50&gt;='Aging Schedule'!$B$18:$B$22)*(P50&lt;='Aging Schedule'!$C$18:$C$22),'Aging Schedule'!$D$18:$D$22),"")</f>
        <v>91+ Days</v>
      </c>
      <c r="R50" s="1" t="str">
        <f>IF(L50="Outstanding",VLOOKUP(P50,'Aging Schedule'!$B$18:$D$22,3),"")</f>
        <v>91+ Days</v>
      </c>
      <c r="S50" s="77">
        <f t="shared" si="4"/>
        <v>2978.6327999999994</v>
      </c>
    </row>
    <row r="51" spans="2:19" x14ac:dyDescent="0.25">
      <c r="B51" s="1" t="s">
        <v>102</v>
      </c>
      <c r="C51" s="1" t="s">
        <v>37</v>
      </c>
      <c r="D51" s="43">
        <v>45149</v>
      </c>
      <c r="E51" s="43">
        <v>45219</v>
      </c>
      <c r="F51" s="1" t="s">
        <v>19</v>
      </c>
      <c r="G51" s="72">
        <v>98848</v>
      </c>
      <c r="I51" s="67">
        <v>45219</v>
      </c>
      <c r="J51" s="73" t="str">
        <f>IFERROR(IF(I51&gt;E51,(I51-E51)*_xlfn.XLOOKUP(C51,'Vendor Details'!$B$4:$B$33,'Vendor Details'!$F$4:$F$33)*'Vendor Invoices'!G51,""),0)</f>
        <v/>
      </c>
      <c r="K51" s="72">
        <f>IFERROR(_xlfn.XLOOKUP(B51,'Payment HIstory'!$D:$D,'Payment HIstory'!$F:$F),0)</f>
        <v>98848</v>
      </c>
      <c r="L51" s="1" t="str">
        <f t="shared" si="0"/>
        <v>Paid</v>
      </c>
      <c r="M51" s="72">
        <f t="shared" si="2"/>
        <v>0</v>
      </c>
      <c r="N51" s="72">
        <f>IF(L51="Outstanding",($C$3-E51)*_xlfn.XLOOKUP(C51,'Vendor Details'!$B:$B,'Vendor Details'!$F:$F)*'Vendor Invoices'!G51,0)</f>
        <v>0</v>
      </c>
      <c r="O51" s="77">
        <f t="shared" si="3"/>
        <v>0</v>
      </c>
      <c r="P51" s="70" t="str">
        <f t="shared" si="5"/>
        <v/>
      </c>
      <c r="Q51" s="1" t="str" cm="1">
        <f t="array" ref="Q51">IF(L51="Outstanding",_xlfn.XLOOKUP(1,(P51&gt;='Aging Schedule'!$B$18:$B$22)*(P51&lt;='Aging Schedule'!$C$18:$C$22),'Aging Schedule'!$D$18:$D$22),"")</f>
        <v/>
      </c>
      <c r="R51" s="1" t="str">
        <f>IF(L51="Outstanding",VLOOKUP(P51,'Aging Schedule'!$B$18:$D$22,3),"")</f>
        <v/>
      </c>
      <c r="S51" s="77">
        <f t="shared" si="4"/>
        <v>0</v>
      </c>
    </row>
    <row r="52" spans="2:19" x14ac:dyDescent="0.25">
      <c r="B52" s="1" t="s">
        <v>103</v>
      </c>
      <c r="C52" s="1" t="s">
        <v>39</v>
      </c>
      <c r="D52" s="43">
        <v>45212</v>
      </c>
      <c r="E52" s="43">
        <v>45242</v>
      </c>
      <c r="F52" s="1" t="s">
        <v>20</v>
      </c>
      <c r="G52" s="72">
        <v>105881</v>
      </c>
      <c r="I52" s="67" t="str">
        <v/>
      </c>
      <c r="J52" s="73">
        <f>IFERROR(IF(I52&gt;E52,(I52-E52)*_xlfn.XLOOKUP(C52,'Vendor Details'!$B$4:$B$33,'Vendor Details'!$F$4:$F$33)*'Vendor Invoices'!G52,""),0)</f>
        <v>0</v>
      </c>
      <c r="K52" s="72">
        <f>IFERROR(_xlfn.XLOOKUP(B52,'Payment HIstory'!$D:$D,'Payment HIstory'!$F:$F),0)</f>
        <v>0</v>
      </c>
      <c r="L52" s="1" t="str">
        <f t="shared" si="0"/>
        <v>Outstanding</v>
      </c>
      <c r="M52" s="72">
        <f t="shared" si="2"/>
        <v>105881</v>
      </c>
      <c r="N52" s="72">
        <f>IF(L52="Outstanding",($C$3-E52)*_xlfn.XLOOKUP(C52,'Vendor Details'!$B:$B,'Vendor Details'!$F:$F)*'Vendor Invoices'!G52,0)</f>
        <v>3435.8384499999993</v>
      </c>
      <c r="O52" s="77">
        <f t="shared" si="3"/>
        <v>109316.83845</v>
      </c>
      <c r="P52" s="70">
        <f t="shared" si="5"/>
        <v>59</v>
      </c>
      <c r="Q52" s="1" t="str" cm="1">
        <f t="array" ref="Q52">IF(L52="Outstanding",_xlfn.XLOOKUP(1,(P52&gt;='Aging Schedule'!$B$18:$B$22)*(P52&lt;='Aging Schedule'!$C$18:$C$22),'Aging Schedule'!$D$18:$D$22),"")</f>
        <v>46-60 Days</v>
      </c>
      <c r="R52" s="1" t="str">
        <f>IF(L52="Outstanding",VLOOKUP(P52,'Aging Schedule'!$B$18:$D$22,3),"")</f>
        <v>46-60 Days</v>
      </c>
      <c r="S52" s="77">
        <f t="shared" si="4"/>
        <v>3435.8384499999993</v>
      </c>
    </row>
    <row r="53" spans="2:19" x14ac:dyDescent="0.25">
      <c r="B53" s="1" t="s">
        <v>104</v>
      </c>
      <c r="C53" s="1" t="s">
        <v>41</v>
      </c>
      <c r="D53" s="43">
        <v>45217</v>
      </c>
      <c r="E53" s="43">
        <v>45247</v>
      </c>
      <c r="F53" s="1" t="s">
        <v>21</v>
      </c>
      <c r="G53" s="72">
        <v>61284</v>
      </c>
      <c r="I53" s="67" t="str">
        <v/>
      </c>
      <c r="J53" s="73">
        <f>IFERROR(IF(I53&gt;E53,(I53-E53)*_xlfn.XLOOKUP(C53,'Vendor Details'!$B$4:$B$33,'Vendor Details'!$F$4:$F$33)*'Vendor Invoices'!G53,""),0)</f>
        <v>0</v>
      </c>
      <c r="K53" s="72">
        <f>IFERROR(_xlfn.XLOOKUP(B53,'Payment HIstory'!$D:$D,'Payment HIstory'!$F:$F),0)</f>
        <v>0</v>
      </c>
      <c r="L53" s="1" t="str">
        <f t="shared" si="0"/>
        <v>Outstanding</v>
      </c>
      <c r="M53" s="72">
        <f t="shared" si="2"/>
        <v>61284</v>
      </c>
      <c r="N53" s="72">
        <f>IF(L53="Outstanding",($C$3-E53)*_xlfn.XLOOKUP(C53,'Vendor Details'!$B:$B,'Vendor Details'!$F:$F)*'Vendor Invoices'!G53,0)</f>
        <v>1820.1347999999998</v>
      </c>
      <c r="O53" s="77">
        <f t="shared" si="3"/>
        <v>63104.1348</v>
      </c>
      <c r="P53" s="70">
        <f t="shared" si="5"/>
        <v>54</v>
      </c>
      <c r="Q53" s="1" t="str" cm="1">
        <f t="array" ref="Q53">IF(L53="Outstanding",_xlfn.XLOOKUP(1,(P53&gt;='Aging Schedule'!$B$18:$B$22)*(P53&lt;='Aging Schedule'!$C$18:$C$22),'Aging Schedule'!$D$18:$D$22),"")</f>
        <v>46-60 Days</v>
      </c>
      <c r="R53" s="1" t="str">
        <f>IF(L53="Outstanding",VLOOKUP(P53,'Aging Schedule'!$B$18:$D$22,3),"")</f>
        <v>46-60 Days</v>
      </c>
      <c r="S53" s="77">
        <f t="shared" si="4"/>
        <v>1820.1347999999998</v>
      </c>
    </row>
    <row r="54" spans="2:19" x14ac:dyDescent="0.25">
      <c r="B54" s="1" t="s">
        <v>105</v>
      </c>
      <c r="C54" s="1" t="s">
        <v>33</v>
      </c>
      <c r="D54" s="43">
        <v>45242</v>
      </c>
      <c r="E54" s="43">
        <v>45272</v>
      </c>
      <c r="F54" s="1" t="s">
        <v>18</v>
      </c>
      <c r="G54" s="72">
        <v>50432</v>
      </c>
      <c r="I54" s="67" t="str">
        <v/>
      </c>
      <c r="J54" s="73">
        <f>IFERROR(IF(I54&gt;E54,(I54-E54)*_xlfn.XLOOKUP(C54,'Vendor Details'!$B$4:$B$33,'Vendor Details'!$F$4:$F$33)*'Vendor Invoices'!G54,""),0)</f>
        <v>0</v>
      </c>
      <c r="K54" s="72">
        <f>IFERROR(_xlfn.XLOOKUP(B54,'Payment HIstory'!$D:$D,'Payment HIstory'!$F:$F),0)</f>
        <v>0</v>
      </c>
      <c r="L54" s="1" t="str">
        <f t="shared" si="0"/>
        <v>Outstanding</v>
      </c>
      <c r="M54" s="72">
        <f t="shared" si="2"/>
        <v>50432</v>
      </c>
      <c r="N54" s="72">
        <f>IF(L54="Outstanding",($C$3-E54)*_xlfn.XLOOKUP(C54,'Vendor Details'!$B:$B,'Vendor Details'!$F:$F)*'Vendor Invoices'!G54,0)</f>
        <v>1023.7696</v>
      </c>
      <c r="O54" s="77">
        <f t="shared" si="3"/>
        <v>51455.7696</v>
      </c>
      <c r="P54" s="70">
        <f t="shared" si="5"/>
        <v>29</v>
      </c>
      <c r="Q54" s="1" t="str" cm="1">
        <f t="array" ref="Q54">IF(L54="Outstanding",_xlfn.XLOOKUP(1,(P54&gt;='Aging Schedule'!$B$18:$B$22)*(P54&lt;='Aging Schedule'!$C$18:$C$22),'Aging Schedule'!$D$18:$D$22),"")</f>
        <v>0-30 Days</v>
      </c>
      <c r="R54" s="1" t="str">
        <f>IF(L54="Outstanding",VLOOKUP(P54,'Aging Schedule'!$B$18:$D$22,3),"")</f>
        <v>0-30 Days</v>
      </c>
      <c r="S54" s="77">
        <f t="shared" si="4"/>
        <v>1023.7696</v>
      </c>
    </row>
    <row r="55" spans="2:19" x14ac:dyDescent="0.25">
      <c r="B55" s="1" t="s">
        <v>106</v>
      </c>
      <c r="C55" s="1" t="s">
        <v>35</v>
      </c>
      <c r="D55" s="43">
        <v>44870</v>
      </c>
      <c r="E55" s="43">
        <v>44967</v>
      </c>
      <c r="F55" s="1" t="s">
        <v>19</v>
      </c>
      <c r="G55" s="72">
        <v>115768</v>
      </c>
      <c r="I55" s="67">
        <v>44993</v>
      </c>
      <c r="J55" s="73">
        <f>IFERROR(IF(I55&gt;E55,(I55-E55)*_xlfn.XLOOKUP(C55,'Vendor Details'!$B$4:$B$33,'Vendor Details'!$F$4:$F$33)*'Vendor Invoices'!G55,""),0)</f>
        <v>1354.4856</v>
      </c>
      <c r="K55" s="72">
        <f>IFERROR(_xlfn.XLOOKUP(B55,'Payment HIstory'!$D:$D,'Payment HIstory'!$F:$F),0)</f>
        <v>117122.4856</v>
      </c>
      <c r="L55" s="1" t="str">
        <f t="shared" si="0"/>
        <v>Paid</v>
      </c>
      <c r="M55" s="72">
        <f t="shared" si="2"/>
        <v>0</v>
      </c>
      <c r="N55" s="72">
        <f>IF(L55="Outstanding",($C$3-E55)*_xlfn.XLOOKUP(C55,'Vendor Details'!$B:$B,'Vendor Details'!$F:$F)*'Vendor Invoices'!G55,0)</f>
        <v>0</v>
      </c>
      <c r="O55" s="77">
        <f t="shared" si="3"/>
        <v>0</v>
      </c>
      <c r="P55" s="70" t="str">
        <f t="shared" si="5"/>
        <v/>
      </c>
      <c r="Q55" s="1" t="str" cm="1">
        <f t="array" ref="Q55">IF(L55="Outstanding",_xlfn.XLOOKUP(1,(P55&gt;='Aging Schedule'!$B$18:$B$22)*(P55&lt;='Aging Schedule'!$C$18:$C$22),'Aging Schedule'!$D$18:$D$22),"")</f>
        <v/>
      </c>
      <c r="R55" s="1" t="str">
        <f>IF(L55="Outstanding",VLOOKUP(P55,'Aging Schedule'!$B$18:$D$22,3),"")</f>
        <v/>
      </c>
      <c r="S55" s="77">
        <f t="shared" si="4"/>
        <v>1354.4856</v>
      </c>
    </row>
    <row r="56" spans="2:19" x14ac:dyDescent="0.25">
      <c r="B56" s="1" t="s">
        <v>107</v>
      </c>
      <c r="C56" s="1" t="s">
        <v>34</v>
      </c>
      <c r="D56" s="43">
        <v>44935</v>
      </c>
      <c r="E56" s="43">
        <v>45000</v>
      </c>
      <c r="F56" s="1" t="s">
        <v>20</v>
      </c>
      <c r="G56" s="72">
        <v>89381</v>
      </c>
      <c r="I56" s="67">
        <v>45000</v>
      </c>
      <c r="J56" s="73" t="str">
        <f>IFERROR(IF(I56&gt;E56,(I56-E56)*_xlfn.XLOOKUP(C56,'Vendor Details'!$B$4:$B$33,'Vendor Details'!$F$4:$F$33)*'Vendor Invoices'!G56,""),0)</f>
        <v/>
      </c>
      <c r="K56" s="72">
        <f>IFERROR(_xlfn.XLOOKUP(B56,'Payment HIstory'!$D:$D,'Payment HIstory'!$F:$F),0)</f>
        <v>83124.33</v>
      </c>
      <c r="L56" s="1" t="str">
        <f t="shared" si="0"/>
        <v>Outstanding</v>
      </c>
      <c r="M56" s="72">
        <f t="shared" si="2"/>
        <v>6256.6699999999983</v>
      </c>
      <c r="N56" s="72">
        <f>IF(L56="Outstanding",($C$3-E56)*_xlfn.XLOOKUP(C56,'Vendor Details'!$B:$B,'Vendor Details'!$F:$F)*'Vendor Invoices'!G56,0)</f>
        <v>538073.62</v>
      </c>
      <c r="O56" s="77">
        <f t="shared" si="3"/>
        <v>544330.29</v>
      </c>
      <c r="P56" s="70">
        <f t="shared" si="5"/>
        <v>301</v>
      </c>
      <c r="Q56" s="1" t="str" cm="1">
        <f t="array" ref="Q56">IF(L56="Outstanding",_xlfn.XLOOKUP(1,(P56&gt;='Aging Schedule'!$B$18:$B$22)*(P56&lt;='Aging Schedule'!$C$18:$C$22),'Aging Schedule'!$D$18:$D$22),"")</f>
        <v>91+ Days</v>
      </c>
      <c r="R56" s="1" t="str">
        <f>IF(L56="Outstanding",VLOOKUP(P56,'Aging Schedule'!$B$18:$D$22,3),"")</f>
        <v>91+ Days</v>
      </c>
      <c r="S56" s="77">
        <f t="shared" si="4"/>
        <v>538073.62</v>
      </c>
    </row>
    <row r="57" spans="2:19" x14ac:dyDescent="0.25">
      <c r="B57" s="1" t="s">
        <v>108</v>
      </c>
      <c r="C57" s="1" t="s">
        <v>37</v>
      </c>
      <c r="D57" s="43">
        <v>45013</v>
      </c>
      <c r="E57" s="43">
        <v>45036</v>
      </c>
      <c r="F57" s="1" t="s">
        <v>21</v>
      </c>
      <c r="G57" s="72">
        <v>70552</v>
      </c>
      <c r="I57" s="67">
        <v>45036</v>
      </c>
      <c r="J57" s="73" t="str">
        <f>IFERROR(IF(I57&gt;E57,(I57-E57)*_xlfn.XLOOKUP(C57,'Vendor Details'!$B$4:$B$33,'Vendor Details'!$F$4:$F$33)*'Vendor Invoices'!G57,""),0)</f>
        <v/>
      </c>
      <c r="K57" s="72">
        <f>IFERROR(_xlfn.XLOOKUP(B57,'Payment HIstory'!$D:$D,'Payment HIstory'!$F:$F),0)</f>
        <v>66318.87999999999</v>
      </c>
      <c r="L57" s="1" t="str">
        <f t="shared" si="0"/>
        <v>Outstanding</v>
      </c>
      <c r="M57" s="72">
        <f t="shared" si="2"/>
        <v>4233.1200000000099</v>
      </c>
      <c r="N57" s="72">
        <f>IF(L57="Outstanding",($C$3-E57)*_xlfn.XLOOKUP(C57,'Vendor Details'!$B:$B,'Vendor Details'!$F:$F)*'Vendor Invoices'!G57,0)</f>
        <v>10282.954</v>
      </c>
      <c r="O57" s="77">
        <f t="shared" si="3"/>
        <v>14516.07400000001</v>
      </c>
      <c r="P57" s="70">
        <f t="shared" si="5"/>
        <v>265</v>
      </c>
      <c r="Q57" s="1" t="str" cm="1">
        <f t="array" ref="Q57">IF(L57="Outstanding",_xlfn.XLOOKUP(1,(P57&gt;='Aging Schedule'!$B$18:$B$22)*(P57&lt;='Aging Schedule'!$C$18:$C$22),'Aging Schedule'!$D$18:$D$22),"")</f>
        <v>91+ Days</v>
      </c>
      <c r="R57" s="1" t="str">
        <f>IF(L57="Outstanding",VLOOKUP(P57,'Aging Schedule'!$B$18:$D$22,3),"")</f>
        <v>91+ Days</v>
      </c>
      <c r="S57" s="77">
        <f t="shared" si="4"/>
        <v>10282.954</v>
      </c>
    </row>
    <row r="58" spans="2:19" x14ac:dyDescent="0.25">
      <c r="B58" s="1" t="s">
        <v>109</v>
      </c>
      <c r="C58" s="1" t="s">
        <v>36</v>
      </c>
      <c r="D58" s="43">
        <v>45040</v>
      </c>
      <c r="E58" s="43">
        <v>45071</v>
      </c>
      <c r="F58" s="1" t="s">
        <v>18</v>
      </c>
      <c r="G58" s="72">
        <v>109771</v>
      </c>
      <c r="I58" s="67">
        <v>45071</v>
      </c>
      <c r="J58" s="73" t="str">
        <f>IFERROR(IF(I58&gt;E58,(I58-E58)*_xlfn.XLOOKUP(C58,'Vendor Details'!$B$4:$B$33,'Vendor Details'!$F$4:$F$33)*'Vendor Invoices'!G58,""),0)</f>
        <v/>
      </c>
      <c r="K58" s="72">
        <f>IFERROR(_xlfn.XLOOKUP(B58,'Payment HIstory'!$D:$D,'Payment HIstory'!$F:$F),0)</f>
        <v>109771</v>
      </c>
      <c r="L58" s="1" t="str">
        <f t="shared" si="0"/>
        <v>Paid</v>
      </c>
      <c r="M58" s="72">
        <f t="shared" si="2"/>
        <v>0</v>
      </c>
      <c r="N58" s="72">
        <f>IF(L58="Outstanding",($C$3-E58)*_xlfn.XLOOKUP(C58,'Vendor Details'!$B:$B,'Vendor Details'!$F:$F)*'Vendor Invoices'!G58,0)</f>
        <v>0</v>
      </c>
      <c r="O58" s="77">
        <f t="shared" si="3"/>
        <v>0</v>
      </c>
      <c r="P58" s="70" t="str">
        <f t="shared" si="5"/>
        <v/>
      </c>
      <c r="Q58" s="1" t="str" cm="1">
        <f t="array" ref="Q58">IF(L58="Outstanding",_xlfn.XLOOKUP(1,(P58&gt;='Aging Schedule'!$B$18:$B$22)*(P58&lt;='Aging Schedule'!$C$18:$C$22),'Aging Schedule'!$D$18:$D$22),"")</f>
        <v/>
      </c>
      <c r="R58" s="1" t="str">
        <f>IF(L58="Outstanding",VLOOKUP(P58,'Aging Schedule'!$B$18:$D$22,3),"")</f>
        <v/>
      </c>
      <c r="S58" s="77">
        <f t="shared" si="4"/>
        <v>0</v>
      </c>
    </row>
    <row r="59" spans="2:19" x14ac:dyDescent="0.25">
      <c r="B59" s="1" t="s">
        <v>110</v>
      </c>
      <c r="C59" s="1" t="s">
        <v>40</v>
      </c>
      <c r="D59" s="43">
        <v>45258</v>
      </c>
      <c r="E59" s="43">
        <v>45288</v>
      </c>
      <c r="F59" s="1" t="s">
        <v>19</v>
      </c>
      <c r="G59" s="72">
        <v>92185</v>
      </c>
      <c r="I59" s="67" t="str">
        <v/>
      </c>
      <c r="J59" s="73">
        <f>IFERROR(IF(I59&gt;E59,(I59-E59)*_xlfn.XLOOKUP(C59,'Vendor Details'!$B$4:$B$33,'Vendor Details'!$F$4:$F$33)*'Vendor Invoices'!G59,""),0)</f>
        <v>0</v>
      </c>
      <c r="K59" s="72">
        <f>IFERROR(_xlfn.XLOOKUP(B59,'Payment HIstory'!$D:$D,'Payment HIstory'!$F:$F),0)</f>
        <v>0</v>
      </c>
      <c r="L59" s="1" t="str">
        <f t="shared" si="0"/>
        <v>Outstanding</v>
      </c>
      <c r="M59" s="72">
        <f t="shared" si="2"/>
        <v>92185</v>
      </c>
      <c r="N59" s="72">
        <f>IF(L59="Outstanding",($C$3-E59)*_xlfn.XLOOKUP(C59,'Vendor Details'!$B:$B,'Vendor Details'!$F:$F)*'Vendor Invoices'!G59,0)</f>
        <v>479.36200000000008</v>
      </c>
      <c r="O59" s="77">
        <f t="shared" si="3"/>
        <v>92664.361999999994</v>
      </c>
      <c r="P59" s="70">
        <f t="shared" si="5"/>
        <v>13</v>
      </c>
      <c r="Q59" s="1" t="str" cm="1">
        <f t="array" ref="Q59">IF(L59="Outstanding",_xlfn.XLOOKUP(1,(P59&gt;='Aging Schedule'!$B$18:$B$22)*(P59&lt;='Aging Schedule'!$C$18:$C$22),'Aging Schedule'!$D$18:$D$22),"")</f>
        <v>0-30 Days</v>
      </c>
      <c r="R59" s="1" t="str">
        <f>IF(L59="Outstanding",VLOOKUP(P59,'Aging Schedule'!$B$18:$D$22,3),"")</f>
        <v>0-30 Days</v>
      </c>
      <c r="S59" s="77">
        <f t="shared" si="4"/>
        <v>479.36200000000008</v>
      </c>
    </row>
    <row r="60" spans="2:19" x14ac:dyDescent="0.25">
      <c r="B60" s="1" t="s">
        <v>111</v>
      </c>
      <c r="C60" s="1" t="s">
        <v>39</v>
      </c>
      <c r="D60" s="43">
        <v>45063</v>
      </c>
      <c r="E60" s="43">
        <v>45112</v>
      </c>
      <c r="F60" s="1" t="s">
        <v>20</v>
      </c>
      <c r="G60" s="72">
        <v>37559</v>
      </c>
      <c r="I60" s="67">
        <v>45112</v>
      </c>
      <c r="J60" s="73" t="str">
        <f>IFERROR(IF(I60&gt;E60,(I60-E60)*_xlfn.XLOOKUP(C60,'Vendor Details'!$B$4:$B$33,'Vendor Details'!$F$4:$F$33)*'Vendor Invoices'!G60,""),0)</f>
        <v/>
      </c>
      <c r="K60" s="72">
        <f>IFERROR(_xlfn.XLOOKUP(B60,'Payment HIstory'!$D:$D,'Payment HIstory'!$F:$F),0)</f>
        <v>37559</v>
      </c>
      <c r="L60" s="1" t="str">
        <f t="shared" si="0"/>
        <v>Paid</v>
      </c>
      <c r="M60" s="72">
        <f t="shared" si="2"/>
        <v>0</v>
      </c>
      <c r="N60" s="72">
        <f>IF(L60="Outstanding",($C$3-E60)*_xlfn.XLOOKUP(C60,'Vendor Details'!$B:$B,'Vendor Details'!$F:$F)*'Vendor Invoices'!G60,0)</f>
        <v>0</v>
      </c>
      <c r="O60" s="77">
        <f t="shared" si="3"/>
        <v>0</v>
      </c>
      <c r="P60" s="70" t="str">
        <f t="shared" si="5"/>
        <v/>
      </c>
      <c r="Q60" s="1" t="str" cm="1">
        <f t="array" ref="Q60">IF(L60="Outstanding",_xlfn.XLOOKUP(1,(P60&gt;='Aging Schedule'!$B$18:$B$22)*(P60&lt;='Aging Schedule'!$C$18:$C$22),'Aging Schedule'!$D$18:$D$22),"")</f>
        <v/>
      </c>
      <c r="R60" s="1" t="str">
        <f>IF(L60="Outstanding",VLOOKUP(P60,'Aging Schedule'!$B$18:$D$22,3),"")</f>
        <v/>
      </c>
      <c r="S60" s="77">
        <f t="shared" si="4"/>
        <v>0</v>
      </c>
    </row>
    <row r="61" spans="2:19" x14ac:dyDescent="0.25">
      <c r="B61" s="1" t="s">
        <v>112</v>
      </c>
      <c r="C61" s="1" t="s">
        <v>42</v>
      </c>
      <c r="D61" s="43">
        <v>45106</v>
      </c>
      <c r="E61" s="43">
        <v>45148</v>
      </c>
      <c r="F61" s="1" t="s">
        <v>21</v>
      </c>
      <c r="G61" s="72">
        <v>107705</v>
      </c>
      <c r="I61" s="67">
        <v>45139</v>
      </c>
      <c r="J61" s="73" t="str">
        <f>IFERROR(IF(I61&gt;E61,(I61-E61)*_xlfn.XLOOKUP(C61,'Vendor Details'!$B$4:$B$33,'Vendor Details'!$F$4:$F$33)*'Vendor Invoices'!G61,""),0)</f>
        <v/>
      </c>
      <c r="K61" s="72">
        <f>IFERROR(_xlfn.XLOOKUP(B61,'Payment HIstory'!$D:$D,'Payment HIstory'!$F:$F),0)</f>
        <v>107705</v>
      </c>
      <c r="L61" s="1" t="str">
        <f t="shared" si="0"/>
        <v>Paid</v>
      </c>
      <c r="M61" s="72">
        <f t="shared" si="2"/>
        <v>0</v>
      </c>
      <c r="N61" s="72">
        <f>IF(L61="Outstanding",($C$3-E61)*_xlfn.XLOOKUP(C61,'Vendor Details'!$B:$B,'Vendor Details'!$F:$F)*'Vendor Invoices'!G61,0)</f>
        <v>0</v>
      </c>
      <c r="O61" s="77">
        <f t="shared" si="3"/>
        <v>0</v>
      </c>
      <c r="P61" s="70" t="str">
        <f t="shared" si="5"/>
        <v/>
      </c>
      <c r="Q61" s="1" t="str" cm="1">
        <f t="array" ref="Q61">IF(L61="Outstanding",_xlfn.XLOOKUP(1,(P61&gt;='Aging Schedule'!$B$18:$B$22)*(P61&lt;='Aging Schedule'!$C$18:$C$22),'Aging Schedule'!$D$18:$D$22),"")</f>
        <v/>
      </c>
      <c r="R61" s="1" t="str">
        <f>IF(L61="Outstanding",VLOOKUP(P61,'Aging Schedule'!$B$18:$D$22,3),"")</f>
        <v/>
      </c>
      <c r="S61" s="77">
        <f t="shared" si="4"/>
        <v>0</v>
      </c>
    </row>
    <row r="62" spans="2:19" x14ac:dyDescent="0.25">
      <c r="B62" s="1" t="s">
        <v>113</v>
      </c>
      <c r="C62" s="1" t="s">
        <v>42</v>
      </c>
      <c r="D62" s="43">
        <v>45133</v>
      </c>
      <c r="E62" s="43">
        <v>45184</v>
      </c>
      <c r="F62" s="1" t="s">
        <v>18</v>
      </c>
      <c r="G62" s="72">
        <v>59275</v>
      </c>
      <c r="I62" s="67">
        <v>45184</v>
      </c>
      <c r="J62" s="73" t="str">
        <f>IFERROR(IF(I62&gt;E62,(I62-E62)*_xlfn.XLOOKUP(C62,'Vendor Details'!$B$4:$B$33,'Vendor Details'!$F$4:$F$33)*'Vendor Invoices'!G62,""),0)</f>
        <v/>
      </c>
      <c r="K62" s="72">
        <f>IFERROR(_xlfn.XLOOKUP(B62,'Payment HIstory'!$D:$D,'Payment HIstory'!$F:$F),0)</f>
        <v>54533</v>
      </c>
      <c r="L62" s="1" t="str">
        <f t="shared" si="0"/>
        <v>Outstanding</v>
      </c>
      <c r="M62" s="72">
        <f t="shared" si="2"/>
        <v>4742</v>
      </c>
      <c r="N62" s="72">
        <f>IF(L62="Outstanding",($C$3-E62)*_xlfn.XLOOKUP(C62,'Vendor Details'!$B:$B,'Vendor Details'!$F:$F)*'Vendor Invoices'!G62,0)</f>
        <v>2080.5525000000002</v>
      </c>
      <c r="O62" s="77">
        <f t="shared" si="3"/>
        <v>6822.5524999999998</v>
      </c>
      <c r="P62" s="70">
        <f t="shared" si="5"/>
        <v>117</v>
      </c>
      <c r="Q62" s="1" t="str" cm="1">
        <f t="array" ref="Q62">IF(L62="Outstanding",_xlfn.XLOOKUP(1,(P62&gt;='Aging Schedule'!$B$18:$B$22)*(P62&lt;='Aging Schedule'!$C$18:$C$22),'Aging Schedule'!$D$18:$D$22),"")</f>
        <v>91+ Days</v>
      </c>
      <c r="R62" s="1" t="str">
        <f>IF(L62="Outstanding",VLOOKUP(P62,'Aging Schedule'!$B$18:$D$22,3),"")</f>
        <v>91+ Days</v>
      </c>
      <c r="S62" s="77">
        <f t="shared" si="4"/>
        <v>2080.5525000000002</v>
      </c>
    </row>
    <row r="63" spans="2:19" x14ac:dyDescent="0.25">
      <c r="B63" s="1" t="s">
        <v>114</v>
      </c>
      <c r="C63" s="1" t="s">
        <v>42</v>
      </c>
      <c r="D63" s="43">
        <v>45227</v>
      </c>
      <c r="E63" s="43">
        <v>45257</v>
      </c>
      <c r="F63" s="1" t="s">
        <v>19</v>
      </c>
      <c r="G63" s="72">
        <v>116697</v>
      </c>
      <c r="I63" s="67" t="str">
        <v/>
      </c>
      <c r="J63" s="73">
        <f>IFERROR(IF(I63&gt;E63,(I63-E63)*_xlfn.XLOOKUP(C63,'Vendor Details'!$B$4:$B$33,'Vendor Details'!$F$4:$F$33)*'Vendor Invoices'!G63,""),0)</f>
        <v>0</v>
      </c>
      <c r="K63" s="72">
        <f>IFERROR(_xlfn.XLOOKUP(B63,'Payment HIstory'!$D:$D,'Payment HIstory'!$F:$F),0)</f>
        <v>0</v>
      </c>
      <c r="L63" s="1" t="str">
        <f t="shared" si="0"/>
        <v>Outstanding</v>
      </c>
      <c r="M63" s="72">
        <f t="shared" si="2"/>
        <v>116697</v>
      </c>
      <c r="N63" s="72">
        <f>IF(L63="Outstanding",($C$3-E63)*_xlfn.XLOOKUP(C63,'Vendor Details'!$B:$B,'Vendor Details'!$F:$F)*'Vendor Invoices'!G63,0)</f>
        <v>1540.4004000000002</v>
      </c>
      <c r="O63" s="77">
        <f t="shared" si="3"/>
        <v>118237.4004</v>
      </c>
      <c r="P63" s="70">
        <f t="shared" si="5"/>
        <v>44</v>
      </c>
      <c r="Q63" s="1" t="str" cm="1">
        <f t="array" ref="Q63">IF(L63="Outstanding",_xlfn.XLOOKUP(1,(P63&gt;='Aging Schedule'!$B$18:$B$22)*(P63&lt;='Aging Schedule'!$C$18:$C$22),'Aging Schedule'!$D$18:$D$22),"")</f>
        <v>31-45 Days</v>
      </c>
      <c r="R63" s="1" t="str">
        <f>IF(L63="Outstanding",VLOOKUP(P63,'Aging Schedule'!$B$18:$D$22,3),"")</f>
        <v>31-45 Days</v>
      </c>
      <c r="S63" s="77">
        <f t="shared" si="4"/>
        <v>1540.4004000000002</v>
      </c>
    </row>
    <row r="64" spans="2:19" x14ac:dyDescent="0.25">
      <c r="B64" s="1" t="s">
        <v>115</v>
      </c>
      <c r="C64" s="1" t="s">
        <v>37</v>
      </c>
      <c r="D64" s="43">
        <v>45170</v>
      </c>
      <c r="E64" s="43">
        <v>45255</v>
      </c>
      <c r="F64" s="1" t="s">
        <v>20</v>
      </c>
      <c r="G64" s="72">
        <v>32003</v>
      </c>
      <c r="I64" s="67">
        <v>45285</v>
      </c>
      <c r="J64" s="73">
        <f>IFERROR(IF(I64&gt;E64,(I64-E64)*_xlfn.XLOOKUP(C64,'Vendor Details'!$B$4:$B$33,'Vendor Details'!$F$4:$F$33)*'Vendor Invoices'!G64,""),0)</f>
        <v>528.04949999999997</v>
      </c>
      <c r="K64" s="72">
        <f>IFERROR(_xlfn.XLOOKUP(B64,'Payment HIstory'!$D:$D,'Payment HIstory'!$F:$F),0)</f>
        <v>32531.049500000001</v>
      </c>
      <c r="L64" s="1" t="str">
        <f t="shared" si="0"/>
        <v>Paid</v>
      </c>
      <c r="M64" s="72">
        <f t="shared" si="2"/>
        <v>0</v>
      </c>
      <c r="N64" s="72">
        <f>IF(L64="Outstanding",($C$3-E64)*_xlfn.XLOOKUP(C64,'Vendor Details'!$B:$B,'Vendor Details'!$F:$F)*'Vendor Invoices'!G64,0)</f>
        <v>0</v>
      </c>
      <c r="O64" s="77">
        <f t="shared" si="3"/>
        <v>0</v>
      </c>
      <c r="P64" s="70" t="str">
        <f t="shared" si="5"/>
        <v/>
      </c>
      <c r="Q64" s="1" t="str" cm="1">
        <f t="array" ref="Q64">IF(L64="Outstanding",_xlfn.XLOOKUP(1,(P64&gt;='Aging Schedule'!$B$18:$B$22)*(P64&lt;='Aging Schedule'!$C$18:$C$22),'Aging Schedule'!$D$18:$D$22),"")</f>
        <v/>
      </c>
      <c r="R64" s="1" t="str">
        <f>IF(L64="Outstanding",VLOOKUP(P64,'Aging Schedule'!$B$18:$D$22,3),"")</f>
        <v/>
      </c>
      <c r="S64" s="77">
        <f t="shared" si="4"/>
        <v>528.04949999999997</v>
      </c>
    </row>
    <row r="65" spans="2:19" x14ac:dyDescent="0.25">
      <c r="B65" s="1" t="s">
        <v>116</v>
      </c>
      <c r="C65" s="1" t="s">
        <v>38</v>
      </c>
      <c r="D65" s="43">
        <v>45183</v>
      </c>
      <c r="E65" s="43">
        <v>45290</v>
      </c>
      <c r="F65" s="1" t="s">
        <v>21</v>
      </c>
      <c r="G65" s="72">
        <v>58913</v>
      </c>
      <c r="I65" s="67">
        <v>45290</v>
      </c>
      <c r="J65" s="73" t="str">
        <f>IFERROR(IF(I65&gt;E65,(I65-E65)*_xlfn.XLOOKUP(C65,'Vendor Details'!$B$4:$B$33,'Vendor Details'!$F$4:$F$33)*'Vendor Invoices'!G65,""),0)</f>
        <v/>
      </c>
      <c r="K65" s="72">
        <f>IFERROR(_xlfn.XLOOKUP(B65,'Payment HIstory'!$D:$D,'Payment HIstory'!$F:$F),0)</f>
        <v>53610.83</v>
      </c>
      <c r="L65" s="1" t="str">
        <f t="shared" si="0"/>
        <v>Outstanding</v>
      </c>
      <c r="M65" s="72">
        <f t="shared" si="2"/>
        <v>5302.1699999999983</v>
      </c>
      <c r="N65" s="72">
        <f>IF(L65="Outstanding",($C$3-E65)*_xlfn.XLOOKUP(C65,'Vendor Details'!$B:$B,'Vendor Details'!$F:$F)*'Vendor Invoices'!G65,0)</f>
        <v>32.402149999999999</v>
      </c>
      <c r="O65" s="77">
        <f t="shared" si="3"/>
        <v>5334.5721499999981</v>
      </c>
      <c r="P65" s="70">
        <f t="shared" si="5"/>
        <v>11</v>
      </c>
      <c r="Q65" s="1" t="str" cm="1">
        <f t="array" ref="Q65">IF(L65="Outstanding",_xlfn.XLOOKUP(1,(P65&gt;='Aging Schedule'!$B$18:$B$22)*(P65&lt;='Aging Schedule'!$C$18:$C$22),'Aging Schedule'!$D$18:$D$22),"")</f>
        <v>0-30 Days</v>
      </c>
      <c r="R65" s="1" t="str">
        <f>IF(L65="Outstanding",VLOOKUP(P65,'Aging Schedule'!$B$18:$D$22,3),"")</f>
        <v>0-30 Days</v>
      </c>
      <c r="S65" s="77">
        <f t="shared" si="4"/>
        <v>32.402149999999999</v>
      </c>
    </row>
    <row r="66" spans="2:19" x14ac:dyDescent="0.25">
      <c r="B66" s="1" t="s">
        <v>117</v>
      </c>
      <c r="C66" s="1" t="s">
        <v>40</v>
      </c>
      <c r="D66" s="43">
        <v>44826</v>
      </c>
      <c r="E66" s="43">
        <v>44931</v>
      </c>
      <c r="F66" s="1" t="s">
        <v>18</v>
      </c>
      <c r="G66" s="72">
        <v>101807</v>
      </c>
      <c r="I66" s="67">
        <v>44931</v>
      </c>
      <c r="J66" s="73" t="str">
        <f>IFERROR(IF(I66&gt;E66,(I66-E66)*_xlfn.XLOOKUP(C66,'Vendor Details'!$B$4:$B$33,'Vendor Details'!$F$4:$F$33)*'Vendor Invoices'!G66,""),0)</f>
        <v/>
      </c>
      <c r="K66" s="72">
        <f>IFERROR(_xlfn.XLOOKUP(B66,'Payment HIstory'!$D:$D,'Payment HIstory'!$F:$F),0)</f>
        <v>101807</v>
      </c>
      <c r="L66" s="1" t="str">
        <f t="shared" si="0"/>
        <v>Paid</v>
      </c>
      <c r="M66" s="72">
        <f t="shared" si="2"/>
        <v>0</v>
      </c>
      <c r="N66" s="72">
        <f>IF(L66="Outstanding",($C$3-E66)*_xlfn.XLOOKUP(C66,'Vendor Details'!$B:$B,'Vendor Details'!$F:$F)*'Vendor Invoices'!G66,0)</f>
        <v>0</v>
      </c>
      <c r="O66" s="77">
        <f t="shared" si="3"/>
        <v>0</v>
      </c>
      <c r="P66" s="70" t="str">
        <f t="shared" si="5"/>
        <v/>
      </c>
      <c r="Q66" s="1" t="str" cm="1">
        <f t="array" ref="Q66">IF(L66="Outstanding",_xlfn.XLOOKUP(1,(P66&gt;='Aging Schedule'!$B$18:$B$22)*(P66&lt;='Aging Schedule'!$C$18:$C$22),'Aging Schedule'!$D$18:$D$22),"")</f>
        <v/>
      </c>
      <c r="R66" s="1" t="str">
        <f>IF(L66="Outstanding",VLOOKUP(P66,'Aging Schedule'!$B$18:$D$22,3),"")</f>
        <v/>
      </c>
      <c r="S66" s="77">
        <f t="shared" si="4"/>
        <v>0</v>
      </c>
    </row>
    <row r="67" spans="2:19" x14ac:dyDescent="0.25">
      <c r="B67" s="1" t="s">
        <v>118</v>
      </c>
      <c r="C67" s="1" t="s">
        <v>40</v>
      </c>
      <c r="D67" s="43">
        <v>44900</v>
      </c>
      <c r="E67" s="43">
        <v>44967</v>
      </c>
      <c r="F67" s="1" t="s">
        <v>19</v>
      </c>
      <c r="G67" s="72">
        <v>44365</v>
      </c>
      <c r="I67" s="67">
        <v>44967</v>
      </c>
      <c r="J67" s="73" t="str">
        <f>IFERROR(IF(I67&gt;E67,(I67-E67)*_xlfn.XLOOKUP(C67,'Vendor Details'!$B$4:$B$33,'Vendor Details'!$F$4:$F$33)*'Vendor Invoices'!G67,""),0)</f>
        <v/>
      </c>
      <c r="K67" s="72">
        <f>IFERROR(_xlfn.XLOOKUP(B67,'Payment HIstory'!$D:$D,'Payment HIstory'!$F:$F),0)</f>
        <v>44365</v>
      </c>
      <c r="L67" s="1" t="str">
        <f t="shared" si="0"/>
        <v>Paid</v>
      </c>
      <c r="M67" s="72">
        <f t="shared" si="2"/>
        <v>0</v>
      </c>
      <c r="N67" s="72">
        <f>IF(L67="Outstanding",($C$3-E67)*_xlfn.XLOOKUP(C67,'Vendor Details'!$B:$B,'Vendor Details'!$F:$F)*'Vendor Invoices'!G67,0)</f>
        <v>0</v>
      </c>
      <c r="O67" s="77">
        <f t="shared" si="3"/>
        <v>0</v>
      </c>
      <c r="P67" s="70" t="str">
        <f t="shared" si="5"/>
        <v/>
      </c>
      <c r="Q67" s="1" t="str" cm="1">
        <f t="array" ref="Q67">IF(L67="Outstanding",_xlfn.XLOOKUP(1,(P67&gt;='Aging Schedule'!$B$18:$B$22)*(P67&lt;='Aging Schedule'!$C$18:$C$22),'Aging Schedule'!$D$18:$D$22),"")</f>
        <v/>
      </c>
      <c r="R67" s="1" t="str">
        <f>IF(L67="Outstanding",VLOOKUP(P67,'Aging Schedule'!$B$18:$D$22,3),"")</f>
        <v/>
      </c>
      <c r="S67" s="77">
        <f t="shared" si="4"/>
        <v>0</v>
      </c>
    </row>
    <row r="68" spans="2:19" x14ac:dyDescent="0.25">
      <c r="B68" s="1" t="s">
        <v>119</v>
      </c>
      <c r="C68" s="1" t="s">
        <v>35</v>
      </c>
      <c r="D68" s="43">
        <v>44887</v>
      </c>
      <c r="E68" s="43">
        <v>45000</v>
      </c>
      <c r="F68" s="1" t="s">
        <v>20</v>
      </c>
      <c r="G68" s="72">
        <v>56112</v>
      </c>
      <c r="I68" s="67">
        <v>45000</v>
      </c>
      <c r="J68" s="73" t="str">
        <f>IFERROR(IF(I68&gt;E68,(I68-E68)*_xlfn.XLOOKUP(C68,'Vendor Details'!$B$4:$B$33,'Vendor Details'!$F$4:$F$33)*'Vendor Invoices'!G68,""),0)</f>
        <v/>
      </c>
      <c r="K68" s="72">
        <f>IFERROR(_xlfn.XLOOKUP(B68,'Payment HIstory'!$D:$D,'Payment HIstory'!$F:$F),0)</f>
        <v>56112</v>
      </c>
      <c r="L68" s="1" t="str">
        <f t="shared" si="0"/>
        <v>Paid</v>
      </c>
      <c r="M68" s="72">
        <f t="shared" si="2"/>
        <v>0</v>
      </c>
      <c r="N68" s="72">
        <f>IF(L68="Outstanding",($C$3-E68)*_xlfn.XLOOKUP(C68,'Vendor Details'!$B:$B,'Vendor Details'!$F:$F)*'Vendor Invoices'!G68,0)</f>
        <v>0</v>
      </c>
      <c r="O68" s="77">
        <f t="shared" si="3"/>
        <v>0</v>
      </c>
      <c r="P68" s="70" t="str">
        <f t="shared" si="5"/>
        <v/>
      </c>
      <c r="Q68" s="1" t="str" cm="1">
        <f t="array" ref="Q68">IF(L68="Outstanding",_xlfn.XLOOKUP(1,(P68&gt;='Aging Schedule'!$B$18:$B$22)*(P68&lt;='Aging Schedule'!$C$18:$C$22),'Aging Schedule'!$D$18:$D$22),"")</f>
        <v/>
      </c>
      <c r="R68" s="1" t="str">
        <f>IF(L68="Outstanding",VLOOKUP(P68,'Aging Schedule'!$B$18:$D$22,3),"")</f>
        <v/>
      </c>
      <c r="S68" s="77">
        <f t="shared" si="4"/>
        <v>0</v>
      </c>
    </row>
    <row r="69" spans="2:19" x14ac:dyDescent="0.25">
      <c r="B69" s="1" t="s">
        <v>120</v>
      </c>
      <c r="C69" s="1" t="s">
        <v>34</v>
      </c>
      <c r="D69" s="43">
        <v>45172</v>
      </c>
      <c r="E69" s="43">
        <v>45202</v>
      </c>
      <c r="F69" s="1" t="s">
        <v>21</v>
      </c>
      <c r="G69" s="72">
        <v>56051</v>
      </c>
      <c r="I69" s="67" t="str">
        <v/>
      </c>
      <c r="J69" s="73">
        <f>IFERROR(IF(I69&gt;E69,(I69-E69)*_xlfn.XLOOKUP(C69,'Vendor Details'!$B$4:$B$33,'Vendor Details'!$F$4:$F$33)*'Vendor Invoices'!G69,""),0)</f>
        <v>0</v>
      </c>
      <c r="K69" s="72">
        <f>IFERROR(_xlfn.XLOOKUP(B69,'Payment HIstory'!$D:$D,'Payment HIstory'!$F:$F),0)</f>
        <v>0</v>
      </c>
      <c r="L69" s="1" t="str">
        <f t="shared" si="0"/>
        <v>Outstanding</v>
      </c>
      <c r="M69" s="72">
        <f t="shared" si="2"/>
        <v>56051</v>
      </c>
      <c r="N69" s="72">
        <f>IF(L69="Outstanding",($C$3-E69)*_xlfn.XLOOKUP(C69,'Vendor Details'!$B:$B,'Vendor Details'!$F:$F)*'Vendor Invoices'!G69,0)</f>
        <v>110980.98</v>
      </c>
      <c r="O69" s="77">
        <f t="shared" si="3"/>
        <v>167031.97999999998</v>
      </c>
      <c r="P69" s="70">
        <f t="shared" si="5"/>
        <v>99</v>
      </c>
      <c r="Q69" s="1" t="str" cm="1">
        <f t="array" ref="Q69">IF(L69="Outstanding",_xlfn.XLOOKUP(1,(P69&gt;='Aging Schedule'!$B$18:$B$22)*(P69&lt;='Aging Schedule'!$C$18:$C$22),'Aging Schedule'!$D$18:$D$22),"")</f>
        <v>91+ Days</v>
      </c>
      <c r="R69" s="1" t="str">
        <f>IF(L69="Outstanding",VLOOKUP(P69,'Aging Schedule'!$B$18:$D$22,3),"")</f>
        <v>91+ Days</v>
      </c>
      <c r="S69" s="77">
        <f t="shared" si="4"/>
        <v>110980.98</v>
      </c>
    </row>
    <row r="70" spans="2:19" x14ac:dyDescent="0.25">
      <c r="B70" s="1" t="s">
        <v>121</v>
      </c>
      <c r="C70" s="1" t="s">
        <v>40</v>
      </c>
      <c r="D70" s="43">
        <v>45241</v>
      </c>
      <c r="E70" s="43">
        <v>45271</v>
      </c>
      <c r="F70" s="1" t="s">
        <v>18</v>
      </c>
      <c r="G70" s="72">
        <v>37548</v>
      </c>
      <c r="I70" s="67" t="str">
        <v/>
      </c>
      <c r="J70" s="73">
        <f>IFERROR(IF(I70&gt;E70,(I70-E70)*_xlfn.XLOOKUP(C70,'Vendor Details'!$B$4:$B$33,'Vendor Details'!$F$4:$F$33)*'Vendor Invoices'!G70,""),0)</f>
        <v>0</v>
      </c>
      <c r="K70" s="72">
        <f>IFERROR(_xlfn.XLOOKUP(B70,'Payment HIstory'!$D:$D,'Payment HIstory'!$F:$F),0)</f>
        <v>0</v>
      </c>
      <c r="L70" s="1" t="str">
        <f t="shared" ref="L70:L133" si="6">IF(I70&lt;&gt;"",IF(K70&gt;=SUM(G70,J70),"Paid","Outstanding"),"Outstanding")</f>
        <v>Outstanding</v>
      </c>
      <c r="M70" s="72">
        <f t="shared" si="2"/>
        <v>37548</v>
      </c>
      <c r="N70" s="72">
        <f>IF(L70="Outstanding",($C$3-E70)*_xlfn.XLOOKUP(C70,'Vendor Details'!$B:$B,'Vendor Details'!$F:$F)*'Vendor Invoices'!G70,0)</f>
        <v>450.57600000000002</v>
      </c>
      <c r="O70" s="77">
        <f t="shared" si="3"/>
        <v>37998.576000000001</v>
      </c>
      <c r="P70" s="70">
        <f t="shared" ref="P70:P101" si="7">IF(L70="Outstanding",$C$3-E70,"")</f>
        <v>30</v>
      </c>
      <c r="Q70" s="1" t="str" cm="1">
        <f t="array" ref="Q70">IF(L70="Outstanding",_xlfn.XLOOKUP(1,(P70&gt;='Aging Schedule'!$B$18:$B$22)*(P70&lt;='Aging Schedule'!$C$18:$C$22),'Aging Schedule'!$D$18:$D$22),"")</f>
        <v>0-30 Days</v>
      </c>
      <c r="R70" s="1" t="str">
        <f>IF(L70="Outstanding",VLOOKUP(P70,'Aging Schedule'!$B$18:$D$22,3),"")</f>
        <v>0-30 Days</v>
      </c>
      <c r="S70" s="77">
        <f t="shared" si="4"/>
        <v>450.57600000000002</v>
      </c>
    </row>
    <row r="71" spans="2:19" x14ac:dyDescent="0.25">
      <c r="B71" s="1" t="s">
        <v>122</v>
      </c>
      <c r="C71" s="1" t="s">
        <v>41</v>
      </c>
      <c r="D71" s="43">
        <v>45047</v>
      </c>
      <c r="E71" s="43">
        <v>45107</v>
      </c>
      <c r="F71" s="1" t="s">
        <v>19</v>
      </c>
      <c r="G71" s="72">
        <v>108295</v>
      </c>
      <c r="I71" s="67">
        <v>45107</v>
      </c>
      <c r="J71" s="73" t="str">
        <f>IFERROR(IF(I71&gt;E71,(I71-E71)*_xlfn.XLOOKUP(C71,'Vendor Details'!$B$4:$B$33,'Vendor Details'!$F$4:$F$33)*'Vendor Invoices'!G71,""),0)</f>
        <v/>
      </c>
      <c r="K71" s="72">
        <f>IFERROR(_xlfn.XLOOKUP(B71,'Payment HIstory'!$D:$D,'Payment HIstory'!$F:$F),0)</f>
        <v>108295</v>
      </c>
      <c r="L71" s="1" t="str">
        <f t="shared" si="6"/>
        <v>Paid</v>
      </c>
      <c r="M71" s="72">
        <f t="shared" ref="M71:M134" si="8">IF(L71="Outstanding",G71-K71,0)</f>
        <v>0</v>
      </c>
      <c r="N71" s="72">
        <f>IF(L71="Outstanding",($C$3-E71)*_xlfn.XLOOKUP(C71,'Vendor Details'!$B:$B,'Vendor Details'!$F:$F)*'Vendor Invoices'!G71,0)</f>
        <v>0</v>
      </c>
      <c r="O71" s="77">
        <f t="shared" ref="O71:O134" si="9">SUM(M71,N71)</f>
        <v>0</v>
      </c>
      <c r="P71" s="70" t="str">
        <f t="shared" si="7"/>
        <v/>
      </c>
      <c r="Q71" s="1" t="str" cm="1">
        <f t="array" ref="Q71">IF(L71="Outstanding",_xlfn.XLOOKUP(1,(P71&gt;='Aging Schedule'!$B$18:$B$22)*(P71&lt;='Aging Schedule'!$C$18:$C$22),'Aging Schedule'!$D$18:$D$22),"")</f>
        <v/>
      </c>
      <c r="R71" s="1" t="str">
        <f>IF(L71="Outstanding",VLOOKUP(P71,'Aging Schedule'!$B$18:$D$22,3),"")</f>
        <v/>
      </c>
      <c r="S71" s="77">
        <f t="shared" ref="S71:S134" si="10">SUM(N71,J71)</f>
        <v>0</v>
      </c>
    </row>
    <row r="72" spans="2:19" x14ac:dyDescent="0.25">
      <c r="B72" s="1" t="s">
        <v>123</v>
      </c>
      <c r="C72" s="1" t="s">
        <v>41</v>
      </c>
      <c r="D72" s="43">
        <v>45090</v>
      </c>
      <c r="E72" s="43">
        <v>45112</v>
      </c>
      <c r="F72" s="1" t="s">
        <v>20</v>
      </c>
      <c r="G72" s="72">
        <v>96947</v>
      </c>
      <c r="I72" s="67">
        <v>45112</v>
      </c>
      <c r="J72" s="73" t="str">
        <f>IFERROR(IF(I72&gt;E72,(I72-E72)*_xlfn.XLOOKUP(C72,'Vendor Details'!$B$4:$B$33,'Vendor Details'!$F$4:$F$33)*'Vendor Invoices'!G72,""),0)</f>
        <v/>
      </c>
      <c r="K72" s="72">
        <f>IFERROR(_xlfn.XLOOKUP(B72,'Payment HIstory'!$D:$D,'Payment HIstory'!$F:$F),0)</f>
        <v>90160.71</v>
      </c>
      <c r="L72" s="1" t="str">
        <f t="shared" si="6"/>
        <v>Outstanding</v>
      </c>
      <c r="M72" s="72">
        <f t="shared" si="8"/>
        <v>6786.2899999999936</v>
      </c>
      <c r="N72" s="72">
        <f>IF(L72="Outstanding",($C$3-E72)*_xlfn.XLOOKUP(C72,'Vendor Details'!$B:$B,'Vendor Details'!$F:$F)*'Vendor Invoices'!G72,0)</f>
        <v>10077.640649999999</v>
      </c>
      <c r="O72" s="77">
        <f t="shared" si="9"/>
        <v>16863.930649999995</v>
      </c>
      <c r="P72" s="70">
        <f t="shared" si="7"/>
        <v>189</v>
      </c>
      <c r="Q72" s="1" t="str" cm="1">
        <f t="array" ref="Q72">IF(L72="Outstanding",_xlfn.XLOOKUP(1,(P72&gt;='Aging Schedule'!$B$18:$B$22)*(P72&lt;='Aging Schedule'!$C$18:$C$22),'Aging Schedule'!$D$18:$D$22),"")</f>
        <v>91+ Days</v>
      </c>
      <c r="R72" s="1" t="str">
        <f>IF(L72="Outstanding",VLOOKUP(P72,'Aging Schedule'!$B$18:$D$22,3),"")</f>
        <v>91+ Days</v>
      </c>
      <c r="S72" s="77">
        <f t="shared" si="10"/>
        <v>10077.640649999999</v>
      </c>
    </row>
    <row r="73" spans="2:19" x14ac:dyDescent="0.25">
      <c r="B73" s="1" t="s">
        <v>124</v>
      </c>
      <c r="C73" s="1" t="s">
        <v>42</v>
      </c>
      <c r="D73" s="43">
        <v>45071</v>
      </c>
      <c r="E73" s="43">
        <v>45148</v>
      </c>
      <c r="F73" s="1" t="s">
        <v>21</v>
      </c>
      <c r="G73" s="72">
        <v>85397</v>
      </c>
      <c r="I73" s="67">
        <v>45148</v>
      </c>
      <c r="J73" s="73" t="str">
        <f>IFERROR(IF(I73&gt;E73,(I73-E73)*_xlfn.XLOOKUP(C73,'Vendor Details'!$B$4:$B$33,'Vendor Details'!$F$4:$F$33)*'Vendor Invoices'!G73,""),0)</f>
        <v/>
      </c>
      <c r="K73" s="72">
        <f>IFERROR(_xlfn.XLOOKUP(B73,'Payment HIstory'!$D:$D,'Payment HIstory'!$F:$F),0)</f>
        <v>85397</v>
      </c>
      <c r="L73" s="1" t="str">
        <f t="shared" si="6"/>
        <v>Paid</v>
      </c>
      <c r="M73" s="72">
        <f t="shared" si="8"/>
        <v>0</v>
      </c>
      <c r="N73" s="72">
        <f>IF(L73="Outstanding",($C$3-E73)*_xlfn.XLOOKUP(C73,'Vendor Details'!$B:$B,'Vendor Details'!$F:$F)*'Vendor Invoices'!G73,0)</f>
        <v>0</v>
      </c>
      <c r="O73" s="77">
        <f t="shared" si="9"/>
        <v>0</v>
      </c>
      <c r="P73" s="70" t="str">
        <f t="shared" si="7"/>
        <v/>
      </c>
      <c r="Q73" s="1" t="str" cm="1">
        <f t="array" ref="Q73">IF(L73="Outstanding",_xlfn.XLOOKUP(1,(P73&gt;='Aging Schedule'!$B$18:$B$22)*(P73&lt;='Aging Schedule'!$C$18:$C$22),'Aging Schedule'!$D$18:$D$22),"")</f>
        <v/>
      </c>
      <c r="R73" s="1" t="str">
        <f>IF(L73="Outstanding",VLOOKUP(P73,'Aging Schedule'!$B$18:$D$22,3),"")</f>
        <v/>
      </c>
      <c r="S73" s="77">
        <f t="shared" si="10"/>
        <v>0</v>
      </c>
    </row>
    <row r="74" spans="2:19" x14ac:dyDescent="0.25">
      <c r="B74" s="1" t="s">
        <v>125</v>
      </c>
      <c r="C74" s="1" t="s">
        <v>34</v>
      </c>
      <c r="D74" s="43">
        <v>45161</v>
      </c>
      <c r="E74" s="43">
        <v>45184</v>
      </c>
      <c r="F74" s="1" t="s">
        <v>18</v>
      </c>
      <c r="G74" s="72">
        <v>65840</v>
      </c>
      <c r="I74" s="67">
        <v>45184</v>
      </c>
      <c r="J74" s="73" t="str">
        <f>IFERROR(IF(I74&gt;E74,(I74-E74)*_xlfn.XLOOKUP(C74,'Vendor Details'!$B$4:$B$33,'Vendor Details'!$F$4:$F$33)*'Vendor Invoices'!G74,""),0)</f>
        <v/>
      </c>
      <c r="K74" s="72">
        <f>IFERROR(_xlfn.XLOOKUP(B74,'Payment HIstory'!$D:$D,'Payment HIstory'!$F:$F),0)</f>
        <v>65840</v>
      </c>
      <c r="L74" s="1" t="str">
        <f t="shared" si="6"/>
        <v>Paid</v>
      </c>
      <c r="M74" s="72">
        <f t="shared" si="8"/>
        <v>0</v>
      </c>
      <c r="N74" s="72">
        <f>IF(L74="Outstanding",($C$3-E74)*_xlfn.XLOOKUP(C74,'Vendor Details'!$B:$B,'Vendor Details'!$F:$F)*'Vendor Invoices'!G74,0)</f>
        <v>0</v>
      </c>
      <c r="O74" s="77">
        <f t="shared" si="9"/>
        <v>0</v>
      </c>
      <c r="P74" s="70" t="str">
        <f t="shared" si="7"/>
        <v/>
      </c>
      <c r="Q74" s="1" t="str" cm="1">
        <f t="array" ref="Q74">IF(L74="Outstanding",_xlfn.XLOOKUP(1,(P74&gt;='Aging Schedule'!$B$18:$B$22)*(P74&lt;='Aging Schedule'!$C$18:$C$22),'Aging Schedule'!$D$18:$D$22),"")</f>
        <v/>
      </c>
      <c r="R74" s="1" t="str">
        <f>IF(L74="Outstanding",VLOOKUP(P74,'Aging Schedule'!$B$18:$D$22,3),"")</f>
        <v/>
      </c>
      <c r="S74" s="77">
        <f t="shared" si="10"/>
        <v>0</v>
      </c>
    </row>
    <row r="75" spans="2:19" x14ac:dyDescent="0.25">
      <c r="B75" s="1" t="s">
        <v>126</v>
      </c>
      <c r="C75" s="1" t="s">
        <v>42</v>
      </c>
      <c r="D75" s="43">
        <v>45151</v>
      </c>
      <c r="E75" s="43">
        <v>45219</v>
      </c>
      <c r="F75" s="1" t="s">
        <v>19</v>
      </c>
      <c r="G75" s="72">
        <v>72665</v>
      </c>
      <c r="I75" s="67">
        <v>45219</v>
      </c>
      <c r="J75" s="73" t="str">
        <f>IFERROR(IF(I75&gt;E75,(I75-E75)*_xlfn.XLOOKUP(C75,'Vendor Details'!$B$4:$B$33,'Vendor Details'!$F$4:$F$33)*'Vendor Invoices'!G75,""),0)</f>
        <v/>
      </c>
      <c r="K75" s="72">
        <f>IFERROR(_xlfn.XLOOKUP(B75,'Payment HIstory'!$D:$D,'Payment HIstory'!$F:$F),0)</f>
        <v>72665</v>
      </c>
      <c r="L75" s="1" t="str">
        <f t="shared" si="6"/>
        <v>Paid</v>
      </c>
      <c r="M75" s="72">
        <f t="shared" si="8"/>
        <v>0</v>
      </c>
      <c r="N75" s="72">
        <f>IF(L75="Outstanding",($C$3-E75)*_xlfn.XLOOKUP(C75,'Vendor Details'!$B:$B,'Vendor Details'!$F:$F)*'Vendor Invoices'!G75,0)</f>
        <v>0</v>
      </c>
      <c r="O75" s="77">
        <f t="shared" si="9"/>
        <v>0</v>
      </c>
      <c r="P75" s="70" t="str">
        <f t="shared" si="7"/>
        <v/>
      </c>
      <c r="Q75" s="1" t="str" cm="1">
        <f t="array" ref="Q75">IF(L75="Outstanding",_xlfn.XLOOKUP(1,(P75&gt;='Aging Schedule'!$B$18:$B$22)*(P75&lt;='Aging Schedule'!$C$18:$C$22),'Aging Schedule'!$D$18:$D$22),"")</f>
        <v/>
      </c>
      <c r="R75" s="1" t="str">
        <f>IF(L75="Outstanding",VLOOKUP(P75,'Aging Schedule'!$B$18:$D$22,3),"")</f>
        <v/>
      </c>
      <c r="S75" s="77">
        <f t="shared" si="10"/>
        <v>0</v>
      </c>
    </row>
    <row r="76" spans="2:19" x14ac:dyDescent="0.25">
      <c r="B76" s="1" t="s">
        <v>127</v>
      </c>
      <c r="C76" s="1" t="s">
        <v>38</v>
      </c>
      <c r="D76" s="43">
        <v>45222</v>
      </c>
      <c r="E76" s="43">
        <v>45255</v>
      </c>
      <c r="F76" s="1" t="s">
        <v>20</v>
      </c>
      <c r="G76" s="72">
        <v>91406</v>
      </c>
      <c r="I76" s="67">
        <v>45255</v>
      </c>
      <c r="J76" s="73" t="str">
        <f>IFERROR(IF(I76&gt;E76,(I76-E76)*_xlfn.XLOOKUP(C76,'Vendor Details'!$B$4:$B$33,'Vendor Details'!$F$4:$F$33)*'Vendor Invoices'!G76,""),0)</f>
        <v/>
      </c>
      <c r="K76" s="72">
        <f>IFERROR(_xlfn.XLOOKUP(B76,'Payment HIstory'!$D:$D,'Payment HIstory'!$F:$F),0)</f>
        <v>86835.7</v>
      </c>
      <c r="L76" s="1" t="str">
        <f t="shared" si="6"/>
        <v>Outstanding</v>
      </c>
      <c r="M76" s="72">
        <f t="shared" si="8"/>
        <v>4570.3000000000029</v>
      </c>
      <c r="N76" s="72">
        <f>IF(L76="Outstanding",($C$3-E76)*_xlfn.XLOOKUP(C76,'Vendor Details'!$B:$B,'Vendor Details'!$F:$F)*'Vendor Invoices'!G76,0)</f>
        <v>210.2338</v>
      </c>
      <c r="O76" s="77">
        <f t="shared" si="9"/>
        <v>4780.5338000000029</v>
      </c>
      <c r="P76" s="70">
        <f t="shared" si="7"/>
        <v>46</v>
      </c>
      <c r="Q76" s="1" t="str" cm="1">
        <f t="array" ref="Q76">IF(L76="Outstanding",_xlfn.XLOOKUP(1,(P76&gt;='Aging Schedule'!$B$18:$B$22)*(P76&lt;='Aging Schedule'!$C$18:$C$22),'Aging Schedule'!$D$18:$D$22),"")</f>
        <v>46-60 Days</v>
      </c>
      <c r="R76" s="1" t="str">
        <f>IF(L76="Outstanding",VLOOKUP(P76,'Aging Schedule'!$B$18:$D$22,3),"")</f>
        <v>46-60 Days</v>
      </c>
      <c r="S76" s="77">
        <f t="shared" si="10"/>
        <v>210.2338</v>
      </c>
    </row>
    <row r="77" spans="2:19" x14ac:dyDescent="0.25">
      <c r="B77" s="1" t="s">
        <v>128</v>
      </c>
      <c r="C77" s="1" t="s">
        <v>42</v>
      </c>
      <c r="D77" s="43">
        <v>45200</v>
      </c>
      <c r="E77" s="43">
        <v>45290</v>
      </c>
      <c r="F77" s="1" t="s">
        <v>21</v>
      </c>
      <c r="G77" s="72">
        <v>53576</v>
      </c>
      <c r="I77" s="67">
        <v>45290</v>
      </c>
      <c r="J77" s="73" t="str">
        <f>IFERROR(IF(I77&gt;E77,(I77-E77)*_xlfn.XLOOKUP(C77,'Vendor Details'!$B$4:$B$33,'Vendor Details'!$F$4:$F$33)*'Vendor Invoices'!G77,""),0)</f>
        <v/>
      </c>
      <c r="K77" s="72">
        <f>IFERROR(_xlfn.XLOOKUP(B77,'Payment HIstory'!$D:$D,'Payment HIstory'!$F:$F),0)</f>
        <v>53576</v>
      </c>
      <c r="L77" s="1" t="str">
        <f t="shared" si="6"/>
        <v>Paid</v>
      </c>
      <c r="M77" s="72">
        <f t="shared" si="8"/>
        <v>0</v>
      </c>
      <c r="N77" s="72">
        <f>IF(L77="Outstanding",($C$3-E77)*_xlfn.XLOOKUP(C77,'Vendor Details'!$B:$B,'Vendor Details'!$F:$F)*'Vendor Invoices'!G77,0)</f>
        <v>0</v>
      </c>
      <c r="O77" s="77">
        <f t="shared" si="9"/>
        <v>0</v>
      </c>
      <c r="P77" s="70" t="str">
        <f t="shared" si="7"/>
        <v/>
      </c>
      <c r="Q77" s="1" t="str" cm="1">
        <f t="array" ref="Q77">IF(L77="Outstanding",_xlfn.XLOOKUP(1,(P77&gt;='Aging Schedule'!$B$18:$B$22)*(P77&lt;='Aging Schedule'!$C$18:$C$22),'Aging Schedule'!$D$18:$D$22),"")</f>
        <v/>
      </c>
      <c r="R77" s="1" t="str">
        <f>IF(L77="Outstanding",VLOOKUP(P77,'Aging Schedule'!$B$18:$D$22,3),"")</f>
        <v/>
      </c>
      <c r="S77" s="77">
        <f t="shared" si="10"/>
        <v>0</v>
      </c>
    </row>
    <row r="78" spans="2:19" x14ac:dyDescent="0.25">
      <c r="B78" s="1" t="s">
        <v>129</v>
      </c>
      <c r="C78" s="1" t="s">
        <v>36</v>
      </c>
      <c r="D78" s="43">
        <v>44881</v>
      </c>
      <c r="E78" s="43">
        <v>44931</v>
      </c>
      <c r="F78" s="1" t="s">
        <v>18</v>
      </c>
      <c r="G78" s="72">
        <v>113109</v>
      </c>
      <c r="I78" s="67">
        <v>44921</v>
      </c>
      <c r="J78" s="73" t="str">
        <f>IFERROR(IF(I78&gt;E78,(I78-E78)*_xlfn.XLOOKUP(C78,'Vendor Details'!$B$4:$B$33,'Vendor Details'!$F$4:$F$33)*'Vendor Invoices'!G78,""),0)</f>
        <v/>
      </c>
      <c r="K78" s="72">
        <f>IFERROR(_xlfn.XLOOKUP(B78,'Payment HIstory'!$D:$D,'Payment HIstory'!$F:$F),0)</f>
        <v>102929.19</v>
      </c>
      <c r="L78" s="1" t="str">
        <f t="shared" si="6"/>
        <v>Outstanding</v>
      </c>
      <c r="M78" s="72">
        <f t="shared" si="8"/>
        <v>10179.809999999998</v>
      </c>
      <c r="N78" s="72">
        <f>IF(L78="Outstanding",($C$3-E78)*_xlfn.XLOOKUP(C78,'Vendor Details'!$B:$B,'Vendor Details'!$F:$F)*'Vendor Invoices'!G78,0)</f>
        <v>33480.264000000003</v>
      </c>
      <c r="O78" s="77">
        <f t="shared" si="9"/>
        <v>43660.074000000001</v>
      </c>
      <c r="P78" s="70">
        <f t="shared" si="7"/>
        <v>370</v>
      </c>
      <c r="Q78" s="1" t="str" cm="1">
        <f t="array" ref="Q78">IF(L78="Outstanding",_xlfn.XLOOKUP(1,(P78&gt;='Aging Schedule'!$B$18:$B$22)*(P78&lt;='Aging Schedule'!$C$18:$C$22),'Aging Schedule'!$D$18:$D$22),"")</f>
        <v>91+ Days</v>
      </c>
      <c r="R78" s="1" t="str">
        <f>IF(L78="Outstanding",VLOOKUP(P78,'Aging Schedule'!$B$18:$D$22,3),"")</f>
        <v>91+ Days</v>
      </c>
      <c r="S78" s="77">
        <f t="shared" si="10"/>
        <v>33480.264000000003</v>
      </c>
    </row>
    <row r="79" spans="2:19" x14ac:dyDescent="0.25">
      <c r="B79" s="1" t="s">
        <v>130</v>
      </c>
      <c r="C79" s="1" t="s">
        <v>36</v>
      </c>
      <c r="D79" s="43">
        <v>45188</v>
      </c>
      <c r="E79" s="43">
        <v>45218</v>
      </c>
      <c r="F79" s="1" t="s">
        <v>19</v>
      </c>
      <c r="G79" s="72">
        <v>75520</v>
      </c>
      <c r="I79" s="67" t="str">
        <v/>
      </c>
      <c r="J79" s="73">
        <f>IFERROR(IF(I79&gt;E79,(I79-E79)*_xlfn.XLOOKUP(C79,'Vendor Details'!$B$4:$B$33,'Vendor Details'!$F$4:$F$33)*'Vendor Invoices'!G79,""),0)</f>
        <v>0</v>
      </c>
      <c r="K79" s="72">
        <f>IFERROR(_xlfn.XLOOKUP(B79,'Payment HIstory'!$D:$D,'Payment HIstory'!$F:$F),0)</f>
        <v>0</v>
      </c>
      <c r="L79" s="1" t="str">
        <f t="shared" si="6"/>
        <v>Outstanding</v>
      </c>
      <c r="M79" s="72">
        <f t="shared" si="8"/>
        <v>75520</v>
      </c>
      <c r="N79" s="72">
        <f>IF(L79="Outstanding",($C$3-E79)*_xlfn.XLOOKUP(C79,'Vendor Details'!$B:$B,'Vendor Details'!$F:$F)*'Vendor Invoices'!G79,0)</f>
        <v>5014.5280000000002</v>
      </c>
      <c r="O79" s="77">
        <f t="shared" si="9"/>
        <v>80534.528000000006</v>
      </c>
      <c r="P79" s="70">
        <f t="shared" si="7"/>
        <v>83</v>
      </c>
      <c r="Q79" s="1" t="str" cm="1">
        <f t="array" ref="Q79">IF(L79="Outstanding",_xlfn.XLOOKUP(1,(P79&gt;='Aging Schedule'!$B$18:$B$22)*(P79&lt;='Aging Schedule'!$C$18:$C$22),'Aging Schedule'!$D$18:$D$22),"")</f>
        <v>61-90 Days</v>
      </c>
      <c r="R79" s="1" t="str">
        <f>IF(L79="Outstanding",VLOOKUP(P79,'Aging Schedule'!$B$18:$D$22,3),"")</f>
        <v>61-90 Days</v>
      </c>
      <c r="S79" s="77">
        <f t="shared" si="10"/>
        <v>5014.5280000000002</v>
      </c>
    </row>
    <row r="80" spans="2:19" x14ac:dyDescent="0.25">
      <c r="B80" s="1" t="s">
        <v>131</v>
      </c>
      <c r="C80" s="1" t="s">
        <v>35</v>
      </c>
      <c r="D80" s="43">
        <v>45196</v>
      </c>
      <c r="E80" s="43">
        <v>45226</v>
      </c>
      <c r="F80" s="1" t="s">
        <v>20</v>
      </c>
      <c r="G80" s="72">
        <v>31328</v>
      </c>
      <c r="I80" s="67" t="str">
        <v/>
      </c>
      <c r="J80" s="73">
        <f>IFERROR(IF(I80&gt;E80,(I80-E80)*_xlfn.XLOOKUP(C80,'Vendor Details'!$B$4:$B$33,'Vendor Details'!$F$4:$F$33)*'Vendor Invoices'!G80,""),0)</f>
        <v>0</v>
      </c>
      <c r="K80" s="72">
        <f>IFERROR(_xlfn.XLOOKUP(B80,'Payment HIstory'!$D:$D,'Payment HIstory'!$F:$F),0)</f>
        <v>0</v>
      </c>
      <c r="L80" s="1" t="str">
        <f t="shared" si="6"/>
        <v>Outstanding</v>
      </c>
      <c r="M80" s="72">
        <f t="shared" si="8"/>
        <v>31328</v>
      </c>
      <c r="N80" s="72">
        <f>IF(L80="Outstanding",($C$3-E80)*_xlfn.XLOOKUP(C80,'Vendor Details'!$B:$B,'Vendor Details'!$F:$F)*'Vendor Invoices'!G80,0)</f>
        <v>1057.3200000000002</v>
      </c>
      <c r="O80" s="77">
        <f t="shared" si="9"/>
        <v>32385.32</v>
      </c>
      <c r="P80" s="70">
        <f t="shared" si="7"/>
        <v>75</v>
      </c>
      <c r="Q80" s="1" t="str" cm="1">
        <f t="array" ref="Q80">IF(L80="Outstanding",_xlfn.XLOOKUP(1,(P80&gt;='Aging Schedule'!$B$18:$B$22)*(P80&lt;='Aging Schedule'!$C$18:$C$22),'Aging Schedule'!$D$18:$D$22),"")</f>
        <v>61-90 Days</v>
      </c>
      <c r="R80" s="1" t="str">
        <f>IF(L80="Outstanding",VLOOKUP(P80,'Aging Schedule'!$B$18:$D$22,3),"")</f>
        <v>61-90 Days</v>
      </c>
      <c r="S80" s="77">
        <f t="shared" si="10"/>
        <v>1057.3200000000002</v>
      </c>
    </row>
    <row r="81" spans="2:19" x14ac:dyDescent="0.25">
      <c r="B81" s="1" t="s">
        <v>132</v>
      </c>
      <c r="C81" s="1" t="s">
        <v>38</v>
      </c>
      <c r="D81" s="43">
        <v>45184</v>
      </c>
      <c r="E81" s="43">
        <v>45214</v>
      </c>
      <c r="F81" s="1" t="s">
        <v>20</v>
      </c>
      <c r="G81" s="72">
        <v>95360</v>
      </c>
      <c r="I81" s="67" t="str">
        <v/>
      </c>
      <c r="J81" s="73">
        <f>IFERROR(IF(I81&gt;E81,(I81-E81)*_xlfn.XLOOKUP(C81,'Vendor Details'!$B$4:$B$33,'Vendor Details'!$F$4:$F$33)*'Vendor Invoices'!G81,""),0)</f>
        <v>0</v>
      </c>
      <c r="K81" s="72">
        <f>IFERROR(_xlfn.XLOOKUP(B81,'Payment HIstory'!$D:$D,'Payment HIstory'!$F:$F),0)</f>
        <v>0</v>
      </c>
      <c r="L81" s="1" t="str">
        <f t="shared" si="6"/>
        <v>Outstanding</v>
      </c>
      <c r="M81" s="72">
        <f t="shared" si="8"/>
        <v>95360</v>
      </c>
      <c r="N81" s="72">
        <f>IF(L81="Outstanding",($C$3-E81)*_xlfn.XLOOKUP(C81,'Vendor Details'!$B:$B,'Vendor Details'!$F:$F)*'Vendor Invoices'!G81,0)</f>
        <v>414.81600000000003</v>
      </c>
      <c r="O81" s="77">
        <f t="shared" si="9"/>
        <v>95774.816000000006</v>
      </c>
      <c r="P81" s="70">
        <f t="shared" si="7"/>
        <v>87</v>
      </c>
      <c r="Q81" s="1" t="str" cm="1">
        <f t="array" ref="Q81">IF(L81="Outstanding",_xlfn.XLOOKUP(1,(P81&gt;='Aging Schedule'!$B$18:$B$22)*(P81&lt;='Aging Schedule'!$C$18:$C$22),'Aging Schedule'!$D$18:$D$22),"")</f>
        <v>61-90 Days</v>
      </c>
      <c r="R81" s="1" t="str">
        <f>IF(L81="Outstanding",VLOOKUP(P81,'Aging Schedule'!$B$18:$D$22,3),"")</f>
        <v>61-90 Days</v>
      </c>
      <c r="S81" s="77">
        <f t="shared" si="10"/>
        <v>414.81600000000003</v>
      </c>
    </row>
    <row r="82" spans="2:19" x14ac:dyDescent="0.25">
      <c r="B82" s="1" t="s">
        <v>133</v>
      </c>
      <c r="C82" s="1" t="s">
        <v>35</v>
      </c>
      <c r="D82" s="43">
        <v>45046</v>
      </c>
      <c r="E82" s="43">
        <v>45115</v>
      </c>
      <c r="F82" s="1" t="s">
        <v>21</v>
      </c>
      <c r="G82" s="72">
        <v>89277</v>
      </c>
      <c r="I82" s="67">
        <v>45115</v>
      </c>
      <c r="J82" s="73" t="str">
        <f>IFERROR(IF(I82&gt;E82,(I82-E82)*_xlfn.XLOOKUP(C82,'Vendor Details'!$B$4:$B$33,'Vendor Details'!$F$4:$F$33)*'Vendor Invoices'!G82,""),0)</f>
        <v/>
      </c>
      <c r="K82" s="72">
        <f>IFERROR(_xlfn.XLOOKUP(B82,'Payment HIstory'!$D:$D,'Payment HIstory'!$F:$F),0)</f>
        <v>89277</v>
      </c>
      <c r="L82" s="1" t="str">
        <f t="shared" si="6"/>
        <v>Paid</v>
      </c>
      <c r="M82" s="72">
        <f t="shared" si="8"/>
        <v>0</v>
      </c>
      <c r="N82" s="72">
        <f>IF(L82="Outstanding",($C$3-E82)*_xlfn.XLOOKUP(C82,'Vendor Details'!$B:$B,'Vendor Details'!$F:$F)*'Vendor Invoices'!G82,0)</f>
        <v>0</v>
      </c>
      <c r="O82" s="77">
        <f t="shared" si="9"/>
        <v>0</v>
      </c>
      <c r="P82" s="70" t="str">
        <f t="shared" si="7"/>
        <v/>
      </c>
      <c r="Q82" s="1" t="str" cm="1">
        <f t="array" ref="Q82">IF(L82="Outstanding",_xlfn.XLOOKUP(1,(P82&gt;='Aging Schedule'!$B$18:$B$22)*(P82&lt;='Aging Schedule'!$C$18:$C$22),'Aging Schedule'!$D$18:$D$22),"")</f>
        <v/>
      </c>
      <c r="R82" s="1" t="str">
        <f>IF(L82="Outstanding",VLOOKUP(P82,'Aging Schedule'!$B$18:$D$22,3),"")</f>
        <v/>
      </c>
      <c r="S82" s="77">
        <f t="shared" si="10"/>
        <v>0</v>
      </c>
    </row>
    <row r="83" spans="2:19" x14ac:dyDescent="0.25">
      <c r="B83" s="1" t="s">
        <v>134</v>
      </c>
      <c r="C83" s="1" t="s">
        <v>35</v>
      </c>
      <c r="D83" s="43">
        <v>45253</v>
      </c>
      <c r="E83" s="43">
        <v>45283</v>
      </c>
      <c r="F83" s="1" t="s">
        <v>18</v>
      </c>
      <c r="G83" s="72">
        <v>84198</v>
      </c>
      <c r="I83" s="67" t="str">
        <v/>
      </c>
      <c r="J83" s="73">
        <f>IFERROR(IF(I83&gt;E83,(I83-E83)*_xlfn.XLOOKUP(C83,'Vendor Details'!$B$4:$B$33,'Vendor Details'!$F$4:$F$33)*'Vendor Invoices'!G83,""),0)</f>
        <v>0</v>
      </c>
      <c r="K83" s="72">
        <f>IFERROR(_xlfn.XLOOKUP(B83,'Payment HIstory'!$D:$D,'Payment HIstory'!$F:$F),0)</f>
        <v>0</v>
      </c>
      <c r="L83" s="1" t="str">
        <f t="shared" si="6"/>
        <v>Outstanding</v>
      </c>
      <c r="M83" s="72">
        <f t="shared" si="8"/>
        <v>84198</v>
      </c>
      <c r="N83" s="72">
        <f>IF(L83="Outstanding",($C$3-E83)*_xlfn.XLOOKUP(C83,'Vendor Details'!$B:$B,'Vendor Details'!$F:$F)*'Vendor Invoices'!G83,0)</f>
        <v>682.00380000000007</v>
      </c>
      <c r="O83" s="77">
        <f t="shared" si="9"/>
        <v>84880.003800000006</v>
      </c>
      <c r="P83" s="70">
        <f t="shared" si="7"/>
        <v>18</v>
      </c>
      <c r="Q83" s="1" t="str" cm="1">
        <f t="array" ref="Q83">IF(L83="Outstanding",_xlfn.XLOOKUP(1,(P83&gt;='Aging Schedule'!$B$18:$B$22)*(P83&lt;='Aging Schedule'!$C$18:$C$22),'Aging Schedule'!$D$18:$D$22),"")</f>
        <v>0-30 Days</v>
      </c>
      <c r="R83" s="1" t="str">
        <f>IF(L83="Outstanding",VLOOKUP(P83,'Aging Schedule'!$B$18:$D$22,3),"")</f>
        <v>0-30 Days</v>
      </c>
      <c r="S83" s="77">
        <f t="shared" si="10"/>
        <v>682.00380000000007</v>
      </c>
    </row>
    <row r="84" spans="2:19" x14ac:dyDescent="0.25">
      <c r="B84" s="1" t="s">
        <v>135</v>
      </c>
      <c r="C84" s="1" t="s">
        <v>34</v>
      </c>
      <c r="D84" s="43">
        <v>45093</v>
      </c>
      <c r="E84" s="43">
        <v>45198</v>
      </c>
      <c r="F84" s="1" t="s">
        <v>20</v>
      </c>
      <c r="G84" s="72">
        <v>86067</v>
      </c>
      <c r="I84" s="67">
        <v>45198</v>
      </c>
      <c r="J84" s="73" t="str">
        <f>IFERROR(IF(I84&gt;E84,(I84-E84)*_xlfn.XLOOKUP(C84,'Vendor Details'!$B$4:$B$33,'Vendor Details'!$F$4:$F$33)*'Vendor Invoices'!G84,""),0)</f>
        <v/>
      </c>
      <c r="K84" s="72">
        <f>IFERROR(_xlfn.XLOOKUP(B84,'Payment HIstory'!$D:$D,'Payment HIstory'!$F:$F),0)</f>
        <v>86067</v>
      </c>
      <c r="L84" s="1" t="str">
        <f t="shared" si="6"/>
        <v>Paid</v>
      </c>
      <c r="M84" s="72">
        <f t="shared" si="8"/>
        <v>0</v>
      </c>
      <c r="N84" s="72">
        <f>IF(L84="Outstanding",($C$3-E84)*_xlfn.XLOOKUP(C84,'Vendor Details'!$B:$B,'Vendor Details'!$F:$F)*'Vendor Invoices'!G84,0)</f>
        <v>0</v>
      </c>
      <c r="O84" s="77">
        <f t="shared" si="9"/>
        <v>0</v>
      </c>
      <c r="P84" s="70" t="str">
        <f t="shared" si="7"/>
        <v/>
      </c>
      <c r="Q84" s="1" t="str" cm="1">
        <f t="array" ref="Q84">IF(L84="Outstanding",_xlfn.XLOOKUP(1,(P84&gt;='Aging Schedule'!$B$18:$B$22)*(P84&lt;='Aging Schedule'!$C$18:$C$22),'Aging Schedule'!$D$18:$D$22),"")</f>
        <v/>
      </c>
      <c r="R84" s="1" t="str">
        <f>IF(L84="Outstanding",VLOOKUP(P84,'Aging Schedule'!$B$18:$D$22,3),"")</f>
        <v/>
      </c>
      <c r="S84" s="77">
        <f t="shared" si="10"/>
        <v>0</v>
      </c>
    </row>
    <row r="85" spans="2:19" x14ac:dyDescent="0.25">
      <c r="B85" s="1" t="s">
        <v>136</v>
      </c>
      <c r="C85" s="1" t="s">
        <v>37</v>
      </c>
      <c r="D85" s="43">
        <v>44965</v>
      </c>
      <c r="E85" s="43">
        <v>44997</v>
      </c>
      <c r="F85" s="1" t="s">
        <v>21</v>
      </c>
      <c r="G85" s="72">
        <v>33096</v>
      </c>
      <c r="I85" s="67">
        <v>45001</v>
      </c>
      <c r="J85" s="73">
        <f>IFERROR(IF(I85&gt;E85,(I85-E85)*_xlfn.XLOOKUP(C85,'Vendor Details'!$B$4:$B$33,'Vendor Details'!$F$4:$F$33)*'Vendor Invoices'!G85,""),0)</f>
        <v>72.811199999999985</v>
      </c>
      <c r="K85" s="72">
        <f>IFERROR(_xlfn.XLOOKUP(B85,'Payment HIstory'!$D:$D,'Payment HIstory'!$F:$F),0)</f>
        <v>33168.811199999996</v>
      </c>
      <c r="L85" s="1" t="str">
        <f t="shared" si="6"/>
        <v>Paid</v>
      </c>
      <c r="M85" s="72">
        <f t="shared" si="8"/>
        <v>0</v>
      </c>
      <c r="N85" s="72">
        <f>IF(L85="Outstanding",($C$3-E85)*_xlfn.XLOOKUP(C85,'Vendor Details'!$B:$B,'Vendor Details'!$F:$F)*'Vendor Invoices'!G85,0)</f>
        <v>0</v>
      </c>
      <c r="O85" s="77">
        <f t="shared" si="9"/>
        <v>0</v>
      </c>
      <c r="P85" s="70" t="str">
        <f t="shared" si="7"/>
        <v/>
      </c>
      <c r="Q85" s="1" t="str" cm="1">
        <f t="array" ref="Q85">IF(L85="Outstanding",_xlfn.XLOOKUP(1,(P85&gt;='Aging Schedule'!$B$18:$B$22)*(P85&lt;='Aging Schedule'!$C$18:$C$22),'Aging Schedule'!$D$18:$D$22),"")</f>
        <v/>
      </c>
      <c r="R85" s="1" t="str">
        <f>IF(L85="Outstanding",VLOOKUP(P85,'Aging Schedule'!$B$18:$D$22,3),"")</f>
        <v/>
      </c>
      <c r="S85" s="77">
        <f t="shared" si="10"/>
        <v>72.811199999999985</v>
      </c>
    </row>
    <row r="86" spans="2:19" x14ac:dyDescent="0.25">
      <c r="B86" s="1" t="s">
        <v>137</v>
      </c>
      <c r="C86" s="1" t="s">
        <v>42</v>
      </c>
      <c r="D86" s="43">
        <v>45154</v>
      </c>
      <c r="E86" s="43">
        <v>45225</v>
      </c>
      <c r="F86" s="1" t="s">
        <v>19</v>
      </c>
      <c r="G86" s="72">
        <v>40585</v>
      </c>
      <c r="I86" s="67">
        <v>45225</v>
      </c>
      <c r="J86" s="73" t="str">
        <f>IFERROR(IF(I86&gt;E86,(I86-E86)*_xlfn.XLOOKUP(C86,'Vendor Details'!$B$4:$B$33,'Vendor Details'!$F$4:$F$33)*'Vendor Invoices'!G86,""),0)</f>
        <v/>
      </c>
      <c r="K86" s="72">
        <f>IFERROR(_xlfn.XLOOKUP(B86,'Payment HIstory'!$D:$D,'Payment HIstory'!$F:$F),0)</f>
        <v>40585</v>
      </c>
      <c r="L86" s="1" t="str">
        <f t="shared" si="6"/>
        <v>Paid</v>
      </c>
      <c r="M86" s="72">
        <f t="shared" si="8"/>
        <v>0</v>
      </c>
      <c r="N86" s="72">
        <f>IF(L86="Outstanding",($C$3-E86)*_xlfn.XLOOKUP(C86,'Vendor Details'!$B:$B,'Vendor Details'!$F:$F)*'Vendor Invoices'!G86,0)</f>
        <v>0</v>
      </c>
      <c r="O86" s="77">
        <f t="shared" si="9"/>
        <v>0</v>
      </c>
      <c r="P86" s="70" t="str">
        <f t="shared" si="7"/>
        <v/>
      </c>
      <c r="Q86" s="1" t="str" cm="1">
        <f t="array" ref="Q86">IF(L86="Outstanding",_xlfn.XLOOKUP(1,(P86&gt;='Aging Schedule'!$B$18:$B$22)*(P86&lt;='Aging Schedule'!$C$18:$C$22),'Aging Schedule'!$D$18:$D$22),"")</f>
        <v/>
      </c>
      <c r="R86" s="1" t="str">
        <f>IF(L86="Outstanding",VLOOKUP(P86,'Aging Schedule'!$B$18:$D$22,3),"")</f>
        <v/>
      </c>
      <c r="S86" s="77">
        <f t="shared" si="10"/>
        <v>0</v>
      </c>
    </row>
    <row r="87" spans="2:19" x14ac:dyDescent="0.25">
      <c r="B87" s="1" t="s">
        <v>138</v>
      </c>
      <c r="C87" s="1" t="s">
        <v>37</v>
      </c>
      <c r="D87" s="43">
        <v>45091</v>
      </c>
      <c r="E87" s="43">
        <v>45135</v>
      </c>
      <c r="F87" s="1" t="s">
        <v>20</v>
      </c>
      <c r="G87" s="72">
        <v>70642</v>
      </c>
      <c r="I87" s="67">
        <v>45135</v>
      </c>
      <c r="J87" s="73" t="str">
        <f>IFERROR(IF(I87&gt;E87,(I87-E87)*_xlfn.XLOOKUP(C87,'Vendor Details'!$B$4:$B$33,'Vendor Details'!$F$4:$F$33)*'Vendor Invoices'!G87,""),0)</f>
        <v/>
      </c>
      <c r="K87" s="72">
        <f>IFERROR(_xlfn.XLOOKUP(B87,'Payment HIstory'!$D:$D,'Payment HIstory'!$F:$F),0)</f>
        <v>70642</v>
      </c>
      <c r="L87" s="1" t="str">
        <f t="shared" si="6"/>
        <v>Paid</v>
      </c>
      <c r="M87" s="72">
        <f t="shared" si="8"/>
        <v>0</v>
      </c>
      <c r="N87" s="72">
        <f>IF(L87="Outstanding",($C$3-E87)*_xlfn.XLOOKUP(C87,'Vendor Details'!$B:$B,'Vendor Details'!$F:$F)*'Vendor Invoices'!G87,0)</f>
        <v>0</v>
      </c>
      <c r="O87" s="77">
        <f t="shared" si="9"/>
        <v>0</v>
      </c>
      <c r="P87" s="70" t="str">
        <f t="shared" si="7"/>
        <v/>
      </c>
      <c r="Q87" s="1" t="str" cm="1">
        <f t="array" ref="Q87">IF(L87="Outstanding",_xlfn.XLOOKUP(1,(P87&gt;='Aging Schedule'!$B$18:$B$22)*(P87&lt;='Aging Schedule'!$C$18:$C$22),'Aging Schedule'!$D$18:$D$22),"")</f>
        <v/>
      </c>
      <c r="R87" s="1" t="str">
        <f>IF(L87="Outstanding",VLOOKUP(P87,'Aging Schedule'!$B$18:$D$22,3),"")</f>
        <v/>
      </c>
      <c r="S87" s="77">
        <f t="shared" si="10"/>
        <v>0</v>
      </c>
    </row>
    <row r="88" spans="2:19" x14ac:dyDescent="0.25">
      <c r="B88" s="1" t="s">
        <v>139</v>
      </c>
      <c r="C88" s="1" t="s">
        <v>41</v>
      </c>
      <c r="D88" s="43">
        <v>45215</v>
      </c>
      <c r="E88" s="43">
        <v>45245</v>
      </c>
      <c r="F88" s="1" t="s">
        <v>19</v>
      </c>
      <c r="G88" s="72">
        <v>47617</v>
      </c>
      <c r="I88" s="67" t="str">
        <v/>
      </c>
      <c r="J88" s="73">
        <f>IFERROR(IF(I88&gt;E88,(I88-E88)*_xlfn.XLOOKUP(C88,'Vendor Details'!$B$4:$B$33,'Vendor Details'!$F$4:$F$33)*'Vendor Invoices'!G88,""),0)</f>
        <v>0</v>
      </c>
      <c r="K88" s="72">
        <f>IFERROR(_xlfn.XLOOKUP(B88,'Payment HIstory'!$D:$D,'Payment HIstory'!$F:$F),0)</f>
        <v>0</v>
      </c>
      <c r="L88" s="1" t="str">
        <f t="shared" si="6"/>
        <v>Outstanding</v>
      </c>
      <c r="M88" s="72">
        <f t="shared" si="8"/>
        <v>47617</v>
      </c>
      <c r="N88" s="72">
        <f>IF(L88="Outstanding",($C$3-E88)*_xlfn.XLOOKUP(C88,'Vendor Details'!$B:$B,'Vendor Details'!$F:$F)*'Vendor Invoices'!G88,0)</f>
        <v>1466.6035999999997</v>
      </c>
      <c r="O88" s="77">
        <f t="shared" si="9"/>
        <v>49083.603600000002</v>
      </c>
      <c r="P88" s="70">
        <f t="shared" si="7"/>
        <v>56</v>
      </c>
      <c r="Q88" s="1" t="str" cm="1">
        <f t="array" ref="Q88">IF(L88="Outstanding",_xlfn.XLOOKUP(1,(P88&gt;='Aging Schedule'!$B$18:$B$22)*(P88&lt;='Aging Schedule'!$C$18:$C$22),'Aging Schedule'!$D$18:$D$22),"")</f>
        <v>46-60 Days</v>
      </c>
      <c r="R88" s="1" t="str">
        <f>IF(L88="Outstanding",VLOOKUP(P88,'Aging Schedule'!$B$18:$D$22,3),"")</f>
        <v>46-60 Days</v>
      </c>
      <c r="S88" s="77">
        <f t="shared" si="10"/>
        <v>1466.6035999999997</v>
      </c>
    </row>
    <row r="89" spans="2:19" x14ac:dyDescent="0.25">
      <c r="B89" s="1" t="s">
        <v>140</v>
      </c>
      <c r="C89" s="1" t="s">
        <v>37</v>
      </c>
      <c r="D89" s="43">
        <v>45124</v>
      </c>
      <c r="E89" s="43">
        <v>45193</v>
      </c>
      <c r="F89" s="1" t="s">
        <v>18</v>
      </c>
      <c r="G89" s="72">
        <v>82323</v>
      </c>
      <c r="I89" s="67">
        <v>45214</v>
      </c>
      <c r="J89" s="73">
        <f>IFERROR(IF(I89&gt;E89,(I89-E89)*_xlfn.XLOOKUP(C89,'Vendor Details'!$B$4:$B$33,'Vendor Details'!$F$4:$F$33)*'Vendor Invoices'!G89,""),0)</f>
        <v>950.83064999999976</v>
      </c>
      <c r="K89" s="72">
        <f>IFERROR(_xlfn.XLOOKUP(B89,'Payment HIstory'!$D:$D,'Payment HIstory'!$F:$F),0)</f>
        <v>83273.830650000004</v>
      </c>
      <c r="L89" s="1" t="str">
        <f t="shared" si="6"/>
        <v>Paid</v>
      </c>
      <c r="M89" s="72">
        <f t="shared" si="8"/>
        <v>0</v>
      </c>
      <c r="N89" s="72">
        <f>IF(L89="Outstanding",($C$3-E89)*_xlfn.XLOOKUP(C89,'Vendor Details'!$B:$B,'Vendor Details'!$F:$F)*'Vendor Invoices'!G89,0)</f>
        <v>0</v>
      </c>
      <c r="O89" s="77">
        <f t="shared" si="9"/>
        <v>0</v>
      </c>
      <c r="P89" s="70" t="str">
        <f t="shared" si="7"/>
        <v/>
      </c>
      <c r="Q89" s="1" t="str" cm="1">
        <f t="array" ref="Q89">IF(L89="Outstanding",_xlfn.XLOOKUP(1,(P89&gt;='Aging Schedule'!$B$18:$B$22)*(P89&lt;='Aging Schedule'!$C$18:$C$22),'Aging Schedule'!$D$18:$D$22),"")</f>
        <v/>
      </c>
      <c r="R89" s="1" t="str">
        <f>IF(L89="Outstanding",VLOOKUP(P89,'Aging Schedule'!$B$18:$D$22,3),"")</f>
        <v/>
      </c>
      <c r="S89" s="77">
        <f t="shared" si="10"/>
        <v>950.83064999999976</v>
      </c>
    </row>
    <row r="90" spans="2:19" x14ac:dyDescent="0.25">
      <c r="B90" s="1" t="s">
        <v>141</v>
      </c>
      <c r="C90" s="1" t="s">
        <v>42</v>
      </c>
      <c r="D90" s="43">
        <v>45095</v>
      </c>
      <c r="E90" s="43">
        <v>45207</v>
      </c>
      <c r="F90" s="1" t="s">
        <v>18</v>
      </c>
      <c r="G90" s="72">
        <v>62380</v>
      </c>
      <c r="I90" s="67">
        <v>45207</v>
      </c>
      <c r="J90" s="73" t="str">
        <f>IFERROR(IF(I90&gt;E90,(I90-E90)*_xlfn.XLOOKUP(C90,'Vendor Details'!$B$4:$B$33,'Vendor Details'!$F$4:$F$33)*'Vendor Invoices'!G90,""),0)</f>
        <v/>
      </c>
      <c r="K90" s="72">
        <f>IFERROR(_xlfn.XLOOKUP(B90,'Payment HIstory'!$D:$D,'Payment HIstory'!$F:$F),0)</f>
        <v>62380</v>
      </c>
      <c r="L90" s="1" t="str">
        <f t="shared" si="6"/>
        <v>Paid</v>
      </c>
      <c r="M90" s="72">
        <f t="shared" si="8"/>
        <v>0</v>
      </c>
      <c r="N90" s="72">
        <f>IF(L90="Outstanding",($C$3-E90)*_xlfn.XLOOKUP(C90,'Vendor Details'!$B:$B,'Vendor Details'!$F:$F)*'Vendor Invoices'!G90,0)</f>
        <v>0</v>
      </c>
      <c r="O90" s="77">
        <f t="shared" si="9"/>
        <v>0</v>
      </c>
      <c r="P90" s="70" t="str">
        <f t="shared" si="7"/>
        <v/>
      </c>
      <c r="Q90" s="1" t="str" cm="1">
        <f t="array" ref="Q90">IF(L90="Outstanding",_xlfn.XLOOKUP(1,(P90&gt;='Aging Schedule'!$B$18:$B$22)*(P90&lt;='Aging Schedule'!$C$18:$C$22),'Aging Schedule'!$D$18:$D$22),"")</f>
        <v/>
      </c>
      <c r="R90" s="1" t="str">
        <f>IF(L90="Outstanding",VLOOKUP(P90,'Aging Schedule'!$B$18:$D$22,3),"")</f>
        <v/>
      </c>
      <c r="S90" s="77">
        <f t="shared" si="10"/>
        <v>0</v>
      </c>
    </row>
    <row r="91" spans="2:19" x14ac:dyDescent="0.25">
      <c r="B91" s="1" t="s">
        <v>142</v>
      </c>
      <c r="C91" s="1" t="s">
        <v>39</v>
      </c>
      <c r="D91" s="43">
        <v>45259</v>
      </c>
      <c r="E91" s="43">
        <v>45289</v>
      </c>
      <c r="F91" s="1" t="s">
        <v>20</v>
      </c>
      <c r="G91" s="72">
        <v>80545</v>
      </c>
      <c r="I91" s="67" t="str">
        <v/>
      </c>
      <c r="J91" s="73">
        <f>IFERROR(IF(I91&gt;E91,(I91-E91)*_xlfn.XLOOKUP(C91,'Vendor Details'!$B$4:$B$33,'Vendor Details'!$F$4:$F$33)*'Vendor Invoices'!G91,""),0)</f>
        <v>0</v>
      </c>
      <c r="K91" s="72">
        <f>IFERROR(_xlfn.XLOOKUP(B91,'Payment HIstory'!$D:$D,'Payment HIstory'!$F:$F),0)</f>
        <v>0</v>
      </c>
      <c r="L91" s="1" t="str">
        <f t="shared" si="6"/>
        <v>Outstanding</v>
      </c>
      <c r="M91" s="72">
        <f t="shared" si="8"/>
        <v>80545</v>
      </c>
      <c r="N91" s="72">
        <f>IF(L91="Outstanding",($C$3-E91)*_xlfn.XLOOKUP(C91,'Vendor Details'!$B:$B,'Vendor Details'!$F:$F)*'Vendor Invoices'!G91,0)</f>
        <v>531.59699999999998</v>
      </c>
      <c r="O91" s="77">
        <f t="shared" si="9"/>
        <v>81076.596999999994</v>
      </c>
      <c r="P91" s="70">
        <f t="shared" si="7"/>
        <v>12</v>
      </c>
      <c r="Q91" s="1" t="str" cm="1">
        <f t="array" ref="Q91">IF(L91="Outstanding",_xlfn.XLOOKUP(1,(P91&gt;='Aging Schedule'!$B$18:$B$22)*(P91&lt;='Aging Schedule'!$C$18:$C$22),'Aging Schedule'!$D$18:$D$22),"")</f>
        <v>0-30 Days</v>
      </c>
      <c r="R91" s="1" t="str">
        <f>IF(L91="Outstanding",VLOOKUP(P91,'Aging Schedule'!$B$18:$D$22,3),"")</f>
        <v>0-30 Days</v>
      </c>
      <c r="S91" s="77">
        <f t="shared" si="10"/>
        <v>531.59699999999998</v>
      </c>
    </row>
    <row r="92" spans="2:19" x14ac:dyDescent="0.25">
      <c r="B92" s="1" t="s">
        <v>143</v>
      </c>
      <c r="C92" s="1" t="s">
        <v>37</v>
      </c>
      <c r="D92" s="43">
        <v>44963</v>
      </c>
      <c r="E92" s="43">
        <v>45037</v>
      </c>
      <c r="F92" s="1" t="s">
        <v>19</v>
      </c>
      <c r="G92" s="72">
        <v>43374</v>
      </c>
      <c r="I92" s="67">
        <v>45037</v>
      </c>
      <c r="J92" s="73" t="str">
        <f>IFERROR(IF(I92&gt;E92,(I92-E92)*_xlfn.XLOOKUP(C92,'Vendor Details'!$B$4:$B$33,'Vendor Details'!$F$4:$F$33)*'Vendor Invoices'!G92,""),0)</f>
        <v/>
      </c>
      <c r="K92" s="72">
        <f>IFERROR(_xlfn.XLOOKUP(B92,'Payment HIstory'!$D:$D,'Payment HIstory'!$F:$F),0)</f>
        <v>43374</v>
      </c>
      <c r="L92" s="1" t="str">
        <f t="shared" si="6"/>
        <v>Paid</v>
      </c>
      <c r="M92" s="72">
        <f t="shared" si="8"/>
        <v>0</v>
      </c>
      <c r="N92" s="72">
        <f>IF(L92="Outstanding",($C$3-E92)*_xlfn.XLOOKUP(C92,'Vendor Details'!$B:$B,'Vendor Details'!$F:$F)*'Vendor Invoices'!G92,0)</f>
        <v>0</v>
      </c>
      <c r="O92" s="77">
        <f t="shared" si="9"/>
        <v>0</v>
      </c>
      <c r="P92" s="70" t="str">
        <f t="shared" si="7"/>
        <v/>
      </c>
      <c r="Q92" s="1" t="str" cm="1">
        <f t="array" ref="Q92">IF(L92="Outstanding",_xlfn.XLOOKUP(1,(P92&gt;='Aging Schedule'!$B$18:$B$22)*(P92&lt;='Aging Schedule'!$C$18:$C$22),'Aging Schedule'!$D$18:$D$22),"")</f>
        <v/>
      </c>
      <c r="R92" s="1" t="str">
        <f>IF(L92="Outstanding",VLOOKUP(P92,'Aging Schedule'!$B$18:$D$22,3),"")</f>
        <v/>
      </c>
      <c r="S92" s="77">
        <f t="shared" si="10"/>
        <v>0</v>
      </c>
    </row>
    <row r="93" spans="2:19" x14ac:dyDescent="0.25">
      <c r="B93" s="1" t="s">
        <v>144</v>
      </c>
      <c r="C93" s="1" t="s">
        <v>42</v>
      </c>
      <c r="D93" s="43">
        <v>45215</v>
      </c>
      <c r="E93" s="43">
        <v>45245</v>
      </c>
      <c r="F93" s="1" t="s">
        <v>18</v>
      </c>
      <c r="G93" s="72">
        <v>95968</v>
      </c>
      <c r="I93" s="67" t="str">
        <v/>
      </c>
      <c r="J93" s="73">
        <f>IFERROR(IF(I93&gt;E93,(I93-E93)*_xlfn.XLOOKUP(C93,'Vendor Details'!$B$4:$B$33,'Vendor Details'!$F$4:$F$33)*'Vendor Invoices'!G93,""),0)</f>
        <v>0</v>
      </c>
      <c r="K93" s="72">
        <f>IFERROR(_xlfn.XLOOKUP(B93,'Payment HIstory'!$D:$D,'Payment HIstory'!$F:$F),0)</f>
        <v>0</v>
      </c>
      <c r="L93" s="1" t="str">
        <f t="shared" si="6"/>
        <v>Outstanding</v>
      </c>
      <c r="M93" s="72">
        <f t="shared" si="8"/>
        <v>95968</v>
      </c>
      <c r="N93" s="72">
        <f>IF(L93="Outstanding",($C$3-E93)*_xlfn.XLOOKUP(C93,'Vendor Details'!$B:$B,'Vendor Details'!$F:$F)*'Vendor Invoices'!G93,0)</f>
        <v>1612.2624000000003</v>
      </c>
      <c r="O93" s="77">
        <f t="shared" si="9"/>
        <v>97580.262400000007</v>
      </c>
      <c r="P93" s="70">
        <f t="shared" si="7"/>
        <v>56</v>
      </c>
      <c r="Q93" s="1" t="str" cm="1">
        <f t="array" ref="Q93">IF(L93="Outstanding",_xlfn.XLOOKUP(1,(P93&gt;='Aging Schedule'!$B$18:$B$22)*(P93&lt;='Aging Schedule'!$C$18:$C$22),'Aging Schedule'!$D$18:$D$22),"")</f>
        <v>46-60 Days</v>
      </c>
      <c r="R93" s="1" t="str">
        <f>IF(L93="Outstanding",VLOOKUP(P93,'Aging Schedule'!$B$18:$D$22,3),"")</f>
        <v>46-60 Days</v>
      </c>
      <c r="S93" s="77">
        <f t="shared" si="10"/>
        <v>1612.2624000000003</v>
      </c>
    </row>
    <row r="94" spans="2:19" x14ac:dyDescent="0.25">
      <c r="B94" s="1" t="s">
        <v>145</v>
      </c>
      <c r="C94" s="1" t="s">
        <v>40</v>
      </c>
      <c r="D94" s="43">
        <v>44834</v>
      </c>
      <c r="E94" s="43">
        <v>44941</v>
      </c>
      <c r="F94" s="1" t="s">
        <v>20</v>
      </c>
      <c r="G94" s="72">
        <v>95097</v>
      </c>
      <c r="I94" s="67">
        <v>44941</v>
      </c>
      <c r="J94" s="73" t="str">
        <f>IFERROR(IF(I94&gt;E94,(I94-E94)*_xlfn.XLOOKUP(C94,'Vendor Details'!$B$4:$B$33,'Vendor Details'!$F$4:$F$33)*'Vendor Invoices'!G94,""),0)</f>
        <v/>
      </c>
      <c r="K94" s="72">
        <f>IFERROR(_xlfn.XLOOKUP(B94,'Payment HIstory'!$D:$D,'Payment HIstory'!$F:$F),0)</f>
        <v>88440.21</v>
      </c>
      <c r="L94" s="1" t="str">
        <f t="shared" si="6"/>
        <v>Outstanding</v>
      </c>
      <c r="M94" s="72">
        <f t="shared" si="8"/>
        <v>6656.7899999999936</v>
      </c>
      <c r="N94" s="72">
        <f>IF(L94="Outstanding",($C$3-E94)*_xlfn.XLOOKUP(C94,'Vendor Details'!$B:$B,'Vendor Details'!$F:$F)*'Vendor Invoices'!G94,0)</f>
        <v>13693.968000000001</v>
      </c>
      <c r="O94" s="77">
        <f t="shared" si="9"/>
        <v>20350.757999999994</v>
      </c>
      <c r="P94" s="70">
        <f t="shared" si="7"/>
        <v>360</v>
      </c>
      <c r="Q94" s="1" t="str" cm="1">
        <f t="array" ref="Q94">IF(L94="Outstanding",_xlfn.XLOOKUP(1,(P94&gt;='Aging Schedule'!$B$18:$B$22)*(P94&lt;='Aging Schedule'!$C$18:$C$22),'Aging Schedule'!$D$18:$D$22),"")</f>
        <v>91+ Days</v>
      </c>
      <c r="R94" s="1" t="str">
        <f>IF(L94="Outstanding",VLOOKUP(P94,'Aging Schedule'!$B$18:$D$22,3),"")</f>
        <v>91+ Days</v>
      </c>
      <c r="S94" s="77">
        <f t="shared" si="10"/>
        <v>13693.968000000001</v>
      </c>
    </row>
    <row r="95" spans="2:19" x14ac:dyDescent="0.25">
      <c r="B95" s="1" t="s">
        <v>146</v>
      </c>
      <c r="C95" s="1" t="s">
        <v>34</v>
      </c>
      <c r="D95" s="43">
        <v>45140</v>
      </c>
      <c r="E95" s="43">
        <v>45201</v>
      </c>
      <c r="F95" s="1" t="s">
        <v>21</v>
      </c>
      <c r="G95" s="72">
        <v>87463</v>
      </c>
      <c r="I95" s="67">
        <v>45201</v>
      </c>
      <c r="J95" s="73" t="str">
        <f>IFERROR(IF(I95&gt;E95,(I95-E95)*_xlfn.XLOOKUP(C95,'Vendor Details'!$B$4:$B$33,'Vendor Details'!$F$4:$F$33)*'Vendor Invoices'!G95,""),0)</f>
        <v/>
      </c>
      <c r="K95" s="72">
        <f>IFERROR(_xlfn.XLOOKUP(B95,'Payment HIstory'!$D:$D,'Payment HIstory'!$F:$F),0)</f>
        <v>87463</v>
      </c>
      <c r="L95" s="1" t="str">
        <f t="shared" si="6"/>
        <v>Paid</v>
      </c>
      <c r="M95" s="72">
        <f t="shared" si="8"/>
        <v>0</v>
      </c>
      <c r="N95" s="72">
        <f>IF(L95="Outstanding",($C$3-E95)*_xlfn.XLOOKUP(C95,'Vendor Details'!$B:$B,'Vendor Details'!$F:$F)*'Vendor Invoices'!G95,0)</f>
        <v>0</v>
      </c>
      <c r="O95" s="77">
        <f t="shared" si="9"/>
        <v>0</v>
      </c>
      <c r="P95" s="70" t="str">
        <f t="shared" si="7"/>
        <v/>
      </c>
      <c r="Q95" s="1" t="str" cm="1">
        <f t="array" ref="Q95">IF(L95="Outstanding",_xlfn.XLOOKUP(1,(P95&gt;='Aging Schedule'!$B$18:$B$22)*(P95&lt;='Aging Schedule'!$C$18:$C$22),'Aging Schedule'!$D$18:$D$22),"")</f>
        <v/>
      </c>
      <c r="R95" s="1" t="str">
        <f>IF(L95="Outstanding",VLOOKUP(P95,'Aging Schedule'!$B$18:$D$22,3),"")</f>
        <v/>
      </c>
      <c r="S95" s="77">
        <f t="shared" si="10"/>
        <v>0</v>
      </c>
    </row>
    <row r="96" spans="2:19" x14ac:dyDescent="0.25">
      <c r="B96" s="1" t="s">
        <v>147</v>
      </c>
      <c r="C96" s="1" t="s">
        <v>41</v>
      </c>
      <c r="D96" s="43">
        <v>45221</v>
      </c>
      <c r="E96" s="43">
        <v>45251</v>
      </c>
      <c r="F96" s="1" t="s">
        <v>21</v>
      </c>
      <c r="G96" s="72">
        <v>78019</v>
      </c>
      <c r="I96" s="67" t="str">
        <v/>
      </c>
      <c r="J96" s="73">
        <f>IFERROR(IF(I96&gt;E96,(I96-E96)*_xlfn.XLOOKUP(C96,'Vendor Details'!$B$4:$B$33,'Vendor Details'!$F$4:$F$33)*'Vendor Invoices'!G96,""),0)</f>
        <v>0</v>
      </c>
      <c r="K96" s="72">
        <f>IFERROR(_xlfn.XLOOKUP(B96,'Payment HIstory'!$D:$D,'Payment HIstory'!$F:$F),0)</f>
        <v>0</v>
      </c>
      <c r="L96" s="1" t="str">
        <f t="shared" si="6"/>
        <v>Outstanding</v>
      </c>
      <c r="M96" s="72">
        <f t="shared" si="8"/>
        <v>78019</v>
      </c>
      <c r="N96" s="72">
        <f>IF(L96="Outstanding",($C$3-E96)*_xlfn.XLOOKUP(C96,'Vendor Details'!$B:$B,'Vendor Details'!$F:$F)*'Vendor Invoices'!G96,0)</f>
        <v>2145.5224999999996</v>
      </c>
      <c r="O96" s="77">
        <f t="shared" si="9"/>
        <v>80164.522500000006</v>
      </c>
      <c r="P96" s="70">
        <f t="shared" si="7"/>
        <v>50</v>
      </c>
      <c r="Q96" s="1" t="str" cm="1">
        <f t="array" ref="Q96">IF(L96="Outstanding",_xlfn.XLOOKUP(1,(P96&gt;='Aging Schedule'!$B$18:$B$22)*(P96&lt;='Aging Schedule'!$C$18:$C$22),'Aging Schedule'!$D$18:$D$22),"")</f>
        <v>46-60 Days</v>
      </c>
      <c r="R96" s="1" t="str">
        <f>IF(L96="Outstanding",VLOOKUP(P96,'Aging Schedule'!$B$18:$D$22,3),"")</f>
        <v>46-60 Days</v>
      </c>
      <c r="S96" s="77">
        <f t="shared" si="10"/>
        <v>2145.5224999999996</v>
      </c>
    </row>
    <row r="97" spans="2:19" x14ac:dyDescent="0.25">
      <c r="B97" s="1" t="s">
        <v>148</v>
      </c>
      <c r="C97" s="1" t="s">
        <v>38</v>
      </c>
      <c r="D97" s="43">
        <v>45222</v>
      </c>
      <c r="E97" s="43">
        <v>45250</v>
      </c>
      <c r="F97" s="1" t="s">
        <v>18</v>
      </c>
      <c r="G97" s="72">
        <v>98781</v>
      </c>
      <c r="I97" s="67">
        <v>45250</v>
      </c>
      <c r="J97" s="73" t="str">
        <f>IFERROR(IF(I97&gt;E97,(I97-E97)*_xlfn.XLOOKUP(C97,'Vendor Details'!$B$4:$B$33,'Vendor Details'!$F$4:$F$33)*'Vendor Invoices'!G97,""),0)</f>
        <v/>
      </c>
      <c r="K97" s="72">
        <f>IFERROR(_xlfn.XLOOKUP(B97,'Payment HIstory'!$D:$D,'Payment HIstory'!$F:$F),0)</f>
        <v>91866.33</v>
      </c>
      <c r="L97" s="1" t="str">
        <f t="shared" si="6"/>
        <v>Outstanding</v>
      </c>
      <c r="M97" s="72">
        <f t="shared" si="8"/>
        <v>6914.6699999999983</v>
      </c>
      <c r="N97" s="72">
        <f>IF(L97="Outstanding",($C$3-E97)*_xlfn.XLOOKUP(C97,'Vendor Details'!$B:$B,'Vendor Details'!$F:$F)*'Vendor Invoices'!G97,0)</f>
        <v>251.89155000000002</v>
      </c>
      <c r="O97" s="77">
        <f t="shared" si="9"/>
        <v>7166.5615499999985</v>
      </c>
      <c r="P97" s="70">
        <f t="shared" si="7"/>
        <v>51</v>
      </c>
      <c r="Q97" s="1" t="str" cm="1">
        <f t="array" ref="Q97">IF(L97="Outstanding",_xlfn.XLOOKUP(1,(P97&gt;='Aging Schedule'!$B$18:$B$22)*(P97&lt;='Aging Schedule'!$C$18:$C$22),'Aging Schedule'!$D$18:$D$22),"")</f>
        <v>46-60 Days</v>
      </c>
      <c r="R97" s="1" t="str">
        <f>IF(L97="Outstanding",VLOOKUP(P97,'Aging Schedule'!$B$18:$D$22,3),"")</f>
        <v>46-60 Days</v>
      </c>
      <c r="S97" s="77">
        <f t="shared" si="10"/>
        <v>251.89155000000002</v>
      </c>
    </row>
    <row r="98" spans="2:19" x14ac:dyDescent="0.25">
      <c r="B98" s="1" t="s">
        <v>149</v>
      </c>
      <c r="C98" s="1" t="s">
        <v>38</v>
      </c>
      <c r="D98" s="43">
        <v>45166</v>
      </c>
      <c r="E98" s="43">
        <v>45219</v>
      </c>
      <c r="F98" s="1" t="s">
        <v>19</v>
      </c>
      <c r="G98" s="72">
        <v>64450</v>
      </c>
      <c r="I98" s="67">
        <v>45230</v>
      </c>
      <c r="J98" s="73">
        <f>IFERROR(IF(I98&gt;E98,(I98-E98)*_xlfn.XLOOKUP(C98,'Vendor Details'!$B$4:$B$33,'Vendor Details'!$F$4:$F$33)*'Vendor Invoices'!G98,""),0)</f>
        <v>35.447500000000005</v>
      </c>
      <c r="K98" s="72">
        <f>IFERROR(_xlfn.XLOOKUP(B98,'Payment HIstory'!$D:$D,'Payment HIstory'!$F:$F),0)</f>
        <v>61261.175125000002</v>
      </c>
      <c r="L98" s="1" t="str">
        <f t="shared" si="6"/>
        <v>Outstanding</v>
      </c>
      <c r="M98" s="72">
        <f t="shared" si="8"/>
        <v>3188.8248749999984</v>
      </c>
      <c r="N98" s="72">
        <f>IF(L98="Outstanding",($C$3-E98)*_xlfn.XLOOKUP(C98,'Vendor Details'!$B:$B,'Vendor Details'!$F:$F)*'Vendor Invoices'!G98,0)</f>
        <v>264.245</v>
      </c>
      <c r="O98" s="77">
        <f t="shared" si="9"/>
        <v>3453.0698749999983</v>
      </c>
      <c r="P98" s="70">
        <f t="shared" si="7"/>
        <v>82</v>
      </c>
      <c r="Q98" s="1" t="str" cm="1">
        <f t="array" ref="Q98">IF(L98="Outstanding",_xlfn.XLOOKUP(1,(P98&gt;='Aging Schedule'!$B$18:$B$22)*(P98&lt;='Aging Schedule'!$C$18:$C$22),'Aging Schedule'!$D$18:$D$22),"")</f>
        <v>61-90 Days</v>
      </c>
      <c r="R98" s="1" t="str">
        <f>IF(L98="Outstanding",VLOOKUP(P98,'Aging Schedule'!$B$18:$D$22,3),"")</f>
        <v>61-90 Days</v>
      </c>
      <c r="S98" s="77">
        <f t="shared" si="10"/>
        <v>299.6925</v>
      </c>
    </row>
    <row r="99" spans="2:19" x14ac:dyDescent="0.25">
      <c r="B99" s="1" t="s">
        <v>150</v>
      </c>
      <c r="C99" s="1" t="s">
        <v>37</v>
      </c>
      <c r="D99" s="43">
        <v>44948</v>
      </c>
      <c r="E99" s="43">
        <v>45053</v>
      </c>
      <c r="F99" s="1" t="s">
        <v>18</v>
      </c>
      <c r="G99" s="72">
        <v>71530</v>
      </c>
      <c r="I99" s="67">
        <v>45053</v>
      </c>
      <c r="J99" s="73" t="str">
        <f>IFERROR(IF(I99&gt;E99,(I99-E99)*_xlfn.XLOOKUP(C99,'Vendor Details'!$B$4:$B$33,'Vendor Details'!$F$4:$F$33)*'Vendor Invoices'!G99,""),0)</f>
        <v/>
      </c>
      <c r="K99" s="72">
        <f>IFERROR(_xlfn.XLOOKUP(B99,'Payment HIstory'!$D:$D,'Payment HIstory'!$F:$F),0)</f>
        <v>64377</v>
      </c>
      <c r="L99" s="1" t="str">
        <f t="shared" si="6"/>
        <v>Outstanding</v>
      </c>
      <c r="M99" s="72">
        <f t="shared" si="8"/>
        <v>7153</v>
      </c>
      <c r="N99" s="72">
        <f>IF(L99="Outstanding",($C$3-E99)*_xlfn.XLOOKUP(C99,'Vendor Details'!$B:$B,'Vendor Details'!$F:$F)*'Vendor Invoices'!G99,0)</f>
        <v>9756.6919999999991</v>
      </c>
      <c r="O99" s="77">
        <f t="shared" si="9"/>
        <v>16909.691999999999</v>
      </c>
      <c r="P99" s="70">
        <f t="shared" si="7"/>
        <v>248</v>
      </c>
      <c r="Q99" s="1" t="str" cm="1">
        <f t="array" ref="Q99">IF(L99="Outstanding",_xlfn.XLOOKUP(1,(P99&gt;='Aging Schedule'!$B$18:$B$22)*(P99&lt;='Aging Schedule'!$C$18:$C$22),'Aging Schedule'!$D$18:$D$22),"")</f>
        <v>91+ Days</v>
      </c>
      <c r="R99" s="1" t="str">
        <f>IF(L99="Outstanding",VLOOKUP(P99,'Aging Schedule'!$B$18:$D$22,3),"")</f>
        <v>91+ Days</v>
      </c>
      <c r="S99" s="77">
        <f t="shared" si="10"/>
        <v>9756.6919999999991</v>
      </c>
    </row>
    <row r="100" spans="2:19" x14ac:dyDescent="0.25">
      <c r="B100" s="1" t="s">
        <v>151</v>
      </c>
      <c r="C100" s="1" t="s">
        <v>35</v>
      </c>
      <c r="D100" s="43">
        <v>45236</v>
      </c>
      <c r="E100" s="43">
        <v>45266</v>
      </c>
      <c r="F100" s="1" t="s">
        <v>21</v>
      </c>
      <c r="G100" s="72">
        <v>60629</v>
      </c>
      <c r="I100" s="67" t="str">
        <v/>
      </c>
      <c r="J100" s="73">
        <f>IFERROR(IF(I100&gt;E100,(I100-E100)*_xlfn.XLOOKUP(C100,'Vendor Details'!$B$4:$B$33,'Vendor Details'!$F$4:$F$33)*'Vendor Invoices'!G100,""),0)</f>
        <v>0</v>
      </c>
      <c r="K100" s="72">
        <f>IFERROR(_xlfn.XLOOKUP(B100,'Payment HIstory'!$D:$D,'Payment HIstory'!$F:$F),0)</f>
        <v>0</v>
      </c>
      <c r="L100" s="1" t="str">
        <f t="shared" si="6"/>
        <v>Outstanding</v>
      </c>
      <c r="M100" s="72">
        <f t="shared" si="8"/>
        <v>60629</v>
      </c>
      <c r="N100" s="72">
        <f>IF(L100="Outstanding",($C$3-E100)*_xlfn.XLOOKUP(C100,'Vendor Details'!$B:$B,'Vendor Details'!$F:$F)*'Vendor Invoices'!G100,0)</f>
        <v>954.90674999999999</v>
      </c>
      <c r="O100" s="77">
        <f t="shared" si="9"/>
        <v>61583.906750000002</v>
      </c>
      <c r="P100" s="70">
        <f t="shared" si="7"/>
        <v>35</v>
      </c>
      <c r="Q100" s="1" t="str" cm="1">
        <f t="array" ref="Q100">IF(L100="Outstanding",_xlfn.XLOOKUP(1,(P100&gt;='Aging Schedule'!$B$18:$B$22)*(P100&lt;='Aging Schedule'!$C$18:$C$22),'Aging Schedule'!$D$18:$D$22),"")</f>
        <v>31-45 Days</v>
      </c>
      <c r="R100" s="1" t="str">
        <f>IF(L100="Outstanding",VLOOKUP(P100,'Aging Schedule'!$B$18:$D$22,3),"")</f>
        <v>31-45 Days</v>
      </c>
      <c r="S100" s="77">
        <f t="shared" si="10"/>
        <v>954.90674999999999</v>
      </c>
    </row>
    <row r="101" spans="2:19" x14ac:dyDescent="0.25">
      <c r="B101" s="1" t="s">
        <v>152</v>
      </c>
      <c r="C101" s="1" t="s">
        <v>37</v>
      </c>
      <c r="D101" s="43">
        <v>44932</v>
      </c>
      <c r="E101" s="43">
        <v>45028</v>
      </c>
      <c r="F101" s="1" t="s">
        <v>18</v>
      </c>
      <c r="G101" s="72">
        <v>80346</v>
      </c>
      <c r="I101" s="67">
        <v>45028</v>
      </c>
      <c r="J101" s="73" t="str">
        <f>IFERROR(IF(I101&gt;E101,(I101-E101)*_xlfn.XLOOKUP(C101,'Vendor Details'!$B$4:$B$33,'Vendor Details'!$F$4:$F$33)*'Vendor Invoices'!G101,""),0)</f>
        <v/>
      </c>
      <c r="K101" s="72">
        <f>IFERROR(_xlfn.XLOOKUP(B101,'Payment HIstory'!$D:$D,'Payment HIstory'!$F:$F),0)</f>
        <v>80346</v>
      </c>
      <c r="L101" s="1" t="str">
        <f t="shared" si="6"/>
        <v>Paid</v>
      </c>
      <c r="M101" s="72">
        <f t="shared" si="8"/>
        <v>0</v>
      </c>
      <c r="N101" s="72">
        <f>IF(L101="Outstanding",($C$3-E101)*_xlfn.XLOOKUP(C101,'Vendor Details'!$B:$B,'Vendor Details'!$F:$F)*'Vendor Invoices'!G101,0)</f>
        <v>0</v>
      </c>
      <c r="O101" s="77">
        <f t="shared" si="9"/>
        <v>0</v>
      </c>
      <c r="P101" s="70" t="str">
        <f t="shared" si="7"/>
        <v/>
      </c>
      <c r="Q101" s="1" t="str" cm="1">
        <f t="array" ref="Q101">IF(L101="Outstanding",_xlfn.XLOOKUP(1,(P101&gt;='Aging Schedule'!$B$18:$B$22)*(P101&lt;='Aging Schedule'!$C$18:$C$22),'Aging Schedule'!$D$18:$D$22),"")</f>
        <v/>
      </c>
      <c r="R101" s="1" t="str">
        <f>IF(L101="Outstanding",VLOOKUP(P101,'Aging Schedule'!$B$18:$D$22,3),"")</f>
        <v/>
      </c>
      <c r="S101" s="77">
        <f t="shared" si="10"/>
        <v>0</v>
      </c>
    </row>
    <row r="102" spans="2:19" x14ac:dyDescent="0.25">
      <c r="B102" s="1" t="s">
        <v>153</v>
      </c>
      <c r="C102" s="1" t="s">
        <v>36</v>
      </c>
      <c r="D102" s="43">
        <v>45117</v>
      </c>
      <c r="E102" s="43">
        <v>45226</v>
      </c>
      <c r="F102" s="1" t="s">
        <v>18</v>
      </c>
      <c r="G102" s="72">
        <v>53116</v>
      </c>
      <c r="I102" s="67">
        <v>45226</v>
      </c>
      <c r="J102" s="73" t="str">
        <f>IFERROR(IF(I102&gt;E102,(I102-E102)*_xlfn.XLOOKUP(C102,'Vendor Details'!$B$4:$B$33,'Vendor Details'!$F$4:$F$33)*'Vendor Invoices'!G102,""),0)</f>
        <v/>
      </c>
      <c r="K102" s="72">
        <f>IFERROR(_xlfn.XLOOKUP(B102,'Payment HIstory'!$D:$D,'Payment HIstory'!$F:$F),0)</f>
        <v>53116</v>
      </c>
      <c r="L102" s="1" t="str">
        <f t="shared" si="6"/>
        <v>Paid</v>
      </c>
      <c r="M102" s="72">
        <f t="shared" si="8"/>
        <v>0</v>
      </c>
      <c r="N102" s="72">
        <f>IF(L102="Outstanding",($C$3-E102)*_xlfn.XLOOKUP(C102,'Vendor Details'!$B:$B,'Vendor Details'!$F:$F)*'Vendor Invoices'!G102,0)</f>
        <v>0</v>
      </c>
      <c r="O102" s="77">
        <f t="shared" si="9"/>
        <v>0</v>
      </c>
      <c r="P102" s="70" t="str">
        <f t="shared" ref="P102:P133" si="11">IF(L102="Outstanding",$C$3-E102,"")</f>
        <v/>
      </c>
      <c r="Q102" s="1" t="str" cm="1">
        <f t="array" ref="Q102">IF(L102="Outstanding",_xlfn.XLOOKUP(1,(P102&gt;='Aging Schedule'!$B$18:$B$22)*(P102&lt;='Aging Schedule'!$C$18:$C$22),'Aging Schedule'!$D$18:$D$22),"")</f>
        <v/>
      </c>
      <c r="R102" s="1" t="str">
        <f>IF(L102="Outstanding",VLOOKUP(P102,'Aging Schedule'!$B$18:$D$22,3),"")</f>
        <v/>
      </c>
      <c r="S102" s="77">
        <f t="shared" si="10"/>
        <v>0</v>
      </c>
    </row>
    <row r="103" spans="2:19" x14ac:dyDescent="0.25">
      <c r="B103" s="1" t="s">
        <v>154</v>
      </c>
      <c r="C103" s="1" t="s">
        <v>40</v>
      </c>
      <c r="D103" s="43">
        <v>45117</v>
      </c>
      <c r="E103" s="43">
        <v>45135</v>
      </c>
      <c r="F103" s="1" t="s">
        <v>21</v>
      </c>
      <c r="G103" s="72">
        <v>87263</v>
      </c>
      <c r="I103" s="67">
        <v>45135</v>
      </c>
      <c r="J103" s="73" t="str">
        <f>IFERROR(IF(I103&gt;E103,(I103-E103)*_xlfn.XLOOKUP(C103,'Vendor Details'!$B$4:$B$33,'Vendor Details'!$F$4:$F$33)*'Vendor Invoices'!G103,""),0)</f>
        <v/>
      </c>
      <c r="K103" s="72">
        <f>IFERROR(_xlfn.XLOOKUP(B103,'Payment HIstory'!$D:$D,'Payment HIstory'!$F:$F),0)</f>
        <v>87263</v>
      </c>
      <c r="L103" s="1" t="str">
        <f t="shared" si="6"/>
        <v>Paid</v>
      </c>
      <c r="M103" s="72">
        <f t="shared" si="8"/>
        <v>0</v>
      </c>
      <c r="N103" s="72">
        <f>IF(L103="Outstanding",($C$3-E103)*_xlfn.XLOOKUP(C103,'Vendor Details'!$B:$B,'Vendor Details'!$F:$F)*'Vendor Invoices'!G103,0)</f>
        <v>0</v>
      </c>
      <c r="O103" s="77">
        <f t="shared" si="9"/>
        <v>0</v>
      </c>
      <c r="P103" s="70" t="str">
        <f t="shared" si="11"/>
        <v/>
      </c>
      <c r="Q103" s="1" t="str" cm="1">
        <f t="array" ref="Q103">IF(L103="Outstanding",_xlfn.XLOOKUP(1,(P103&gt;='Aging Schedule'!$B$18:$B$22)*(P103&lt;='Aging Schedule'!$C$18:$C$22),'Aging Schedule'!$D$18:$D$22),"")</f>
        <v/>
      </c>
      <c r="R103" s="1" t="str">
        <f>IF(L103="Outstanding",VLOOKUP(P103,'Aging Schedule'!$B$18:$D$22,3),"")</f>
        <v/>
      </c>
      <c r="S103" s="77">
        <f t="shared" si="10"/>
        <v>0</v>
      </c>
    </row>
    <row r="104" spans="2:19" x14ac:dyDescent="0.25">
      <c r="B104" s="1" t="s">
        <v>155</v>
      </c>
      <c r="C104" s="1" t="s">
        <v>39</v>
      </c>
      <c r="D104" s="43">
        <v>45159</v>
      </c>
      <c r="E104" s="43">
        <v>45197</v>
      </c>
      <c r="F104" s="1" t="s">
        <v>18</v>
      </c>
      <c r="G104" s="72">
        <v>41885</v>
      </c>
      <c r="I104" s="67">
        <v>45197</v>
      </c>
      <c r="J104" s="73" t="str">
        <f>IFERROR(IF(I104&gt;E104,(I104-E104)*_xlfn.XLOOKUP(C104,'Vendor Details'!$B$4:$B$33,'Vendor Details'!$F$4:$F$33)*'Vendor Invoices'!G104,""),0)</f>
        <v/>
      </c>
      <c r="K104" s="72">
        <f>IFERROR(_xlfn.XLOOKUP(B104,'Payment HIstory'!$D:$D,'Payment HIstory'!$F:$F),0)</f>
        <v>41885</v>
      </c>
      <c r="L104" s="1" t="str">
        <f t="shared" si="6"/>
        <v>Paid</v>
      </c>
      <c r="M104" s="72">
        <f t="shared" si="8"/>
        <v>0</v>
      </c>
      <c r="N104" s="72">
        <f>IF(L104="Outstanding",($C$3-E104)*_xlfn.XLOOKUP(C104,'Vendor Details'!$B:$B,'Vendor Details'!$F:$F)*'Vendor Invoices'!G104,0)</f>
        <v>0</v>
      </c>
      <c r="O104" s="77">
        <f t="shared" si="9"/>
        <v>0</v>
      </c>
      <c r="P104" s="70" t="str">
        <f t="shared" si="11"/>
        <v/>
      </c>
      <c r="Q104" s="1" t="str" cm="1">
        <f t="array" ref="Q104">IF(L104="Outstanding",_xlfn.XLOOKUP(1,(P104&gt;='Aging Schedule'!$B$18:$B$22)*(P104&lt;='Aging Schedule'!$C$18:$C$22),'Aging Schedule'!$D$18:$D$22),"")</f>
        <v/>
      </c>
      <c r="R104" s="1" t="str">
        <f>IF(L104="Outstanding",VLOOKUP(P104,'Aging Schedule'!$B$18:$D$22,3),"")</f>
        <v/>
      </c>
      <c r="S104" s="77">
        <f t="shared" si="10"/>
        <v>0</v>
      </c>
    </row>
    <row r="105" spans="2:19" x14ac:dyDescent="0.25">
      <c r="B105" s="1" t="s">
        <v>156</v>
      </c>
      <c r="C105" s="1" t="s">
        <v>37</v>
      </c>
      <c r="D105" s="43">
        <v>45179</v>
      </c>
      <c r="E105" s="43">
        <v>45271</v>
      </c>
      <c r="F105" s="1" t="s">
        <v>20</v>
      </c>
      <c r="G105" s="72">
        <v>117363</v>
      </c>
      <c r="I105" s="67">
        <v>45271</v>
      </c>
      <c r="J105" s="73" t="str">
        <f>IFERROR(IF(I105&gt;E105,(I105-E105)*_xlfn.XLOOKUP(C105,'Vendor Details'!$B$4:$B$33,'Vendor Details'!$F$4:$F$33)*'Vendor Invoices'!G105,""),0)</f>
        <v/>
      </c>
      <c r="K105" s="72">
        <f>IFERROR(_xlfn.XLOOKUP(B105,'Payment HIstory'!$D:$D,'Payment HIstory'!$F:$F),0)</f>
        <v>117363</v>
      </c>
      <c r="L105" s="1" t="str">
        <f t="shared" si="6"/>
        <v>Paid</v>
      </c>
      <c r="M105" s="72">
        <f t="shared" si="8"/>
        <v>0</v>
      </c>
      <c r="N105" s="72">
        <f>IF(L105="Outstanding",($C$3-E105)*_xlfn.XLOOKUP(C105,'Vendor Details'!$B:$B,'Vendor Details'!$F:$F)*'Vendor Invoices'!G105,0)</f>
        <v>0</v>
      </c>
      <c r="O105" s="77">
        <f t="shared" si="9"/>
        <v>0</v>
      </c>
      <c r="P105" s="70" t="str">
        <f t="shared" si="11"/>
        <v/>
      </c>
      <c r="Q105" s="1" t="str" cm="1">
        <f t="array" ref="Q105">IF(L105="Outstanding",_xlfn.XLOOKUP(1,(P105&gt;='Aging Schedule'!$B$18:$B$22)*(P105&lt;='Aging Schedule'!$C$18:$C$22),'Aging Schedule'!$D$18:$D$22),"")</f>
        <v/>
      </c>
      <c r="R105" s="1" t="str">
        <f>IF(L105="Outstanding",VLOOKUP(P105,'Aging Schedule'!$B$18:$D$22,3),"")</f>
        <v/>
      </c>
      <c r="S105" s="77">
        <f t="shared" si="10"/>
        <v>0</v>
      </c>
    </row>
    <row r="106" spans="2:19" x14ac:dyDescent="0.25">
      <c r="B106" s="1" t="s">
        <v>157</v>
      </c>
      <c r="C106" s="1" t="s">
        <v>35</v>
      </c>
      <c r="D106" s="43">
        <v>45018</v>
      </c>
      <c r="E106" s="43">
        <v>45070</v>
      </c>
      <c r="F106" s="1" t="s">
        <v>20</v>
      </c>
      <c r="G106" s="72">
        <v>101624</v>
      </c>
      <c r="I106" s="67">
        <v>45070</v>
      </c>
      <c r="J106" s="73" t="str">
        <f>IFERROR(IF(I106&gt;E106,(I106-E106)*_xlfn.XLOOKUP(C106,'Vendor Details'!$B$4:$B$33,'Vendor Details'!$F$4:$F$33)*'Vendor Invoices'!G106,""),0)</f>
        <v/>
      </c>
      <c r="K106" s="72">
        <f>IFERROR(_xlfn.XLOOKUP(B106,'Payment HIstory'!$D:$D,'Payment HIstory'!$F:$F),0)</f>
        <v>101624</v>
      </c>
      <c r="L106" s="1" t="str">
        <f t="shared" si="6"/>
        <v>Paid</v>
      </c>
      <c r="M106" s="72">
        <f t="shared" si="8"/>
        <v>0</v>
      </c>
      <c r="N106" s="72">
        <f>IF(L106="Outstanding",($C$3-E106)*_xlfn.XLOOKUP(C106,'Vendor Details'!$B:$B,'Vendor Details'!$F:$F)*'Vendor Invoices'!G106,0)</f>
        <v>0</v>
      </c>
      <c r="O106" s="77">
        <f t="shared" si="9"/>
        <v>0</v>
      </c>
      <c r="P106" s="70" t="str">
        <f t="shared" si="11"/>
        <v/>
      </c>
      <c r="Q106" s="1" t="str" cm="1">
        <f t="array" ref="Q106">IF(L106="Outstanding",_xlfn.XLOOKUP(1,(P106&gt;='Aging Schedule'!$B$18:$B$22)*(P106&lt;='Aging Schedule'!$C$18:$C$22),'Aging Schedule'!$D$18:$D$22),"")</f>
        <v/>
      </c>
      <c r="R106" s="1" t="str">
        <f>IF(L106="Outstanding",VLOOKUP(P106,'Aging Schedule'!$B$18:$D$22,3),"")</f>
        <v/>
      </c>
      <c r="S106" s="77">
        <f t="shared" si="10"/>
        <v>0</v>
      </c>
    </row>
    <row r="107" spans="2:19" x14ac:dyDescent="0.25">
      <c r="B107" s="1" t="s">
        <v>158</v>
      </c>
      <c r="C107" s="1" t="s">
        <v>37</v>
      </c>
      <c r="D107" s="43">
        <v>45201</v>
      </c>
      <c r="E107" s="43">
        <v>45217</v>
      </c>
      <c r="F107" s="1" t="s">
        <v>19</v>
      </c>
      <c r="G107" s="72">
        <v>46395</v>
      </c>
      <c r="I107" s="67">
        <v>45245</v>
      </c>
      <c r="J107" s="73">
        <f>IFERROR(IF(I107&gt;E107,(I107-E107)*_xlfn.XLOOKUP(C107,'Vendor Details'!$B$4:$B$33,'Vendor Details'!$F$4:$F$33)*'Vendor Invoices'!G107,""),0)</f>
        <v>714.48299999999983</v>
      </c>
      <c r="K107" s="72">
        <f>IFERROR(_xlfn.XLOOKUP(B107,'Payment HIstory'!$D:$D,'Payment HIstory'!$F:$F),0)</f>
        <v>47109.483</v>
      </c>
      <c r="L107" s="1" t="str">
        <f t="shared" si="6"/>
        <v>Paid</v>
      </c>
      <c r="M107" s="72">
        <f t="shared" si="8"/>
        <v>0</v>
      </c>
      <c r="N107" s="72">
        <f>IF(L107="Outstanding",($C$3-E107)*_xlfn.XLOOKUP(C107,'Vendor Details'!$B:$B,'Vendor Details'!$F:$F)*'Vendor Invoices'!G107,0)</f>
        <v>0</v>
      </c>
      <c r="O107" s="77">
        <f t="shared" si="9"/>
        <v>0</v>
      </c>
      <c r="P107" s="70" t="str">
        <f t="shared" si="11"/>
        <v/>
      </c>
      <c r="Q107" s="1" t="str" cm="1">
        <f t="array" ref="Q107">IF(L107="Outstanding",_xlfn.XLOOKUP(1,(P107&gt;='Aging Schedule'!$B$18:$B$22)*(P107&lt;='Aging Schedule'!$C$18:$C$22),'Aging Schedule'!$D$18:$D$22),"")</f>
        <v/>
      </c>
      <c r="R107" s="1" t="str">
        <f>IF(L107="Outstanding",VLOOKUP(P107,'Aging Schedule'!$B$18:$D$22,3),"")</f>
        <v/>
      </c>
      <c r="S107" s="77">
        <f t="shared" si="10"/>
        <v>714.48299999999983</v>
      </c>
    </row>
    <row r="108" spans="2:19" x14ac:dyDescent="0.25">
      <c r="B108" s="1" t="s">
        <v>159</v>
      </c>
      <c r="C108" s="1" t="s">
        <v>34</v>
      </c>
      <c r="D108" s="43">
        <v>44899</v>
      </c>
      <c r="E108" s="43">
        <v>45008</v>
      </c>
      <c r="F108" s="1" t="s">
        <v>19</v>
      </c>
      <c r="G108" s="72">
        <v>50692</v>
      </c>
      <c r="I108" s="67">
        <v>45037</v>
      </c>
      <c r="J108" s="73">
        <f>IFERROR(IF(I108&gt;E108,(I108-E108)*_xlfn.XLOOKUP(C108,'Vendor Details'!$B$4:$B$33,'Vendor Details'!$F$4:$F$33)*'Vendor Invoices'!G108,""),0)</f>
        <v>29401.359999999997</v>
      </c>
      <c r="K108" s="72">
        <f>IFERROR(_xlfn.XLOOKUP(B108,'Payment HIstory'!$D:$D,'Payment HIstory'!$F:$F),0)</f>
        <v>51353.530599999998</v>
      </c>
      <c r="L108" s="1" t="str">
        <f t="shared" si="6"/>
        <v>Outstanding</v>
      </c>
      <c r="M108" s="72">
        <f t="shared" si="8"/>
        <v>-661.53059999999823</v>
      </c>
      <c r="N108" s="72">
        <f>IF(L108="Outstanding",($C$3-E108)*_xlfn.XLOOKUP(C108,'Vendor Details'!$B:$B,'Vendor Details'!$F:$F)*'Vendor Invoices'!G108,0)</f>
        <v>297055.12</v>
      </c>
      <c r="O108" s="77">
        <f t="shared" si="9"/>
        <v>296393.5894</v>
      </c>
      <c r="P108" s="70">
        <f t="shared" si="11"/>
        <v>293</v>
      </c>
      <c r="Q108" s="1" t="str" cm="1">
        <f t="array" ref="Q108">IF(L108="Outstanding",_xlfn.XLOOKUP(1,(P108&gt;='Aging Schedule'!$B$18:$B$22)*(P108&lt;='Aging Schedule'!$C$18:$C$22),'Aging Schedule'!$D$18:$D$22),"")</f>
        <v>91+ Days</v>
      </c>
      <c r="R108" s="1" t="str">
        <f>IF(L108="Outstanding",VLOOKUP(P108,'Aging Schedule'!$B$18:$D$22,3),"")</f>
        <v>91+ Days</v>
      </c>
      <c r="S108" s="77">
        <f t="shared" si="10"/>
        <v>326456.48</v>
      </c>
    </row>
    <row r="109" spans="2:19" x14ac:dyDescent="0.25">
      <c r="B109" s="1" t="s">
        <v>160</v>
      </c>
      <c r="C109" s="1" t="s">
        <v>41</v>
      </c>
      <c r="D109" s="43">
        <v>45074</v>
      </c>
      <c r="E109" s="43">
        <v>45126</v>
      </c>
      <c r="F109" s="1" t="s">
        <v>19</v>
      </c>
      <c r="G109" s="72">
        <v>32563</v>
      </c>
      <c r="I109" s="67">
        <v>45126</v>
      </c>
      <c r="J109" s="73" t="str">
        <f>IFERROR(IF(I109&gt;E109,(I109-E109)*_xlfn.XLOOKUP(C109,'Vendor Details'!$B$4:$B$33,'Vendor Details'!$F$4:$F$33)*'Vendor Invoices'!G109,""),0)</f>
        <v/>
      </c>
      <c r="K109" s="72">
        <f>IFERROR(_xlfn.XLOOKUP(B109,'Payment HIstory'!$D:$D,'Payment HIstory'!$F:$F),0)</f>
        <v>32563</v>
      </c>
      <c r="L109" s="1" t="str">
        <f t="shared" si="6"/>
        <v>Paid</v>
      </c>
      <c r="M109" s="72">
        <f t="shared" si="8"/>
        <v>0</v>
      </c>
      <c r="N109" s="72">
        <f>IF(L109="Outstanding",($C$3-E109)*_xlfn.XLOOKUP(C109,'Vendor Details'!$B:$B,'Vendor Details'!$F:$F)*'Vendor Invoices'!G109,0)</f>
        <v>0</v>
      </c>
      <c r="O109" s="77">
        <f t="shared" si="9"/>
        <v>0</v>
      </c>
      <c r="P109" s="70" t="str">
        <f t="shared" si="11"/>
        <v/>
      </c>
      <c r="Q109" s="1" t="str" cm="1">
        <f t="array" ref="Q109">IF(L109="Outstanding",_xlfn.XLOOKUP(1,(P109&gt;='Aging Schedule'!$B$18:$B$22)*(P109&lt;='Aging Schedule'!$C$18:$C$22),'Aging Schedule'!$D$18:$D$22),"")</f>
        <v/>
      </c>
      <c r="R109" s="1" t="str">
        <f>IF(L109="Outstanding",VLOOKUP(P109,'Aging Schedule'!$B$18:$D$22,3),"")</f>
        <v/>
      </c>
      <c r="S109" s="77">
        <f t="shared" si="10"/>
        <v>0</v>
      </c>
    </row>
    <row r="110" spans="2:19" x14ac:dyDescent="0.25">
      <c r="B110" s="1" t="s">
        <v>161</v>
      </c>
      <c r="C110" s="1" t="s">
        <v>40</v>
      </c>
      <c r="D110" s="43">
        <v>45107</v>
      </c>
      <c r="E110" s="43">
        <v>45143</v>
      </c>
      <c r="F110" s="1" t="s">
        <v>18</v>
      </c>
      <c r="G110" s="72">
        <v>102281</v>
      </c>
      <c r="I110" s="67">
        <v>45143</v>
      </c>
      <c r="J110" s="73" t="str">
        <f>IFERROR(IF(I110&gt;E110,(I110-E110)*_xlfn.XLOOKUP(C110,'Vendor Details'!$B$4:$B$33,'Vendor Details'!$F$4:$F$33)*'Vendor Invoices'!G110,""),0)</f>
        <v/>
      </c>
      <c r="K110" s="72">
        <f>IFERROR(_xlfn.XLOOKUP(B110,'Payment HIstory'!$D:$D,'Payment HIstory'!$F:$F),0)</f>
        <v>102281</v>
      </c>
      <c r="L110" s="1" t="str">
        <f t="shared" si="6"/>
        <v>Paid</v>
      </c>
      <c r="M110" s="72">
        <f t="shared" si="8"/>
        <v>0</v>
      </c>
      <c r="N110" s="72">
        <f>IF(L110="Outstanding",($C$3-E110)*_xlfn.XLOOKUP(C110,'Vendor Details'!$B:$B,'Vendor Details'!$F:$F)*'Vendor Invoices'!G110,0)</f>
        <v>0</v>
      </c>
      <c r="O110" s="77">
        <f t="shared" si="9"/>
        <v>0</v>
      </c>
      <c r="P110" s="70" t="str">
        <f t="shared" si="11"/>
        <v/>
      </c>
      <c r="Q110" s="1" t="str" cm="1">
        <f t="array" ref="Q110">IF(L110="Outstanding",_xlfn.XLOOKUP(1,(P110&gt;='Aging Schedule'!$B$18:$B$22)*(P110&lt;='Aging Schedule'!$C$18:$C$22),'Aging Schedule'!$D$18:$D$22),"")</f>
        <v/>
      </c>
      <c r="R110" s="1" t="str">
        <f>IF(L110="Outstanding",VLOOKUP(P110,'Aging Schedule'!$B$18:$D$22,3),"")</f>
        <v/>
      </c>
      <c r="S110" s="77">
        <f t="shared" si="10"/>
        <v>0</v>
      </c>
    </row>
    <row r="111" spans="2:19" x14ac:dyDescent="0.25">
      <c r="B111" s="1" t="s">
        <v>162</v>
      </c>
      <c r="C111" s="1" t="s">
        <v>36</v>
      </c>
      <c r="D111" s="43">
        <v>44857</v>
      </c>
      <c r="E111" s="43">
        <v>44974</v>
      </c>
      <c r="F111" s="1" t="s">
        <v>19</v>
      </c>
      <c r="G111" s="72">
        <v>74447</v>
      </c>
      <c r="I111" s="67">
        <v>44974</v>
      </c>
      <c r="J111" s="73" t="str">
        <f>IFERROR(IF(I111&gt;E111,(I111-E111)*_xlfn.XLOOKUP(C111,'Vendor Details'!$B$4:$B$33,'Vendor Details'!$F$4:$F$33)*'Vendor Invoices'!G111,""),0)</f>
        <v/>
      </c>
      <c r="K111" s="72">
        <f>IFERROR(_xlfn.XLOOKUP(B111,'Payment HIstory'!$D:$D,'Payment HIstory'!$F:$F),0)</f>
        <v>68491.240000000005</v>
      </c>
      <c r="L111" s="1" t="str">
        <f t="shared" si="6"/>
        <v>Outstanding</v>
      </c>
      <c r="M111" s="72">
        <f t="shared" si="8"/>
        <v>5955.7599999999948</v>
      </c>
      <c r="N111" s="72">
        <f>IF(L111="Outstanding",($C$3-E111)*_xlfn.XLOOKUP(C111,'Vendor Details'!$B:$B,'Vendor Details'!$F:$F)*'Vendor Invoices'!G111,0)</f>
        <v>19475.335200000001</v>
      </c>
      <c r="O111" s="77">
        <f t="shared" si="9"/>
        <v>25431.095199999996</v>
      </c>
      <c r="P111" s="70">
        <f t="shared" si="11"/>
        <v>327</v>
      </c>
      <c r="Q111" s="1" t="str" cm="1">
        <f t="array" ref="Q111">IF(L111="Outstanding",_xlfn.XLOOKUP(1,(P111&gt;='Aging Schedule'!$B$18:$B$22)*(P111&lt;='Aging Schedule'!$C$18:$C$22),'Aging Schedule'!$D$18:$D$22),"")</f>
        <v>91+ Days</v>
      </c>
      <c r="R111" s="1" t="str">
        <f>IF(L111="Outstanding",VLOOKUP(P111,'Aging Schedule'!$B$18:$D$22,3),"")</f>
        <v>91+ Days</v>
      </c>
      <c r="S111" s="77">
        <f t="shared" si="10"/>
        <v>19475.335200000001</v>
      </c>
    </row>
    <row r="112" spans="2:19" x14ac:dyDescent="0.25">
      <c r="B112" s="1" t="s">
        <v>163</v>
      </c>
      <c r="C112" s="1" t="s">
        <v>39</v>
      </c>
      <c r="D112" s="43">
        <v>45038</v>
      </c>
      <c r="E112" s="43">
        <v>45122</v>
      </c>
      <c r="F112" s="1" t="s">
        <v>19</v>
      </c>
      <c r="G112" s="72">
        <v>63942</v>
      </c>
      <c r="I112" s="67">
        <v>45122</v>
      </c>
      <c r="J112" s="73" t="str">
        <f>IFERROR(IF(I112&gt;E112,(I112-E112)*_xlfn.XLOOKUP(C112,'Vendor Details'!$B$4:$B$33,'Vendor Details'!$F$4:$F$33)*'Vendor Invoices'!G112,""),0)</f>
        <v/>
      </c>
      <c r="K112" s="72">
        <f>IFERROR(_xlfn.XLOOKUP(B112,'Payment HIstory'!$D:$D,'Payment HIstory'!$F:$F),0)</f>
        <v>63942</v>
      </c>
      <c r="L112" s="1" t="str">
        <f t="shared" si="6"/>
        <v>Paid</v>
      </c>
      <c r="M112" s="72">
        <f t="shared" si="8"/>
        <v>0</v>
      </c>
      <c r="N112" s="72">
        <f>IF(L112="Outstanding",($C$3-E112)*_xlfn.XLOOKUP(C112,'Vendor Details'!$B:$B,'Vendor Details'!$F:$F)*'Vendor Invoices'!G112,0)</f>
        <v>0</v>
      </c>
      <c r="O112" s="77">
        <f t="shared" si="9"/>
        <v>0</v>
      </c>
      <c r="P112" s="70" t="str">
        <f t="shared" si="11"/>
        <v/>
      </c>
      <c r="Q112" s="1" t="str" cm="1">
        <f t="array" ref="Q112">IF(L112="Outstanding",_xlfn.XLOOKUP(1,(P112&gt;='Aging Schedule'!$B$18:$B$22)*(P112&lt;='Aging Schedule'!$C$18:$C$22),'Aging Schedule'!$D$18:$D$22),"")</f>
        <v/>
      </c>
      <c r="R112" s="1" t="str">
        <f>IF(L112="Outstanding",VLOOKUP(P112,'Aging Schedule'!$B$18:$D$22,3),"")</f>
        <v/>
      </c>
      <c r="S112" s="77">
        <f t="shared" si="10"/>
        <v>0</v>
      </c>
    </row>
    <row r="113" spans="2:19" x14ac:dyDescent="0.25">
      <c r="B113" s="1" t="s">
        <v>164</v>
      </c>
      <c r="C113" s="1" t="s">
        <v>38</v>
      </c>
      <c r="D113" s="43">
        <v>45236</v>
      </c>
      <c r="E113" s="43">
        <v>45266</v>
      </c>
      <c r="F113" s="1" t="s">
        <v>19</v>
      </c>
      <c r="G113" s="72">
        <v>94685</v>
      </c>
      <c r="I113" s="67" t="str">
        <v/>
      </c>
      <c r="J113" s="73">
        <f>IFERROR(IF(I113&gt;E113,(I113-E113)*_xlfn.XLOOKUP(C113,'Vendor Details'!$B$4:$B$33,'Vendor Details'!$F$4:$F$33)*'Vendor Invoices'!G113,""),0)</f>
        <v>0</v>
      </c>
      <c r="K113" s="72">
        <f>IFERROR(_xlfn.XLOOKUP(B113,'Payment HIstory'!$D:$D,'Payment HIstory'!$F:$F),0)</f>
        <v>0</v>
      </c>
      <c r="L113" s="1" t="str">
        <f t="shared" si="6"/>
        <v>Outstanding</v>
      </c>
      <c r="M113" s="72">
        <f t="shared" si="8"/>
        <v>94685</v>
      </c>
      <c r="N113" s="72">
        <f>IF(L113="Outstanding",($C$3-E113)*_xlfn.XLOOKUP(C113,'Vendor Details'!$B:$B,'Vendor Details'!$F:$F)*'Vendor Invoices'!G113,0)</f>
        <v>165.69874999999999</v>
      </c>
      <c r="O113" s="77">
        <f t="shared" si="9"/>
        <v>94850.698749999996</v>
      </c>
      <c r="P113" s="70">
        <f t="shared" si="11"/>
        <v>35</v>
      </c>
      <c r="Q113" s="1" t="str" cm="1">
        <f t="array" ref="Q113">IF(L113="Outstanding",_xlfn.XLOOKUP(1,(P113&gt;='Aging Schedule'!$B$18:$B$22)*(P113&lt;='Aging Schedule'!$C$18:$C$22),'Aging Schedule'!$D$18:$D$22),"")</f>
        <v>31-45 Days</v>
      </c>
      <c r="R113" s="1" t="str">
        <f>IF(L113="Outstanding",VLOOKUP(P113,'Aging Schedule'!$B$18:$D$22,3),"")</f>
        <v>31-45 Days</v>
      </c>
      <c r="S113" s="77">
        <f t="shared" si="10"/>
        <v>165.69874999999999</v>
      </c>
    </row>
    <row r="114" spans="2:19" x14ac:dyDescent="0.25">
      <c r="B114" s="1" t="s">
        <v>165</v>
      </c>
      <c r="C114" s="1" t="s">
        <v>40</v>
      </c>
      <c r="D114" s="43">
        <v>45083</v>
      </c>
      <c r="E114" s="43">
        <v>45151</v>
      </c>
      <c r="F114" s="1" t="s">
        <v>21</v>
      </c>
      <c r="G114" s="72">
        <v>45880</v>
      </c>
      <c r="I114" s="67">
        <v>45148</v>
      </c>
      <c r="J114" s="73" t="str">
        <f>IFERROR(IF(I114&gt;E114,(I114-E114)*_xlfn.XLOOKUP(C114,'Vendor Details'!$B$4:$B$33,'Vendor Details'!$F$4:$F$33)*'Vendor Invoices'!G114,""),0)</f>
        <v/>
      </c>
      <c r="K114" s="72">
        <f>IFERROR(_xlfn.XLOOKUP(B114,'Payment HIstory'!$D:$D,'Payment HIstory'!$F:$F),0)</f>
        <v>41292</v>
      </c>
      <c r="L114" s="1" t="str">
        <f t="shared" si="6"/>
        <v>Outstanding</v>
      </c>
      <c r="M114" s="72">
        <f t="shared" si="8"/>
        <v>4588</v>
      </c>
      <c r="N114" s="72">
        <f>IF(L114="Outstanding",($C$3-E114)*_xlfn.XLOOKUP(C114,'Vendor Details'!$B:$B,'Vendor Details'!$F:$F)*'Vendor Invoices'!G114,0)</f>
        <v>2752.8</v>
      </c>
      <c r="O114" s="77">
        <f t="shared" si="9"/>
        <v>7340.8</v>
      </c>
      <c r="P114" s="70">
        <f t="shared" si="11"/>
        <v>150</v>
      </c>
      <c r="Q114" s="1" t="str" cm="1">
        <f t="array" ref="Q114">IF(L114="Outstanding",_xlfn.XLOOKUP(1,(P114&gt;='Aging Schedule'!$B$18:$B$22)*(P114&lt;='Aging Schedule'!$C$18:$C$22),'Aging Schedule'!$D$18:$D$22),"")</f>
        <v>91+ Days</v>
      </c>
      <c r="R114" s="1" t="str">
        <f>IF(L114="Outstanding",VLOOKUP(P114,'Aging Schedule'!$B$18:$D$22,3),"")</f>
        <v>91+ Days</v>
      </c>
      <c r="S114" s="77">
        <f t="shared" si="10"/>
        <v>2752.8</v>
      </c>
    </row>
    <row r="115" spans="2:19" x14ac:dyDescent="0.25">
      <c r="B115" s="1" t="s">
        <v>166</v>
      </c>
      <c r="C115" s="1" t="s">
        <v>34</v>
      </c>
      <c r="D115" s="43">
        <v>45233</v>
      </c>
      <c r="E115" s="43">
        <v>45291</v>
      </c>
      <c r="F115" s="1" t="s">
        <v>18</v>
      </c>
      <c r="G115" s="72">
        <v>95228</v>
      </c>
      <c r="I115" s="67">
        <v>45264</v>
      </c>
      <c r="J115" s="73" t="str">
        <f>IFERROR(IF(I115&gt;E115,(I115-E115)*_xlfn.XLOOKUP(C115,'Vendor Details'!$B$4:$B$33,'Vendor Details'!$F$4:$F$33)*'Vendor Invoices'!G115,""),0)</f>
        <v/>
      </c>
      <c r="K115" s="72">
        <f>IFERROR(_xlfn.XLOOKUP(B115,'Payment HIstory'!$D:$D,'Payment HIstory'!$F:$F),0)</f>
        <v>95228</v>
      </c>
      <c r="L115" s="1" t="str">
        <f t="shared" si="6"/>
        <v>Paid</v>
      </c>
      <c r="M115" s="72">
        <f t="shared" si="8"/>
        <v>0</v>
      </c>
      <c r="N115" s="72">
        <f>IF(L115="Outstanding",($C$3-E115)*_xlfn.XLOOKUP(C115,'Vendor Details'!$B:$B,'Vendor Details'!$F:$F)*'Vendor Invoices'!G115,0)</f>
        <v>0</v>
      </c>
      <c r="O115" s="77">
        <f t="shared" si="9"/>
        <v>0</v>
      </c>
      <c r="P115" s="70" t="str">
        <f t="shared" si="11"/>
        <v/>
      </c>
      <c r="Q115" s="1" t="str" cm="1">
        <f t="array" ref="Q115">IF(L115="Outstanding",_xlfn.XLOOKUP(1,(P115&gt;='Aging Schedule'!$B$18:$B$22)*(P115&lt;='Aging Schedule'!$C$18:$C$22),'Aging Schedule'!$D$18:$D$22),"")</f>
        <v/>
      </c>
      <c r="R115" s="1" t="str">
        <f>IF(L115="Outstanding",VLOOKUP(P115,'Aging Schedule'!$B$18:$D$22,3),"")</f>
        <v/>
      </c>
      <c r="S115" s="77">
        <f t="shared" si="10"/>
        <v>0</v>
      </c>
    </row>
    <row r="116" spans="2:19" x14ac:dyDescent="0.25">
      <c r="B116" s="1" t="s">
        <v>167</v>
      </c>
      <c r="C116" s="1" t="s">
        <v>42</v>
      </c>
      <c r="D116" s="43">
        <v>45229</v>
      </c>
      <c r="E116" s="43">
        <v>45259</v>
      </c>
      <c r="F116" s="1" t="s">
        <v>19</v>
      </c>
      <c r="G116" s="72">
        <v>55625</v>
      </c>
      <c r="I116" s="67" t="str">
        <v/>
      </c>
      <c r="J116" s="73">
        <f>IFERROR(IF(I116&gt;E116,(I116-E116)*_xlfn.XLOOKUP(C116,'Vendor Details'!$B$4:$B$33,'Vendor Details'!$F$4:$F$33)*'Vendor Invoices'!G116,""),0)</f>
        <v>0</v>
      </c>
      <c r="K116" s="72">
        <f>IFERROR(_xlfn.XLOOKUP(B116,'Payment HIstory'!$D:$D,'Payment HIstory'!$F:$F),0)</f>
        <v>0</v>
      </c>
      <c r="L116" s="1" t="str">
        <f t="shared" si="6"/>
        <v>Outstanding</v>
      </c>
      <c r="M116" s="72">
        <f t="shared" si="8"/>
        <v>55625</v>
      </c>
      <c r="N116" s="72">
        <f>IF(L116="Outstanding",($C$3-E116)*_xlfn.XLOOKUP(C116,'Vendor Details'!$B:$B,'Vendor Details'!$F:$F)*'Vendor Invoices'!G116,0)</f>
        <v>700.87500000000011</v>
      </c>
      <c r="O116" s="77">
        <f t="shared" si="9"/>
        <v>56325.875</v>
      </c>
      <c r="P116" s="70">
        <f t="shared" si="11"/>
        <v>42</v>
      </c>
      <c r="Q116" s="1" t="str" cm="1">
        <f t="array" ref="Q116">IF(L116="Outstanding",_xlfn.XLOOKUP(1,(P116&gt;='Aging Schedule'!$B$18:$B$22)*(P116&lt;='Aging Schedule'!$C$18:$C$22),'Aging Schedule'!$D$18:$D$22),"")</f>
        <v>31-45 Days</v>
      </c>
      <c r="R116" s="1" t="str">
        <f>IF(L116="Outstanding",VLOOKUP(P116,'Aging Schedule'!$B$18:$D$22,3),"")</f>
        <v>31-45 Days</v>
      </c>
      <c r="S116" s="77">
        <f t="shared" si="10"/>
        <v>700.87500000000011</v>
      </c>
    </row>
    <row r="117" spans="2:19" x14ac:dyDescent="0.25">
      <c r="B117" s="1" t="s">
        <v>168</v>
      </c>
      <c r="C117" s="1" t="s">
        <v>33</v>
      </c>
      <c r="D117" s="43">
        <v>45234</v>
      </c>
      <c r="E117" s="43">
        <v>45264</v>
      </c>
      <c r="F117" s="1" t="s">
        <v>18</v>
      </c>
      <c r="G117" s="72">
        <v>83035</v>
      </c>
      <c r="I117" s="67" t="str">
        <v/>
      </c>
      <c r="J117" s="73">
        <f>IFERROR(IF(I117&gt;E117,(I117-E117)*_xlfn.XLOOKUP(C117,'Vendor Details'!$B$4:$B$33,'Vendor Details'!$F$4:$F$33)*'Vendor Invoices'!G117,""),0)</f>
        <v>0</v>
      </c>
      <c r="K117" s="72">
        <f>IFERROR(_xlfn.XLOOKUP(B117,'Payment HIstory'!$D:$D,'Payment HIstory'!$F:$F),0)</f>
        <v>0</v>
      </c>
      <c r="L117" s="1" t="str">
        <f t="shared" si="6"/>
        <v>Outstanding</v>
      </c>
      <c r="M117" s="72">
        <f t="shared" si="8"/>
        <v>83035</v>
      </c>
      <c r="N117" s="72">
        <f>IF(L117="Outstanding",($C$3-E117)*_xlfn.XLOOKUP(C117,'Vendor Details'!$B:$B,'Vendor Details'!$F:$F)*'Vendor Invoices'!G117,0)</f>
        <v>2150.6064999999999</v>
      </c>
      <c r="O117" s="77">
        <f t="shared" si="9"/>
        <v>85185.606499999994</v>
      </c>
      <c r="P117" s="70">
        <f t="shared" si="11"/>
        <v>37</v>
      </c>
      <c r="Q117" s="1" t="str" cm="1">
        <f t="array" ref="Q117">IF(L117="Outstanding",_xlfn.XLOOKUP(1,(P117&gt;='Aging Schedule'!$B$18:$B$22)*(P117&lt;='Aging Schedule'!$C$18:$C$22),'Aging Schedule'!$D$18:$D$22),"")</f>
        <v>31-45 Days</v>
      </c>
      <c r="R117" s="1" t="str">
        <f>IF(L117="Outstanding",VLOOKUP(P117,'Aging Schedule'!$B$18:$D$22,3),"")</f>
        <v>31-45 Days</v>
      </c>
      <c r="S117" s="77">
        <f t="shared" si="10"/>
        <v>2150.6064999999999</v>
      </c>
    </row>
    <row r="118" spans="2:19" x14ac:dyDescent="0.25">
      <c r="B118" s="1" t="s">
        <v>169</v>
      </c>
      <c r="C118" s="1" t="s">
        <v>38</v>
      </c>
      <c r="D118" s="43">
        <v>45186</v>
      </c>
      <c r="E118" s="43">
        <v>45216</v>
      </c>
      <c r="F118" s="1" t="s">
        <v>21</v>
      </c>
      <c r="G118" s="72">
        <v>97772</v>
      </c>
      <c r="I118" s="67" t="str">
        <v/>
      </c>
      <c r="J118" s="73">
        <f>IFERROR(IF(I118&gt;E118,(I118-E118)*_xlfn.XLOOKUP(C118,'Vendor Details'!$B$4:$B$33,'Vendor Details'!$F$4:$F$33)*'Vendor Invoices'!G118,""),0)</f>
        <v>0</v>
      </c>
      <c r="K118" s="72">
        <f>IFERROR(_xlfn.XLOOKUP(B118,'Payment HIstory'!$D:$D,'Payment HIstory'!$F:$F),0)</f>
        <v>0</v>
      </c>
      <c r="L118" s="1" t="str">
        <f t="shared" si="6"/>
        <v>Outstanding</v>
      </c>
      <c r="M118" s="72">
        <f t="shared" si="8"/>
        <v>97772</v>
      </c>
      <c r="N118" s="72">
        <f>IF(L118="Outstanding",($C$3-E118)*_xlfn.XLOOKUP(C118,'Vendor Details'!$B:$B,'Vendor Details'!$F:$F)*'Vendor Invoices'!G118,0)</f>
        <v>415.53100000000001</v>
      </c>
      <c r="O118" s="77">
        <f t="shared" si="9"/>
        <v>98187.531000000003</v>
      </c>
      <c r="P118" s="70">
        <f t="shared" si="11"/>
        <v>85</v>
      </c>
      <c r="Q118" s="1" t="str" cm="1">
        <f t="array" ref="Q118">IF(L118="Outstanding",_xlfn.XLOOKUP(1,(P118&gt;='Aging Schedule'!$B$18:$B$22)*(P118&lt;='Aging Schedule'!$C$18:$C$22),'Aging Schedule'!$D$18:$D$22),"")</f>
        <v>61-90 Days</v>
      </c>
      <c r="R118" s="1" t="str">
        <f>IF(L118="Outstanding",VLOOKUP(P118,'Aging Schedule'!$B$18:$D$22,3),"")</f>
        <v>61-90 Days</v>
      </c>
      <c r="S118" s="77">
        <f t="shared" si="10"/>
        <v>415.53100000000001</v>
      </c>
    </row>
    <row r="119" spans="2:19" x14ac:dyDescent="0.25">
      <c r="B119" s="1" t="s">
        <v>170</v>
      </c>
      <c r="C119" s="1" t="s">
        <v>39</v>
      </c>
      <c r="D119" s="43">
        <v>45166</v>
      </c>
      <c r="E119" s="43">
        <v>45186</v>
      </c>
      <c r="F119" s="1" t="s">
        <v>21</v>
      </c>
      <c r="G119" s="72">
        <v>91405</v>
      </c>
      <c r="I119" s="67">
        <v>45186</v>
      </c>
      <c r="J119" s="73" t="str">
        <f>IFERROR(IF(I119&gt;E119,(I119-E119)*_xlfn.XLOOKUP(C119,'Vendor Details'!$B$4:$B$33,'Vendor Details'!$F$4:$F$33)*'Vendor Invoices'!G119,""),0)</f>
        <v/>
      </c>
      <c r="K119" s="72">
        <f>IFERROR(_xlfn.XLOOKUP(B119,'Payment HIstory'!$D:$D,'Payment HIstory'!$F:$F),0)</f>
        <v>91405</v>
      </c>
      <c r="L119" s="1" t="str">
        <f t="shared" si="6"/>
        <v>Paid</v>
      </c>
      <c r="M119" s="72">
        <f t="shared" si="8"/>
        <v>0</v>
      </c>
      <c r="N119" s="72">
        <f>IF(L119="Outstanding",($C$3-E119)*_xlfn.XLOOKUP(C119,'Vendor Details'!$B:$B,'Vendor Details'!$F:$F)*'Vendor Invoices'!G119,0)</f>
        <v>0</v>
      </c>
      <c r="O119" s="77">
        <f t="shared" si="9"/>
        <v>0</v>
      </c>
      <c r="P119" s="70" t="str">
        <f t="shared" si="11"/>
        <v/>
      </c>
      <c r="Q119" s="1" t="str" cm="1">
        <f t="array" ref="Q119">IF(L119="Outstanding",_xlfn.XLOOKUP(1,(P119&gt;='Aging Schedule'!$B$18:$B$22)*(P119&lt;='Aging Schedule'!$C$18:$C$22),'Aging Schedule'!$D$18:$D$22),"")</f>
        <v/>
      </c>
      <c r="R119" s="1" t="str">
        <f>IF(L119="Outstanding",VLOOKUP(P119,'Aging Schedule'!$B$18:$D$22,3),"")</f>
        <v/>
      </c>
      <c r="S119" s="77">
        <f t="shared" si="10"/>
        <v>0</v>
      </c>
    </row>
    <row r="120" spans="2:19" x14ac:dyDescent="0.25">
      <c r="B120" s="1" t="s">
        <v>171</v>
      </c>
      <c r="C120" s="1" t="s">
        <v>38</v>
      </c>
      <c r="D120" s="43">
        <v>45198</v>
      </c>
      <c r="E120" s="43">
        <v>45271</v>
      </c>
      <c r="F120" s="1" t="s">
        <v>21</v>
      </c>
      <c r="G120" s="72">
        <v>63917</v>
      </c>
      <c r="I120" s="67">
        <v>45271</v>
      </c>
      <c r="J120" s="73" t="str">
        <f>IFERROR(IF(I120&gt;E120,(I120-E120)*_xlfn.XLOOKUP(C120,'Vendor Details'!$B$4:$B$33,'Vendor Details'!$F$4:$F$33)*'Vendor Invoices'!G120,""),0)</f>
        <v/>
      </c>
      <c r="K120" s="72">
        <f>IFERROR(_xlfn.XLOOKUP(B120,'Payment HIstory'!$D:$D,'Payment HIstory'!$F:$F),0)</f>
        <v>63917</v>
      </c>
      <c r="L120" s="1" t="str">
        <f t="shared" si="6"/>
        <v>Paid</v>
      </c>
      <c r="M120" s="72">
        <f t="shared" si="8"/>
        <v>0</v>
      </c>
      <c r="N120" s="72">
        <f>IF(L120="Outstanding",($C$3-E120)*_xlfn.XLOOKUP(C120,'Vendor Details'!$B:$B,'Vendor Details'!$F:$F)*'Vendor Invoices'!G120,0)</f>
        <v>0</v>
      </c>
      <c r="O120" s="77">
        <f t="shared" si="9"/>
        <v>0</v>
      </c>
      <c r="P120" s="70" t="str">
        <f t="shared" si="11"/>
        <v/>
      </c>
      <c r="Q120" s="1" t="str" cm="1">
        <f t="array" ref="Q120">IF(L120="Outstanding",_xlfn.XLOOKUP(1,(P120&gt;='Aging Schedule'!$B$18:$B$22)*(P120&lt;='Aging Schedule'!$C$18:$C$22),'Aging Schedule'!$D$18:$D$22),"")</f>
        <v/>
      </c>
      <c r="R120" s="1" t="str">
        <f>IF(L120="Outstanding",VLOOKUP(P120,'Aging Schedule'!$B$18:$D$22,3),"")</f>
        <v/>
      </c>
      <c r="S120" s="77">
        <f t="shared" si="10"/>
        <v>0</v>
      </c>
    </row>
    <row r="121" spans="2:19" x14ac:dyDescent="0.25">
      <c r="B121" s="1" t="s">
        <v>172</v>
      </c>
      <c r="C121" s="1" t="s">
        <v>39</v>
      </c>
      <c r="D121" s="43">
        <v>45189</v>
      </c>
      <c r="E121" s="43">
        <v>45240</v>
      </c>
      <c r="F121" s="1" t="s">
        <v>20</v>
      </c>
      <c r="G121" s="72">
        <v>72084</v>
      </c>
      <c r="I121" s="67">
        <v>45240</v>
      </c>
      <c r="J121" s="73" t="str">
        <f>IFERROR(IF(I121&gt;E121,(I121-E121)*_xlfn.XLOOKUP(C121,'Vendor Details'!$B$4:$B$33,'Vendor Details'!$F$4:$F$33)*'Vendor Invoices'!G121,""),0)</f>
        <v/>
      </c>
      <c r="K121" s="72">
        <f>IFERROR(_xlfn.XLOOKUP(B121,'Payment HIstory'!$D:$D,'Payment HIstory'!$F:$F),0)</f>
        <v>72084</v>
      </c>
      <c r="L121" s="1" t="str">
        <f t="shared" si="6"/>
        <v>Paid</v>
      </c>
      <c r="M121" s="72">
        <f t="shared" si="8"/>
        <v>0</v>
      </c>
      <c r="N121" s="72">
        <f>IF(L121="Outstanding",($C$3-E121)*_xlfn.XLOOKUP(C121,'Vendor Details'!$B:$B,'Vendor Details'!$F:$F)*'Vendor Invoices'!G121,0)</f>
        <v>0</v>
      </c>
      <c r="O121" s="77">
        <f t="shared" si="9"/>
        <v>0</v>
      </c>
      <c r="P121" s="70" t="str">
        <f t="shared" si="11"/>
        <v/>
      </c>
      <c r="Q121" s="1" t="str" cm="1">
        <f t="array" ref="Q121">IF(L121="Outstanding",_xlfn.XLOOKUP(1,(P121&gt;='Aging Schedule'!$B$18:$B$22)*(P121&lt;='Aging Schedule'!$C$18:$C$22),'Aging Schedule'!$D$18:$D$22),"")</f>
        <v/>
      </c>
      <c r="R121" s="1" t="str">
        <f>IF(L121="Outstanding",VLOOKUP(P121,'Aging Schedule'!$B$18:$D$22,3),"")</f>
        <v/>
      </c>
      <c r="S121" s="77">
        <f t="shared" si="10"/>
        <v>0</v>
      </c>
    </row>
    <row r="122" spans="2:19" x14ac:dyDescent="0.25">
      <c r="B122" s="1" t="s">
        <v>173</v>
      </c>
      <c r="C122" s="1" t="s">
        <v>40</v>
      </c>
      <c r="D122" s="43">
        <v>44989</v>
      </c>
      <c r="E122" s="43">
        <v>45042</v>
      </c>
      <c r="F122" s="1" t="s">
        <v>19</v>
      </c>
      <c r="G122" s="72">
        <v>83317</v>
      </c>
      <c r="I122" s="67">
        <v>45064</v>
      </c>
      <c r="J122" s="73">
        <f>IFERROR(IF(I122&gt;E122,(I122-E122)*_xlfn.XLOOKUP(C122,'Vendor Details'!$B$4:$B$33,'Vendor Details'!$F$4:$F$33)*'Vendor Invoices'!G122,""),0)</f>
        <v>733.18960000000004</v>
      </c>
      <c r="K122" s="72">
        <f>IFERROR(_xlfn.XLOOKUP(B122,'Payment HIstory'!$D:$D,'Payment HIstory'!$F:$F),0)</f>
        <v>84050.189599999998</v>
      </c>
      <c r="L122" s="1" t="str">
        <f t="shared" si="6"/>
        <v>Paid</v>
      </c>
      <c r="M122" s="72">
        <f t="shared" si="8"/>
        <v>0</v>
      </c>
      <c r="N122" s="72">
        <f>IF(L122="Outstanding",($C$3-E122)*_xlfn.XLOOKUP(C122,'Vendor Details'!$B:$B,'Vendor Details'!$F:$F)*'Vendor Invoices'!G122,0)</f>
        <v>0</v>
      </c>
      <c r="O122" s="77">
        <f t="shared" si="9"/>
        <v>0</v>
      </c>
      <c r="P122" s="70" t="str">
        <f t="shared" si="11"/>
        <v/>
      </c>
      <c r="Q122" s="1" t="str" cm="1">
        <f t="array" ref="Q122">IF(L122="Outstanding",_xlfn.XLOOKUP(1,(P122&gt;='Aging Schedule'!$B$18:$B$22)*(P122&lt;='Aging Schedule'!$C$18:$C$22),'Aging Schedule'!$D$18:$D$22),"")</f>
        <v/>
      </c>
      <c r="R122" s="1" t="str">
        <f>IF(L122="Outstanding",VLOOKUP(P122,'Aging Schedule'!$B$18:$D$22,3),"")</f>
        <v/>
      </c>
      <c r="S122" s="77">
        <f t="shared" si="10"/>
        <v>733.18960000000004</v>
      </c>
    </row>
    <row r="123" spans="2:19" x14ac:dyDescent="0.25">
      <c r="B123" s="1" t="s">
        <v>174</v>
      </c>
      <c r="C123" s="1" t="s">
        <v>41</v>
      </c>
      <c r="D123" s="43">
        <v>45180</v>
      </c>
      <c r="E123" s="43">
        <v>45223</v>
      </c>
      <c r="F123" s="1" t="s">
        <v>18</v>
      </c>
      <c r="G123" s="72">
        <v>71316</v>
      </c>
      <c r="I123" s="67">
        <v>45223</v>
      </c>
      <c r="J123" s="73" t="str">
        <f>IFERROR(IF(I123&gt;E123,(I123-E123)*_xlfn.XLOOKUP(C123,'Vendor Details'!$B$4:$B$33,'Vendor Details'!$F$4:$F$33)*'Vendor Invoices'!G123,""),0)</f>
        <v/>
      </c>
      <c r="K123" s="72">
        <f>IFERROR(_xlfn.XLOOKUP(B123,'Payment HIstory'!$D:$D,'Payment HIstory'!$F:$F),0)</f>
        <v>71316</v>
      </c>
      <c r="L123" s="1" t="str">
        <f t="shared" si="6"/>
        <v>Paid</v>
      </c>
      <c r="M123" s="72">
        <f t="shared" si="8"/>
        <v>0</v>
      </c>
      <c r="N123" s="72">
        <f>IF(L123="Outstanding",($C$3-E123)*_xlfn.XLOOKUP(C123,'Vendor Details'!$B:$B,'Vendor Details'!$F:$F)*'Vendor Invoices'!G123,0)</f>
        <v>0</v>
      </c>
      <c r="O123" s="77">
        <f t="shared" si="9"/>
        <v>0</v>
      </c>
      <c r="P123" s="70" t="str">
        <f t="shared" si="11"/>
        <v/>
      </c>
      <c r="Q123" s="1" t="str" cm="1">
        <f t="array" ref="Q123">IF(L123="Outstanding",_xlfn.XLOOKUP(1,(P123&gt;='Aging Schedule'!$B$18:$B$22)*(P123&lt;='Aging Schedule'!$C$18:$C$22),'Aging Schedule'!$D$18:$D$22),"")</f>
        <v/>
      </c>
      <c r="R123" s="1" t="str">
        <f>IF(L123="Outstanding",VLOOKUP(P123,'Aging Schedule'!$B$18:$D$22,3),"")</f>
        <v/>
      </c>
      <c r="S123" s="77">
        <f t="shared" si="10"/>
        <v>0</v>
      </c>
    </row>
    <row r="124" spans="2:19" x14ac:dyDescent="0.25">
      <c r="B124" s="1" t="s">
        <v>175</v>
      </c>
      <c r="C124" s="1" t="s">
        <v>34</v>
      </c>
      <c r="D124" s="43">
        <v>45228</v>
      </c>
      <c r="E124" s="43">
        <v>45258</v>
      </c>
      <c r="F124" s="1" t="s">
        <v>18</v>
      </c>
      <c r="G124" s="72">
        <v>78981</v>
      </c>
      <c r="I124" s="67" t="str">
        <v/>
      </c>
      <c r="J124" s="73">
        <f>IFERROR(IF(I124&gt;E124,(I124-E124)*_xlfn.XLOOKUP(C124,'Vendor Details'!$B$4:$B$33,'Vendor Details'!$F$4:$F$33)*'Vendor Invoices'!G124,""),0)</f>
        <v>0</v>
      </c>
      <c r="K124" s="72">
        <f>IFERROR(_xlfn.XLOOKUP(B124,'Payment HIstory'!$D:$D,'Payment HIstory'!$F:$F),0)</f>
        <v>0</v>
      </c>
      <c r="L124" s="1" t="str">
        <f t="shared" si="6"/>
        <v>Outstanding</v>
      </c>
      <c r="M124" s="72">
        <f t="shared" si="8"/>
        <v>78981</v>
      </c>
      <c r="N124" s="72">
        <f>IF(L124="Outstanding",($C$3-E124)*_xlfn.XLOOKUP(C124,'Vendor Details'!$B:$B,'Vendor Details'!$F:$F)*'Vendor Invoices'!G124,0)</f>
        <v>67923.66</v>
      </c>
      <c r="O124" s="77">
        <f t="shared" si="9"/>
        <v>146904.66</v>
      </c>
      <c r="P124" s="70">
        <f t="shared" si="11"/>
        <v>43</v>
      </c>
      <c r="Q124" s="1" t="str" cm="1">
        <f t="array" ref="Q124">IF(L124="Outstanding",_xlfn.XLOOKUP(1,(P124&gt;='Aging Schedule'!$B$18:$B$22)*(P124&lt;='Aging Schedule'!$C$18:$C$22),'Aging Schedule'!$D$18:$D$22),"")</f>
        <v>31-45 Days</v>
      </c>
      <c r="R124" s="1" t="str">
        <f>IF(L124="Outstanding",VLOOKUP(P124,'Aging Schedule'!$B$18:$D$22,3),"")</f>
        <v>31-45 Days</v>
      </c>
      <c r="S124" s="77">
        <f t="shared" si="10"/>
        <v>67923.66</v>
      </c>
    </row>
    <row r="125" spans="2:19" x14ac:dyDescent="0.25">
      <c r="B125" s="1" t="s">
        <v>176</v>
      </c>
      <c r="C125" s="1" t="s">
        <v>42</v>
      </c>
      <c r="D125" s="43">
        <v>45128</v>
      </c>
      <c r="E125" s="43">
        <v>45153</v>
      </c>
      <c r="F125" s="1" t="s">
        <v>20</v>
      </c>
      <c r="G125" s="72">
        <v>66123</v>
      </c>
      <c r="I125" s="67">
        <v>45139</v>
      </c>
      <c r="J125" s="73" t="str">
        <f>IFERROR(IF(I125&gt;E125,(I125-E125)*_xlfn.XLOOKUP(C125,'Vendor Details'!$B$4:$B$33,'Vendor Details'!$F$4:$F$33)*'Vendor Invoices'!G125,""),0)</f>
        <v/>
      </c>
      <c r="K125" s="72">
        <f>IFERROR(_xlfn.XLOOKUP(B125,'Payment HIstory'!$D:$D,'Payment HIstory'!$F:$F),0)</f>
        <v>66123</v>
      </c>
      <c r="L125" s="1" t="str">
        <f t="shared" si="6"/>
        <v>Paid</v>
      </c>
      <c r="M125" s="72">
        <f t="shared" si="8"/>
        <v>0</v>
      </c>
      <c r="N125" s="72">
        <f>IF(L125="Outstanding",($C$3-E125)*_xlfn.XLOOKUP(C125,'Vendor Details'!$B:$B,'Vendor Details'!$F:$F)*'Vendor Invoices'!G125,0)</f>
        <v>0</v>
      </c>
      <c r="O125" s="77">
        <f t="shared" si="9"/>
        <v>0</v>
      </c>
      <c r="P125" s="70" t="str">
        <f t="shared" si="11"/>
        <v/>
      </c>
      <c r="Q125" s="1" t="str" cm="1">
        <f t="array" ref="Q125">IF(L125="Outstanding",_xlfn.XLOOKUP(1,(P125&gt;='Aging Schedule'!$B$18:$B$22)*(P125&lt;='Aging Schedule'!$C$18:$C$22),'Aging Schedule'!$D$18:$D$22),"")</f>
        <v/>
      </c>
      <c r="R125" s="1" t="str">
        <f>IF(L125="Outstanding",VLOOKUP(P125,'Aging Schedule'!$B$18:$D$22,3),"")</f>
        <v/>
      </c>
      <c r="S125" s="77">
        <f t="shared" si="10"/>
        <v>0</v>
      </c>
    </row>
    <row r="126" spans="2:19" x14ac:dyDescent="0.25">
      <c r="B126" s="1" t="s">
        <v>177</v>
      </c>
      <c r="C126" s="1" t="s">
        <v>34</v>
      </c>
      <c r="D126" s="43">
        <v>45184</v>
      </c>
      <c r="E126" s="43">
        <v>45204</v>
      </c>
      <c r="F126" s="1" t="s">
        <v>18</v>
      </c>
      <c r="G126" s="72">
        <v>95722</v>
      </c>
      <c r="I126" s="67">
        <v>45224</v>
      </c>
      <c r="J126" s="73">
        <f>IFERROR(IF(I126&gt;E126,(I126-E126)*_xlfn.XLOOKUP(C126,'Vendor Details'!$B$4:$B$33,'Vendor Details'!$F$4:$F$33)*'Vendor Invoices'!G126,""),0)</f>
        <v>38288.800000000003</v>
      </c>
      <c r="K126" s="72">
        <f>IFERROR(_xlfn.XLOOKUP(B126,'Payment HIstory'!$D:$D,'Payment HIstory'!$F:$F),0)</f>
        <v>96583.498000000007</v>
      </c>
      <c r="L126" s="1" t="str">
        <f t="shared" si="6"/>
        <v>Outstanding</v>
      </c>
      <c r="M126" s="72">
        <f t="shared" si="8"/>
        <v>-861.49800000000687</v>
      </c>
      <c r="N126" s="72">
        <f>IF(L126="Outstanding",($C$3-E126)*_xlfn.XLOOKUP(C126,'Vendor Details'!$B:$B,'Vendor Details'!$F:$F)*'Vendor Invoices'!G126,0)</f>
        <v>185700.68</v>
      </c>
      <c r="O126" s="77">
        <f t="shared" si="9"/>
        <v>184839.18199999997</v>
      </c>
      <c r="P126" s="70">
        <f t="shared" si="11"/>
        <v>97</v>
      </c>
      <c r="Q126" s="1" t="str" cm="1">
        <f t="array" ref="Q126">IF(L126="Outstanding",_xlfn.XLOOKUP(1,(P126&gt;='Aging Schedule'!$B$18:$B$22)*(P126&lt;='Aging Schedule'!$C$18:$C$22),'Aging Schedule'!$D$18:$D$22),"")</f>
        <v>91+ Days</v>
      </c>
      <c r="R126" s="1" t="str">
        <f>IF(L126="Outstanding",VLOOKUP(P126,'Aging Schedule'!$B$18:$D$22,3),"")</f>
        <v>91+ Days</v>
      </c>
      <c r="S126" s="77">
        <f t="shared" si="10"/>
        <v>223989.47999999998</v>
      </c>
    </row>
    <row r="127" spans="2:19" x14ac:dyDescent="0.25">
      <c r="B127" s="1" t="s">
        <v>178</v>
      </c>
      <c r="C127" s="1" t="s">
        <v>34</v>
      </c>
      <c r="D127" s="43">
        <v>44878</v>
      </c>
      <c r="E127" s="43">
        <v>44928</v>
      </c>
      <c r="F127" s="1" t="s">
        <v>18</v>
      </c>
      <c r="G127" s="72">
        <v>60691</v>
      </c>
      <c r="I127" s="67">
        <v>44928</v>
      </c>
      <c r="J127" s="73" t="str">
        <f>IFERROR(IF(I127&gt;E127,(I127-E127)*_xlfn.XLOOKUP(C127,'Vendor Details'!$B$4:$B$33,'Vendor Details'!$F$4:$F$33)*'Vendor Invoices'!G127,""),0)</f>
        <v/>
      </c>
      <c r="K127" s="72">
        <f>IFERROR(_xlfn.XLOOKUP(B127,'Payment HIstory'!$D:$D,'Payment HIstory'!$F:$F),0)</f>
        <v>60691</v>
      </c>
      <c r="L127" s="1" t="str">
        <f t="shared" si="6"/>
        <v>Paid</v>
      </c>
      <c r="M127" s="72">
        <f t="shared" si="8"/>
        <v>0</v>
      </c>
      <c r="N127" s="72">
        <f>IF(L127="Outstanding",($C$3-E127)*_xlfn.XLOOKUP(C127,'Vendor Details'!$B:$B,'Vendor Details'!$F:$F)*'Vendor Invoices'!G127,0)</f>
        <v>0</v>
      </c>
      <c r="O127" s="77">
        <f t="shared" si="9"/>
        <v>0</v>
      </c>
      <c r="P127" s="70" t="str">
        <f t="shared" si="11"/>
        <v/>
      </c>
      <c r="Q127" s="1" t="str" cm="1">
        <f t="array" ref="Q127">IF(L127="Outstanding",_xlfn.XLOOKUP(1,(P127&gt;='Aging Schedule'!$B$18:$B$22)*(P127&lt;='Aging Schedule'!$C$18:$C$22),'Aging Schedule'!$D$18:$D$22),"")</f>
        <v/>
      </c>
      <c r="R127" s="1" t="str">
        <f>IF(L127="Outstanding",VLOOKUP(P127,'Aging Schedule'!$B$18:$D$22,3),"")</f>
        <v/>
      </c>
      <c r="S127" s="77">
        <f t="shared" si="10"/>
        <v>0</v>
      </c>
    </row>
    <row r="128" spans="2:19" x14ac:dyDescent="0.25">
      <c r="B128" s="1" t="s">
        <v>179</v>
      </c>
      <c r="C128" s="1" t="s">
        <v>42</v>
      </c>
      <c r="D128" s="43">
        <v>45077</v>
      </c>
      <c r="E128" s="43">
        <v>45144</v>
      </c>
      <c r="F128" s="1" t="s">
        <v>18</v>
      </c>
      <c r="G128" s="72">
        <v>106631</v>
      </c>
      <c r="I128" s="67">
        <v>45144</v>
      </c>
      <c r="J128" s="73" t="str">
        <f>IFERROR(IF(I128&gt;E128,(I128-E128)*_xlfn.XLOOKUP(C128,'Vendor Details'!$B$4:$B$33,'Vendor Details'!$F$4:$F$33)*'Vendor Invoices'!G128,""),0)</f>
        <v/>
      </c>
      <c r="K128" s="72">
        <f>IFERROR(_xlfn.XLOOKUP(B128,'Payment HIstory'!$D:$D,'Payment HIstory'!$F:$F),0)</f>
        <v>106631</v>
      </c>
      <c r="L128" s="1" t="str">
        <f t="shared" si="6"/>
        <v>Paid</v>
      </c>
      <c r="M128" s="72">
        <f t="shared" si="8"/>
        <v>0</v>
      </c>
      <c r="N128" s="72">
        <f>IF(L128="Outstanding",($C$3-E128)*_xlfn.XLOOKUP(C128,'Vendor Details'!$B:$B,'Vendor Details'!$F:$F)*'Vendor Invoices'!G128,0)</f>
        <v>0</v>
      </c>
      <c r="O128" s="77">
        <f t="shared" si="9"/>
        <v>0</v>
      </c>
      <c r="P128" s="70" t="str">
        <f t="shared" si="11"/>
        <v/>
      </c>
      <c r="Q128" s="1" t="str" cm="1">
        <f t="array" ref="Q128">IF(L128="Outstanding",_xlfn.XLOOKUP(1,(P128&gt;='Aging Schedule'!$B$18:$B$22)*(P128&lt;='Aging Schedule'!$C$18:$C$22),'Aging Schedule'!$D$18:$D$22),"")</f>
        <v/>
      </c>
      <c r="R128" s="1" t="str">
        <f>IF(L128="Outstanding",VLOOKUP(P128,'Aging Schedule'!$B$18:$D$22,3),"")</f>
        <v/>
      </c>
      <c r="S128" s="77">
        <f t="shared" si="10"/>
        <v>0</v>
      </c>
    </row>
    <row r="129" spans="2:19" x14ac:dyDescent="0.25">
      <c r="B129" s="1" t="s">
        <v>180</v>
      </c>
      <c r="C129" s="1" t="s">
        <v>40</v>
      </c>
      <c r="D129" s="43">
        <v>44901</v>
      </c>
      <c r="E129" s="43">
        <v>44962</v>
      </c>
      <c r="F129" s="1" t="s">
        <v>20</v>
      </c>
      <c r="G129" s="72">
        <v>43203</v>
      </c>
      <c r="I129" s="67">
        <v>44962</v>
      </c>
      <c r="J129" s="73" t="str">
        <f>IFERROR(IF(I129&gt;E129,(I129-E129)*_xlfn.XLOOKUP(C129,'Vendor Details'!$B$4:$B$33,'Vendor Details'!$F$4:$F$33)*'Vendor Invoices'!G129,""),0)</f>
        <v/>
      </c>
      <c r="K129" s="72">
        <f>IFERROR(_xlfn.XLOOKUP(B129,'Payment HIstory'!$D:$D,'Payment HIstory'!$F:$F),0)</f>
        <v>41042.85</v>
      </c>
      <c r="L129" s="1" t="str">
        <f t="shared" si="6"/>
        <v>Outstanding</v>
      </c>
      <c r="M129" s="72">
        <f t="shared" si="8"/>
        <v>2160.1500000000015</v>
      </c>
      <c r="N129" s="72">
        <f>IF(L129="Outstanding",($C$3-E129)*_xlfn.XLOOKUP(C129,'Vendor Details'!$B:$B,'Vendor Details'!$F:$F)*'Vendor Invoices'!G129,0)</f>
        <v>5858.3267999999998</v>
      </c>
      <c r="O129" s="77">
        <f t="shared" si="9"/>
        <v>8018.4768000000013</v>
      </c>
      <c r="P129" s="70">
        <f t="shared" si="11"/>
        <v>339</v>
      </c>
      <c r="Q129" s="1" t="str" cm="1">
        <f t="array" ref="Q129">IF(L129="Outstanding",_xlfn.XLOOKUP(1,(P129&gt;='Aging Schedule'!$B$18:$B$22)*(P129&lt;='Aging Schedule'!$C$18:$C$22),'Aging Schedule'!$D$18:$D$22),"")</f>
        <v>91+ Days</v>
      </c>
      <c r="R129" s="1" t="str">
        <f>IF(L129="Outstanding",VLOOKUP(P129,'Aging Schedule'!$B$18:$D$22,3),"")</f>
        <v>91+ Days</v>
      </c>
      <c r="S129" s="77">
        <f t="shared" si="10"/>
        <v>5858.3267999999998</v>
      </c>
    </row>
    <row r="130" spans="2:19" x14ac:dyDescent="0.25">
      <c r="B130" s="1" t="s">
        <v>181</v>
      </c>
      <c r="C130" s="1" t="s">
        <v>33</v>
      </c>
      <c r="D130" s="43">
        <v>45251</v>
      </c>
      <c r="E130" s="43">
        <v>45281</v>
      </c>
      <c r="F130" s="1" t="s">
        <v>18</v>
      </c>
      <c r="G130" s="72">
        <v>84258</v>
      </c>
      <c r="I130" s="67" t="str">
        <v/>
      </c>
      <c r="J130" s="73">
        <f>IFERROR(IF(I130&gt;E130,(I130-E130)*_xlfn.XLOOKUP(C130,'Vendor Details'!$B$4:$B$33,'Vendor Details'!$F$4:$F$33)*'Vendor Invoices'!G130,""),0)</f>
        <v>0</v>
      </c>
      <c r="K130" s="72">
        <f>IFERROR(_xlfn.XLOOKUP(B130,'Payment HIstory'!$D:$D,'Payment HIstory'!$F:$F),0)</f>
        <v>0</v>
      </c>
      <c r="L130" s="1" t="str">
        <f t="shared" si="6"/>
        <v>Outstanding</v>
      </c>
      <c r="M130" s="72">
        <f t="shared" si="8"/>
        <v>84258</v>
      </c>
      <c r="N130" s="72">
        <f>IF(L130="Outstanding",($C$3-E130)*_xlfn.XLOOKUP(C130,'Vendor Details'!$B:$B,'Vendor Details'!$F:$F)*'Vendor Invoices'!G130,0)</f>
        <v>1179.6120000000001</v>
      </c>
      <c r="O130" s="77">
        <f t="shared" si="9"/>
        <v>85437.611999999994</v>
      </c>
      <c r="P130" s="70">
        <f t="shared" si="11"/>
        <v>20</v>
      </c>
      <c r="Q130" s="1" t="str" cm="1">
        <f t="array" ref="Q130">IF(L130="Outstanding",_xlfn.XLOOKUP(1,(P130&gt;='Aging Schedule'!$B$18:$B$22)*(P130&lt;='Aging Schedule'!$C$18:$C$22),'Aging Schedule'!$D$18:$D$22),"")</f>
        <v>0-30 Days</v>
      </c>
      <c r="R130" s="1" t="str">
        <f>IF(L130="Outstanding",VLOOKUP(P130,'Aging Schedule'!$B$18:$D$22,3),"")</f>
        <v>0-30 Days</v>
      </c>
      <c r="S130" s="77">
        <f t="shared" si="10"/>
        <v>1179.6120000000001</v>
      </c>
    </row>
    <row r="131" spans="2:19" x14ac:dyDescent="0.25">
      <c r="B131" s="1" t="s">
        <v>182</v>
      </c>
      <c r="C131" s="1" t="s">
        <v>41</v>
      </c>
      <c r="D131" s="43">
        <v>45195</v>
      </c>
      <c r="E131" s="43">
        <v>45225</v>
      </c>
      <c r="F131" s="1" t="s">
        <v>21</v>
      </c>
      <c r="G131" s="72">
        <v>46930</v>
      </c>
      <c r="I131" s="67" t="str">
        <v/>
      </c>
      <c r="J131" s="73">
        <f>IFERROR(IF(I131&gt;E131,(I131-E131)*_xlfn.XLOOKUP(C131,'Vendor Details'!$B$4:$B$33,'Vendor Details'!$F$4:$F$33)*'Vendor Invoices'!G131,""),0)</f>
        <v>0</v>
      </c>
      <c r="K131" s="72">
        <f>IFERROR(_xlfn.XLOOKUP(B131,'Payment HIstory'!$D:$D,'Payment HIstory'!$F:$F),0)</f>
        <v>0</v>
      </c>
      <c r="L131" s="1" t="str">
        <f t="shared" si="6"/>
        <v>Outstanding</v>
      </c>
      <c r="M131" s="72">
        <f t="shared" si="8"/>
        <v>46930</v>
      </c>
      <c r="N131" s="72">
        <f>IF(L131="Outstanding",($C$3-E131)*_xlfn.XLOOKUP(C131,'Vendor Details'!$B:$B,'Vendor Details'!$F:$F)*'Vendor Invoices'!G131,0)</f>
        <v>1961.6739999999998</v>
      </c>
      <c r="O131" s="77">
        <f t="shared" si="9"/>
        <v>48891.673999999999</v>
      </c>
      <c r="P131" s="70">
        <f t="shared" si="11"/>
        <v>76</v>
      </c>
      <c r="Q131" s="1" t="str" cm="1">
        <f t="array" ref="Q131">IF(L131="Outstanding",_xlfn.XLOOKUP(1,(P131&gt;='Aging Schedule'!$B$18:$B$22)*(P131&lt;='Aging Schedule'!$C$18:$C$22),'Aging Schedule'!$D$18:$D$22),"")</f>
        <v>61-90 Days</v>
      </c>
      <c r="R131" s="1" t="str">
        <f>IF(L131="Outstanding",VLOOKUP(P131,'Aging Schedule'!$B$18:$D$22,3),"")</f>
        <v>61-90 Days</v>
      </c>
      <c r="S131" s="77">
        <f t="shared" si="10"/>
        <v>1961.6739999999998</v>
      </c>
    </row>
    <row r="132" spans="2:19" x14ac:dyDescent="0.25">
      <c r="B132" s="1" t="s">
        <v>183</v>
      </c>
      <c r="C132" s="1" t="s">
        <v>39</v>
      </c>
      <c r="D132" s="43">
        <v>44943</v>
      </c>
      <c r="E132" s="43">
        <v>44960</v>
      </c>
      <c r="F132" s="1" t="s">
        <v>21</v>
      </c>
      <c r="G132" s="72">
        <v>49769</v>
      </c>
      <c r="I132" s="67">
        <v>44960</v>
      </c>
      <c r="J132" s="73" t="str">
        <f>IFERROR(IF(I132&gt;E132,(I132-E132)*_xlfn.XLOOKUP(C132,'Vendor Details'!$B$4:$B$33,'Vendor Details'!$F$4:$F$33)*'Vendor Invoices'!G132,""),0)</f>
        <v/>
      </c>
      <c r="K132" s="72">
        <f>IFERROR(_xlfn.XLOOKUP(B132,'Payment HIstory'!$D:$D,'Payment HIstory'!$F:$F),0)</f>
        <v>49769</v>
      </c>
      <c r="L132" s="1" t="str">
        <f t="shared" si="6"/>
        <v>Paid</v>
      </c>
      <c r="M132" s="72">
        <f t="shared" si="8"/>
        <v>0</v>
      </c>
      <c r="N132" s="72">
        <f>IF(L132="Outstanding",($C$3-E132)*_xlfn.XLOOKUP(C132,'Vendor Details'!$B:$B,'Vendor Details'!$F:$F)*'Vendor Invoices'!G132,0)</f>
        <v>0</v>
      </c>
      <c r="O132" s="77">
        <f t="shared" si="9"/>
        <v>0</v>
      </c>
      <c r="P132" s="70" t="str">
        <f t="shared" si="11"/>
        <v/>
      </c>
      <c r="Q132" s="1" t="str" cm="1">
        <f t="array" ref="Q132">IF(L132="Outstanding",_xlfn.XLOOKUP(1,(P132&gt;='Aging Schedule'!$B$18:$B$22)*(P132&lt;='Aging Schedule'!$C$18:$C$22),'Aging Schedule'!$D$18:$D$22),"")</f>
        <v/>
      </c>
      <c r="R132" s="1" t="str">
        <f>IF(L132="Outstanding",VLOOKUP(P132,'Aging Schedule'!$B$18:$D$22,3),"")</f>
        <v/>
      </c>
      <c r="S132" s="77">
        <f t="shared" si="10"/>
        <v>0</v>
      </c>
    </row>
    <row r="133" spans="2:19" x14ac:dyDescent="0.25">
      <c r="B133" s="1" t="s">
        <v>184</v>
      </c>
      <c r="C133" s="1" t="s">
        <v>40</v>
      </c>
      <c r="D133" s="43">
        <v>44944</v>
      </c>
      <c r="E133" s="43">
        <v>45006</v>
      </c>
      <c r="F133" s="1" t="s">
        <v>18</v>
      </c>
      <c r="G133" s="72">
        <v>48711</v>
      </c>
      <c r="I133" s="67">
        <v>45006</v>
      </c>
      <c r="J133" s="73" t="str">
        <f>IFERROR(IF(I133&gt;E133,(I133-E133)*_xlfn.XLOOKUP(C133,'Vendor Details'!$B$4:$B$33,'Vendor Details'!$F$4:$F$33)*'Vendor Invoices'!G133,""),0)</f>
        <v/>
      </c>
      <c r="K133" s="72">
        <f>IFERROR(_xlfn.XLOOKUP(B133,'Payment HIstory'!$D:$D,'Payment HIstory'!$F:$F),0)</f>
        <v>44814.12</v>
      </c>
      <c r="L133" s="1" t="str">
        <f t="shared" si="6"/>
        <v>Outstanding</v>
      </c>
      <c r="M133" s="72">
        <f t="shared" si="8"/>
        <v>3896.8799999999974</v>
      </c>
      <c r="N133" s="72">
        <f>IF(L133="Outstanding",($C$3-E133)*_xlfn.XLOOKUP(C133,'Vendor Details'!$B:$B,'Vendor Details'!$F:$F)*'Vendor Invoices'!G133,0)</f>
        <v>5747.8980000000001</v>
      </c>
      <c r="O133" s="77">
        <f t="shared" si="9"/>
        <v>9644.7779999999984</v>
      </c>
      <c r="P133" s="70">
        <f t="shared" si="11"/>
        <v>295</v>
      </c>
      <c r="Q133" s="1" t="str" cm="1">
        <f t="array" ref="Q133">IF(L133="Outstanding",_xlfn.XLOOKUP(1,(P133&gt;='Aging Schedule'!$B$18:$B$22)*(P133&lt;='Aging Schedule'!$C$18:$C$22),'Aging Schedule'!$D$18:$D$22),"")</f>
        <v>91+ Days</v>
      </c>
      <c r="R133" s="1" t="str">
        <f>IF(L133="Outstanding",VLOOKUP(P133,'Aging Schedule'!$B$18:$D$22,3),"")</f>
        <v>91+ Days</v>
      </c>
      <c r="S133" s="77">
        <f t="shared" si="10"/>
        <v>5747.8980000000001</v>
      </c>
    </row>
    <row r="134" spans="2:19" x14ac:dyDescent="0.25">
      <c r="B134" s="1" t="s">
        <v>185</v>
      </c>
      <c r="C134" s="1" t="s">
        <v>40</v>
      </c>
      <c r="D134" s="43">
        <v>45059</v>
      </c>
      <c r="E134" s="43">
        <v>45071</v>
      </c>
      <c r="F134" s="1" t="s">
        <v>18</v>
      </c>
      <c r="G134" s="72">
        <v>56763</v>
      </c>
      <c r="I134" s="67">
        <v>45071</v>
      </c>
      <c r="J134" s="73" t="str">
        <f>IFERROR(IF(I134&gt;E134,(I134-E134)*_xlfn.XLOOKUP(C134,'Vendor Details'!$B$4:$B$33,'Vendor Details'!$F$4:$F$33)*'Vendor Invoices'!G134,""),0)</f>
        <v/>
      </c>
      <c r="K134" s="72">
        <f>IFERROR(_xlfn.XLOOKUP(B134,'Payment HIstory'!$D:$D,'Payment HIstory'!$F:$F),0)</f>
        <v>56763</v>
      </c>
      <c r="L134" s="1" t="str">
        <f t="shared" ref="L134:L197" si="12">IF(I134&lt;&gt;"",IF(K134&gt;=SUM(G134,J134),"Paid","Outstanding"),"Outstanding")</f>
        <v>Paid</v>
      </c>
      <c r="M134" s="72">
        <f t="shared" si="8"/>
        <v>0</v>
      </c>
      <c r="N134" s="72">
        <f>IF(L134="Outstanding",($C$3-E134)*_xlfn.XLOOKUP(C134,'Vendor Details'!$B:$B,'Vendor Details'!$F:$F)*'Vendor Invoices'!G134,0)</f>
        <v>0</v>
      </c>
      <c r="O134" s="77">
        <f t="shared" si="9"/>
        <v>0</v>
      </c>
      <c r="P134" s="70" t="str">
        <f t="shared" ref="P134:P165" si="13">IF(L134="Outstanding",$C$3-E134,"")</f>
        <v/>
      </c>
      <c r="Q134" s="1" t="str" cm="1">
        <f t="array" ref="Q134">IF(L134="Outstanding",_xlfn.XLOOKUP(1,(P134&gt;='Aging Schedule'!$B$18:$B$22)*(P134&lt;='Aging Schedule'!$C$18:$C$22),'Aging Schedule'!$D$18:$D$22),"")</f>
        <v/>
      </c>
      <c r="R134" s="1" t="str">
        <f>IF(L134="Outstanding",VLOOKUP(P134,'Aging Schedule'!$B$18:$D$22,3),"")</f>
        <v/>
      </c>
      <c r="S134" s="77">
        <f t="shared" si="10"/>
        <v>0</v>
      </c>
    </row>
    <row r="135" spans="2:19" x14ac:dyDescent="0.25">
      <c r="B135" s="1" t="s">
        <v>186</v>
      </c>
      <c r="C135" s="1" t="s">
        <v>42</v>
      </c>
      <c r="D135" s="43">
        <v>45246</v>
      </c>
      <c r="E135" s="43">
        <v>45262</v>
      </c>
      <c r="F135" s="1" t="s">
        <v>21</v>
      </c>
      <c r="G135" s="72">
        <v>43227</v>
      </c>
      <c r="I135" s="67">
        <v>45262</v>
      </c>
      <c r="J135" s="73" t="str">
        <f>IFERROR(IF(I135&gt;E135,(I135-E135)*_xlfn.XLOOKUP(C135,'Vendor Details'!$B$4:$B$33,'Vendor Details'!$F$4:$F$33)*'Vendor Invoices'!G135,""),0)</f>
        <v/>
      </c>
      <c r="K135" s="72">
        <f>IFERROR(_xlfn.XLOOKUP(B135,'Payment HIstory'!$D:$D,'Payment HIstory'!$F:$F),0)</f>
        <v>43227</v>
      </c>
      <c r="L135" s="1" t="str">
        <f t="shared" si="12"/>
        <v>Paid</v>
      </c>
      <c r="M135" s="72">
        <f t="shared" ref="M135:M198" si="14">IF(L135="Outstanding",G135-K135,0)</f>
        <v>0</v>
      </c>
      <c r="N135" s="72">
        <f>IF(L135="Outstanding",($C$3-E135)*_xlfn.XLOOKUP(C135,'Vendor Details'!$B:$B,'Vendor Details'!$F:$F)*'Vendor Invoices'!G135,0)</f>
        <v>0</v>
      </c>
      <c r="O135" s="77">
        <f t="shared" ref="O135:O198" si="15">SUM(M135,N135)</f>
        <v>0</v>
      </c>
      <c r="P135" s="70" t="str">
        <f t="shared" si="13"/>
        <v/>
      </c>
      <c r="Q135" s="1" t="str" cm="1">
        <f t="array" ref="Q135">IF(L135="Outstanding",_xlfn.XLOOKUP(1,(P135&gt;='Aging Schedule'!$B$18:$B$22)*(P135&lt;='Aging Schedule'!$C$18:$C$22),'Aging Schedule'!$D$18:$D$22),"")</f>
        <v/>
      </c>
      <c r="R135" s="1" t="str">
        <f>IF(L135="Outstanding",VLOOKUP(P135,'Aging Schedule'!$B$18:$D$22,3),"")</f>
        <v/>
      </c>
      <c r="S135" s="77">
        <f t="shared" ref="S135:S198" si="16">SUM(N135,J135)</f>
        <v>0</v>
      </c>
    </row>
    <row r="136" spans="2:19" x14ac:dyDescent="0.25">
      <c r="B136" s="1" t="s">
        <v>187</v>
      </c>
      <c r="C136" s="1" t="s">
        <v>41</v>
      </c>
      <c r="D136" s="43">
        <v>44884</v>
      </c>
      <c r="E136" s="43">
        <v>44958</v>
      </c>
      <c r="F136" s="1" t="s">
        <v>19</v>
      </c>
      <c r="G136" s="72">
        <v>112897</v>
      </c>
      <c r="I136" s="67">
        <v>44982</v>
      </c>
      <c r="J136" s="73">
        <f>IFERROR(IF(I136&gt;E136,(I136-E136)*_xlfn.XLOOKUP(C136,'Vendor Details'!$B$4:$B$33,'Vendor Details'!$F$4:$F$33)*'Vendor Invoices'!G136,""),0)</f>
        <v>1490.2403999999999</v>
      </c>
      <c r="K136" s="72">
        <f>IFERROR(_xlfn.XLOOKUP(B136,'Payment HIstory'!$D:$D,'Payment HIstory'!$F:$F),0)</f>
        <v>104092.388764</v>
      </c>
      <c r="L136" s="1" t="str">
        <f t="shared" si="12"/>
        <v>Outstanding</v>
      </c>
      <c r="M136" s="72">
        <f t="shared" si="14"/>
        <v>8804.611235999997</v>
      </c>
      <c r="N136" s="72">
        <f>IF(L136="Outstanding",($C$3-E136)*_xlfn.XLOOKUP(C136,'Vendor Details'!$B:$B,'Vendor Details'!$F:$F)*'Vendor Invoices'!G136,0)</f>
        <v>21298.019049999999</v>
      </c>
      <c r="O136" s="77">
        <f t="shared" si="15"/>
        <v>30102.630285999996</v>
      </c>
      <c r="P136" s="70">
        <f t="shared" si="13"/>
        <v>343</v>
      </c>
      <c r="Q136" s="1" t="str" cm="1">
        <f t="array" ref="Q136">IF(L136="Outstanding",_xlfn.XLOOKUP(1,(P136&gt;='Aging Schedule'!$B$18:$B$22)*(P136&lt;='Aging Schedule'!$C$18:$C$22),'Aging Schedule'!$D$18:$D$22),"")</f>
        <v>91+ Days</v>
      </c>
      <c r="R136" s="1" t="str">
        <f>IF(L136="Outstanding",VLOOKUP(P136,'Aging Schedule'!$B$18:$D$22,3),"")</f>
        <v>91+ Days</v>
      </c>
      <c r="S136" s="77">
        <f t="shared" si="16"/>
        <v>22788.259449999998</v>
      </c>
    </row>
    <row r="137" spans="2:19" x14ac:dyDescent="0.25">
      <c r="B137" s="1" t="s">
        <v>188</v>
      </c>
      <c r="C137" s="1" t="s">
        <v>39</v>
      </c>
      <c r="D137" s="43">
        <v>45231</v>
      </c>
      <c r="E137" s="43">
        <v>45261</v>
      </c>
      <c r="F137" s="1" t="s">
        <v>21</v>
      </c>
      <c r="G137" s="72">
        <v>75273</v>
      </c>
      <c r="I137" s="67" t="str">
        <v/>
      </c>
      <c r="J137" s="73">
        <f>IFERROR(IF(I137&gt;E137,(I137-E137)*_xlfn.XLOOKUP(C137,'Vendor Details'!$B$4:$B$33,'Vendor Details'!$F$4:$F$33)*'Vendor Invoices'!G137,""),0)</f>
        <v>0</v>
      </c>
      <c r="K137" s="72">
        <f>IFERROR(_xlfn.XLOOKUP(B137,'Payment HIstory'!$D:$D,'Payment HIstory'!$F:$F),0)</f>
        <v>0</v>
      </c>
      <c r="L137" s="1" t="str">
        <f t="shared" si="12"/>
        <v>Outstanding</v>
      </c>
      <c r="M137" s="72">
        <f t="shared" si="14"/>
        <v>75273</v>
      </c>
      <c r="N137" s="72">
        <f>IF(L137="Outstanding",($C$3-E137)*_xlfn.XLOOKUP(C137,'Vendor Details'!$B:$B,'Vendor Details'!$F:$F)*'Vendor Invoices'!G137,0)</f>
        <v>1656.0059999999999</v>
      </c>
      <c r="O137" s="77">
        <f t="shared" si="15"/>
        <v>76929.005999999994</v>
      </c>
      <c r="P137" s="70">
        <f t="shared" si="13"/>
        <v>40</v>
      </c>
      <c r="Q137" s="1" t="str" cm="1">
        <f t="array" ref="Q137">IF(L137="Outstanding",_xlfn.XLOOKUP(1,(P137&gt;='Aging Schedule'!$B$18:$B$22)*(P137&lt;='Aging Schedule'!$C$18:$C$22),'Aging Schedule'!$D$18:$D$22),"")</f>
        <v>31-45 Days</v>
      </c>
      <c r="R137" s="1" t="str">
        <f>IF(L137="Outstanding",VLOOKUP(P137,'Aging Schedule'!$B$18:$D$22,3),"")</f>
        <v>31-45 Days</v>
      </c>
      <c r="S137" s="77">
        <f t="shared" si="16"/>
        <v>1656.0059999999999</v>
      </c>
    </row>
    <row r="138" spans="2:19" x14ac:dyDescent="0.25">
      <c r="B138" s="1" t="s">
        <v>189</v>
      </c>
      <c r="C138" s="1" t="s">
        <v>39</v>
      </c>
      <c r="D138" s="43">
        <v>45136</v>
      </c>
      <c r="E138" s="43">
        <v>45205</v>
      </c>
      <c r="F138" s="1" t="s">
        <v>20</v>
      </c>
      <c r="G138" s="72">
        <v>91947</v>
      </c>
      <c r="I138" s="67">
        <v>45205</v>
      </c>
      <c r="J138" s="73" t="str">
        <f>IFERROR(IF(I138&gt;E138,(I138-E138)*_xlfn.XLOOKUP(C138,'Vendor Details'!$B$4:$B$33,'Vendor Details'!$F$4:$F$33)*'Vendor Invoices'!G138,""),0)</f>
        <v/>
      </c>
      <c r="K138" s="72">
        <f>IFERROR(_xlfn.XLOOKUP(B138,'Payment HIstory'!$D:$D,'Payment HIstory'!$F:$F),0)</f>
        <v>91947</v>
      </c>
      <c r="L138" s="1" t="str">
        <f t="shared" si="12"/>
        <v>Paid</v>
      </c>
      <c r="M138" s="72">
        <f t="shared" si="14"/>
        <v>0</v>
      </c>
      <c r="N138" s="72">
        <f>IF(L138="Outstanding",($C$3-E138)*_xlfn.XLOOKUP(C138,'Vendor Details'!$B:$B,'Vendor Details'!$F:$F)*'Vendor Invoices'!G138,0)</f>
        <v>0</v>
      </c>
      <c r="O138" s="77">
        <f t="shared" si="15"/>
        <v>0</v>
      </c>
      <c r="P138" s="70" t="str">
        <f t="shared" si="13"/>
        <v/>
      </c>
      <c r="Q138" s="1" t="str" cm="1">
        <f t="array" ref="Q138">IF(L138="Outstanding",_xlfn.XLOOKUP(1,(P138&gt;='Aging Schedule'!$B$18:$B$22)*(P138&lt;='Aging Schedule'!$C$18:$C$22),'Aging Schedule'!$D$18:$D$22),"")</f>
        <v/>
      </c>
      <c r="R138" s="1" t="str">
        <f>IF(L138="Outstanding",VLOOKUP(P138,'Aging Schedule'!$B$18:$D$22,3),"")</f>
        <v/>
      </c>
      <c r="S138" s="77">
        <f t="shared" si="16"/>
        <v>0</v>
      </c>
    </row>
    <row r="139" spans="2:19" x14ac:dyDescent="0.25">
      <c r="B139" s="1" t="s">
        <v>190</v>
      </c>
      <c r="C139" s="1" t="s">
        <v>35</v>
      </c>
      <c r="D139" s="43">
        <v>44911</v>
      </c>
      <c r="E139" s="43">
        <v>44970</v>
      </c>
      <c r="F139" s="1" t="s">
        <v>18</v>
      </c>
      <c r="G139" s="72">
        <v>82933</v>
      </c>
      <c r="I139" s="67">
        <v>44970</v>
      </c>
      <c r="J139" s="73" t="str">
        <f>IFERROR(IF(I139&gt;E139,(I139-E139)*_xlfn.XLOOKUP(C139,'Vendor Details'!$B$4:$B$33,'Vendor Details'!$F$4:$F$33)*'Vendor Invoices'!G139,""),0)</f>
        <v/>
      </c>
      <c r="K139" s="72">
        <f>IFERROR(_xlfn.XLOOKUP(B139,'Payment HIstory'!$D:$D,'Payment HIstory'!$F:$F),0)</f>
        <v>82933</v>
      </c>
      <c r="L139" s="1" t="str">
        <f t="shared" si="12"/>
        <v>Paid</v>
      </c>
      <c r="M139" s="72">
        <f t="shared" si="14"/>
        <v>0</v>
      </c>
      <c r="N139" s="72">
        <f>IF(L139="Outstanding",($C$3-E139)*_xlfn.XLOOKUP(C139,'Vendor Details'!$B:$B,'Vendor Details'!$F:$F)*'Vendor Invoices'!G139,0)</f>
        <v>0</v>
      </c>
      <c r="O139" s="77">
        <f t="shared" si="15"/>
        <v>0</v>
      </c>
      <c r="P139" s="70" t="str">
        <f t="shared" si="13"/>
        <v/>
      </c>
      <c r="Q139" s="1" t="str" cm="1">
        <f t="array" ref="Q139">IF(L139="Outstanding",_xlfn.XLOOKUP(1,(P139&gt;='Aging Schedule'!$B$18:$B$22)*(P139&lt;='Aging Schedule'!$C$18:$C$22),'Aging Schedule'!$D$18:$D$22),"")</f>
        <v/>
      </c>
      <c r="R139" s="1" t="str">
        <f>IF(L139="Outstanding",VLOOKUP(P139,'Aging Schedule'!$B$18:$D$22,3),"")</f>
        <v/>
      </c>
      <c r="S139" s="77">
        <f t="shared" si="16"/>
        <v>0</v>
      </c>
    </row>
    <row r="140" spans="2:19" x14ac:dyDescent="0.25">
      <c r="B140" s="1" t="s">
        <v>191</v>
      </c>
      <c r="C140" s="1" t="s">
        <v>35</v>
      </c>
      <c r="D140" s="43">
        <v>45129</v>
      </c>
      <c r="E140" s="43">
        <v>45218</v>
      </c>
      <c r="F140" s="1" t="s">
        <v>21</v>
      </c>
      <c r="G140" s="72">
        <v>113841</v>
      </c>
      <c r="I140" s="67">
        <v>45218</v>
      </c>
      <c r="J140" s="73" t="str">
        <f>IFERROR(IF(I140&gt;E140,(I140-E140)*_xlfn.XLOOKUP(C140,'Vendor Details'!$B$4:$B$33,'Vendor Details'!$F$4:$F$33)*'Vendor Invoices'!G140,""),0)</f>
        <v/>
      </c>
      <c r="K140" s="72">
        <f>IFERROR(_xlfn.XLOOKUP(B140,'Payment HIstory'!$D:$D,'Payment HIstory'!$F:$F),0)</f>
        <v>113841</v>
      </c>
      <c r="L140" s="1" t="str">
        <f t="shared" si="12"/>
        <v>Paid</v>
      </c>
      <c r="M140" s="72">
        <f t="shared" si="14"/>
        <v>0</v>
      </c>
      <c r="N140" s="72">
        <f>IF(L140="Outstanding",($C$3-E140)*_xlfn.XLOOKUP(C140,'Vendor Details'!$B:$B,'Vendor Details'!$F:$F)*'Vendor Invoices'!G140,0)</f>
        <v>0</v>
      </c>
      <c r="O140" s="77">
        <f t="shared" si="15"/>
        <v>0</v>
      </c>
      <c r="P140" s="70" t="str">
        <f t="shared" si="13"/>
        <v/>
      </c>
      <c r="Q140" s="1" t="str" cm="1">
        <f t="array" ref="Q140">IF(L140="Outstanding",_xlfn.XLOOKUP(1,(P140&gt;='Aging Schedule'!$B$18:$B$22)*(P140&lt;='Aging Schedule'!$C$18:$C$22),'Aging Schedule'!$D$18:$D$22),"")</f>
        <v/>
      </c>
      <c r="R140" s="1" t="str">
        <f>IF(L140="Outstanding",VLOOKUP(P140,'Aging Schedule'!$B$18:$D$22,3),"")</f>
        <v/>
      </c>
      <c r="S140" s="77">
        <f t="shared" si="16"/>
        <v>0</v>
      </c>
    </row>
    <row r="141" spans="2:19" x14ac:dyDescent="0.25">
      <c r="B141" s="1" t="s">
        <v>192</v>
      </c>
      <c r="C141" s="1" t="s">
        <v>34</v>
      </c>
      <c r="D141" s="43">
        <v>45184</v>
      </c>
      <c r="E141" s="43">
        <v>45265</v>
      </c>
      <c r="F141" s="1" t="s">
        <v>20</v>
      </c>
      <c r="G141" s="72">
        <v>97282</v>
      </c>
      <c r="I141" s="67">
        <v>45265</v>
      </c>
      <c r="J141" s="73" t="str">
        <f>IFERROR(IF(I141&gt;E141,(I141-E141)*_xlfn.XLOOKUP(C141,'Vendor Details'!$B$4:$B$33,'Vendor Details'!$F$4:$F$33)*'Vendor Invoices'!G141,""),0)</f>
        <v/>
      </c>
      <c r="K141" s="72">
        <f>IFERROR(_xlfn.XLOOKUP(B141,'Payment HIstory'!$D:$D,'Payment HIstory'!$F:$F),0)</f>
        <v>97282</v>
      </c>
      <c r="L141" s="1" t="str">
        <f t="shared" si="12"/>
        <v>Paid</v>
      </c>
      <c r="M141" s="72">
        <f t="shared" si="14"/>
        <v>0</v>
      </c>
      <c r="N141" s="72">
        <f>IF(L141="Outstanding",($C$3-E141)*_xlfn.XLOOKUP(C141,'Vendor Details'!$B:$B,'Vendor Details'!$F:$F)*'Vendor Invoices'!G141,0)</f>
        <v>0</v>
      </c>
      <c r="O141" s="77">
        <f t="shared" si="15"/>
        <v>0</v>
      </c>
      <c r="P141" s="70" t="str">
        <f t="shared" si="13"/>
        <v/>
      </c>
      <c r="Q141" s="1" t="str" cm="1">
        <f t="array" ref="Q141">IF(L141="Outstanding",_xlfn.XLOOKUP(1,(P141&gt;='Aging Schedule'!$B$18:$B$22)*(P141&lt;='Aging Schedule'!$C$18:$C$22),'Aging Schedule'!$D$18:$D$22),"")</f>
        <v/>
      </c>
      <c r="R141" s="1" t="str">
        <f>IF(L141="Outstanding",VLOOKUP(P141,'Aging Schedule'!$B$18:$D$22,3),"")</f>
        <v/>
      </c>
      <c r="S141" s="77">
        <f t="shared" si="16"/>
        <v>0</v>
      </c>
    </row>
    <row r="142" spans="2:19" x14ac:dyDescent="0.25">
      <c r="B142" s="1" t="s">
        <v>193</v>
      </c>
      <c r="C142" s="1" t="s">
        <v>33</v>
      </c>
      <c r="D142" s="43">
        <v>45210</v>
      </c>
      <c r="E142" s="43">
        <v>45240</v>
      </c>
      <c r="F142" s="1" t="s">
        <v>21</v>
      </c>
      <c r="G142" s="72">
        <v>118329</v>
      </c>
      <c r="I142" s="67" t="str">
        <v/>
      </c>
      <c r="J142" s="73">
        <f>IFERROR(IF(I142&gt;E142,(I142-E142)*_xlfn.XLOOKUP(C142,'Vendor Details'!$B$4:$B$33,'Vendor Details'!$F$4:$F$33)*'Vendor Invoices'!G142,""),0)</f>
        <v>0</v>
      </c>
      <c r="K142" s="72">
        <f>IFERROR(_xlfn.XLOOKUP(B142,'Payment HIstory'!$D:$D,'Payment HIstory'!$F:$F),0)</f>
        <v>0</v>
      </c>
      <c r="L142" s="1" t="str">
        <f t="shared" si="12"/>
        <v>Outstanding</v>
      </c>
      <c r="M142" s="72">
        <f t="shared" si="14"/>
        <v>118329</v>
      </c>
      <c r="N142" s="72">
        <f>IF(L142="Outstanding",($C$3-E142)*_xlfn.XLOOKUP(C142,'Vendor Details'!$B:$B,'Vendor Details'!$F:$F)*'Vendor Invoices'!G142,0)</f>
        <v>5052.6482999999998</v>
      </c>
      <c r="O142" s="77">
        <f t="shared" si="15"/>
        <v>123381.6483</v>
      </c>
      <c r="P142" s="70">
        <f t="shared" si="13"/>
        <v>61</v>
      </c>
      <c r="Q142" s="1" t="str" cm="1">
        <f t="array" ref="Q142">IF(L142="Outstanding",_xlfn.XLOOKUP(1,(P142&gt;='Aging Schedule'!$B$18:$B$22)*(P142&lt;='Aging Schedule'!$C$18:$C$22),'Aging Schedule'!$D$18:$D$22),"")</f>
        <v>61-90 Days</v>
      </c>
      <c r="R142" s="1" t="str">
        <f>IF(L142="Outstanding",VLOOKUP(P142,'Aging Schedule'!$B$18:$D$22,3),"")</f>
        <v>61-90 Days</v>
      </c>
      <c r="S142" s="77">
        <f t="shared" si="16"/>
        <v>5052.6482999999998</v>
      </c>
    </row>
    <row r="143" spans="2:19" x14ac:dyDescent="0.25">
      <c r="B143" s="1" t="s">
        <v>194</v>
      </c>
      <c r="C143" s="1" t="s">
        <v>40</v>
      </c>
      <c r="D143" s="43">
        <v>44972</v>
      </c>
      <c r="E143" s="43">
        <v>45005</v>
      </c>
      <c r="F143" s="1" t="s">
        <v>18</v>
      </c>
      <c r="G143" s="72">
        <v>107312</v>
      </c>
      <c r="I143" s="67">
        <v>45005</v>
      </c>
      <c r="J143" s="73" t="str">
        <f>IFERROR(IF(I143&gt;E143,(I143-E143)*_xlfn.XLOOKUP(C143,'Vendor Details'!$B$4:$B$33,'Vendor Details'!$F$4:$F$33)*'Vendor Invoices'!G143,""),0)</f>
        <v/>
      </c>
      <c r="K143" s="72">
        <f>IFERROR(_xlfn.XLOOKUP(B143,'Payment HIstory'!$D:$D,'Payment HIstory'!$F:$F),0)</f>
        <v>107312</v>
      </c>
      <c r="L143" s="1" t="str">
        <f t="shared" si="12"/>
        <v>Paid</v>
      </c>
      <c r="M143" s="72">
        <f t="shared" si="14"/>
        <v>0</v>
      </c>
      <c r="N143" s="72">
        <f>IF(L143="Outstanding",($C$3-E143)*_xlfn.XLOOKUP(C143,'Vendor Details'!$B:$B,'Vendor Details'!$F:$F)*'Vendor Invoices'!G143,0)</f>
        <v>0</v>
      </c>
      <c r="O143" s="77">
        <f t="shared" si="15"/>
        <v>0</v>
      </c>
      <c r="P143" s="70" t="str">
        <f t="shared" si="13"/>
        <v/>
      </c>
      <c r="Q143" s="1" t="str" cm="1">
        <f t="array" ref="Q143">IF(L143="Outstanding",_xlfn.XLOOKUP(1,(P143&gt;='Aging Schedule'!$B$18:$B$22)*(P143&lt;='Aging Schedule'!$C$18:$C$22),'Aging Schedule'!$D$18:$D$22),"")</f>
        <v/>
      </c>
      <c r="R143" s="1" t="str">
        <f>IF(L143="Outstanding",VLOOKUP(P143,'Aging Schedule'!$B$18:$D$22,3),"")</f>
        <v/>
      </c>
      <c r="S143" s="77">
        <f t="shared" si="16"/>
        <v>0</v>
      </c>
    </row>
    <row r="144" spans="2:19" x14ac:dyDescent="0.25">
      <c r="B144" s="1" t="s">
        <v>195</v>
      </c>
      <c r="C144" s="1" t="s">
        <v>42</v>
      </c>
      <c r="D144" s="43">
        <v>45210</v>
      </c>
      <c r="E144" s="43">
        <v>45248</v>
      </c>
      <c r="F144" s="1" t="s">
        <v>21</v>
      </c>
      <c r="G144" s="72">
        <v>84178</v>
      </c>
      <c r="I144" s="67">
        <v>45248</v>
      </c>
      <c r="J144" s="73" t="str">
        <f>IFERROR(IF(I144&gt;E144,(I144-E144)*_xlfn.XLOOKUP(C144,'Vendor Details'!$B$4:$B$33,'Vendor Details'!$F$4:$F$33)*'Vendor Invoices'!G144,""),0)</f>
        <v/>
      </c>
      <c r="K144" s="72">
        <f>IFERROR(_xlfn.XLOOKUP(B144,'Payment HIstory'!$D:$D,'Payment HIstory'!$F:$F),0)</f>
        <v>84178</v>
      </c>
      <c r="L144" s="1" t="str">
        <f t="shared" si="12"/>
        <v>Paid</v>
      </c>
      <c r="M144" s="72">
        <f t="shared" si="14"/>
        <v>0</v>
      </c>
      <c r="N144" s="72">
        <f>IF(L144="Outstanding",($C$3-E144)*_xlfn.XLOOKUP(C144,'Vendor Details'!$B:$B,'Vendor Details'!$F:$F)*'Vendor Invoices'!G144,0)</f>
        <v>0</v>
      </c>
      <c r="O144" s="77">
        <f t="shared" si="15"/>
        <v>0</v>
      </c>
      <c r="P144" s="70" t="str">
        <f t="shared" si="13"/>
        <v/>
      </c>
      <c r="Q144" s="1" t="str" cm="1">
        <f t="array" ref="Q144">IF(L144="Outstanding",_xlfn.XLOOKUP(1,(P144&gt;='Aging Schedule'!$B$18:$B$22)*(P144&lt;='Aging Schedule'!$C$18:$C$22),'Aging Schedule'!$D$18:$D$22),"")</f>
        <v/>
      </c>
      <c r="R144" s="1" t="str">
        <f>IF(L144="Outstanding",VLOOKUP(P144,'Aging Schedule'!$B$18:$D$22,3),"")</f>
        <v/>
      </c>
      <c r="S144" s="77">
        <f t="shared" si="16"/>
        <v>0</v>
      </c>
    </row>
    <row r="145" spans="2:19" x14ac:dyDescent="0.25">
      <c r="B145" s="1" t="s">
        <v>196</v>
      </c>
      <c r="C145" s="1" t="s">
        <v>41</v>
      </c>
      <c r="D145" s="43">
        <v>45084</v>
      </c>
      <c r="E145" s="43">
        <v>45099</v>
      </c>
      <c r="F145" s="1" t="s">
        <v>21</v>
      </c>
      <c r="G145" s="72">
        <v>48199</v>
      </c>
      <c r="I145" s="67">
        <v>45099</v>
      </c>
      <c r="J145" s="73" t="str">
        <f>IFERROR(IF(I145&gt;E145,(I145-E145)*_xlfn.XLOOKUP(C145,'Vendor Details'!$B$4:$B$33,'Vendor Details'!$F$4:$F$33)*'Vendor Invoices'!G145,""),0)</f>
        <v/>
      </c>
      <c r="K145" s="72">
        <f>IFERROR(_xlfn.XLOOKUP(B145,'Payment HIstory'!$D:$D,'Payment HIstory'!$F:$F),0)</f>
        <v>48199</v>
      </c>
      <c r="L145" s="1" t="str">
        <f t="shared" si="12"/>
        <v>Paid</v>
      </c>
      <c r="M145" s="72">
        <f t="shared" si="14"/>
        <v>0</v>
      </c>
      <c r="N145" s="72">
        <f>IF(L145="Outstanding",($C$3-E145)*_xlfn.XLOOKUP(C145,'Vendor Details'!$B:$B,'Vendor Details'!$F:$F)*'Vendor Invoices'!G145,0)</f>
        <v>0</v>
      </c>
      <c r="O145" s="77">
        <f t="shared" si="15"/>
        <v>0</v>
      </c>
      <c r="P145" s="70" t="str">
        <f t="shared" si="13"/>
        <v/>
      </c>
      <c r="Q145" s="1" t="str" cm="1">
        <f t="array" ref="Q145">IF(L145="Outstanding",_xlfn.XLOOKUP(1,(P145&gt;='Aging Schedule'!$B$18:$B$22)*(P145&lt;='Aging Schedule'!$C$18:$C$22),'Aging Schedule'!$D$18:$D$22),"")</f>
        <v/>
      </c>
      <c r="R145" s="1" t="str">
        <f>IF(L145="Outstanding",VLOOKUP(P145,'Aging Schedule'!$B$18:$D$22,3),"")</f>
        <v/>
      </c>
      <c r="S145" s="77">
        <f t="shared" si="16"/>
        <v>0</v>
      </c>
    </row>
    <row r="146" spans="2:19" x14ac:dyDescent="0.25">
      <c r="B146" s="1" t="s">
        <v>197</v>
      </c>
      <c r="C146" s="1" t="s">
        <v>35</v>
      </c>
      <c r="D146" s="43">
        <v>45170</v>
      </c>
      <c r="E146" s="43">
        <v>45200</v>
      </c>
      <c r="F146" s="1" t="s">
        <v>21</v>
      </c>
      <c r="G146" s="72">
        <v>54373</v>
      </c>
      <c r="I146" s="67" t="str">
        <v/>
      </c>
      <c r="J146" s="73">
        <f>IFERROR(IF(I146&gt;E146,(I146-E146)*_xlfn.XLOOKUP(C146,'Vendor Details'!$B$4:$B$33,'Vendor Details'!$F$4:$F$33)*'Vendor Invoices'!G146,""),0)</f>
        <v>0</v>
      </c>
      <c r="K146" s="72">
        <f>IFERROR(_xlfn.XLOOKUP(B146,'Payment HIstory'!$D:$D,'Payment HIstory'!$F:$F),0)</f>
        <v>0</v>
      </c>
      <c r="L146" s="1" t="str">
        <f t="shared" si="12"/>
        <v>Outstanding</v>
      </c>
      <c r="M146" s="72">
        <f t="shared" si="14"/>
        <v>54373</v>
      </c>
      <c r="N146" s="72">
        <f>IF(L146="Outstanding",($C$3-E146)*_xlfn.XLOOKUP(C146,'Vendor Details'!$B:$B,'Vendor Details'!$F:$F)*'Vendor Invoices'!G146,0)</f>
        <v>2471.2528500000003</v>
      </c>
      <c r="O146" s="77">
        <f t="shared" si="15"/>
        <v>56844.252849999997</v>
      </c>
      <c r="P146" s="70">
        <f t="shared" si="13"/>
        <v>101</v>
      </c>
      <c r="Q146" s="1" t="str" cm="1">
        <f t="array" ref="Q146">IF(L146="Outstanding",_xlfn.XLOOKUP(1,(P146&gt;='Aging Schedule'!$B$18:$B$22)*(P146&lt;='Aging Schedule'!$C$18:$C$22),'Aging Schedule'!$D$18:$D$22),"")</f>
        <v>91+ Days</v>
      </c>
      <c r="R146" s="1" t="str">
        <f>IF(L146="Outstanding",VLOOKUP(P146,'Aging Schedule'!$B$18:$D$22,3),"")</f>
        <v>91+ Days</v>
      </c>
      <c r="S146" s="77">
        <f t="shared" si="16"/>
        <v>2471.2528500000003</v>
      </c>
    </row>
    <row r="147" spans="2:19" x14ac:dyDescent="0.25">
      <c r="B147" s="1" t="s">
        <v>198</v>
      </c>
      <c r="C147" s="1" t="s">
        <v>36</v>
      </c>
      <c r="D147" s="43">
        <v>45200</v>
      </c>
      <c r="E147" s="43">
        <v>45211</v>
      </c>
      <c r="F147" s="1" t="s">
        <v>19</v>
      </c>
      <c r="G147" s="72">
        <v>43470</v>
      </c>
      <c r="I147" s="67">
        <v>45211</v>
      </c>
      <c r="J147" s="73" t="str">
        <f>IFERROR(IF(I147&gt;E147,(I147-E147)*_xlfn.XLOOKUP(C147,'Vendor Details'!$B$4:$B$33,'Vendor Details'!$F$4:$F$33)*'Vendor Invoices'!G147,""),0)</f>
        <v/>
      </c>
      <c r="K147" s="72">
        <f>IFERROR(_xlfn.XLOOKUP(B147,'Payment HIstory'!$D:$D,'Payment HIstory'!$F:$F),0)</f>
        <v>43470</v>
      </c>
      <c r="L147" s="1" t="str">
        <f t="shared" si="12"/>
        <v>Paid</v>
      </c>
      <c r="M147" s="72">
        <f t="shared" si="14"/>
        <v>0</v>
      </c>
      <c r="N147" s="72">
        <f>IF(L147="Outstanding",($C$3-E147)*_xlfn.XLOOKUP(C147,'Vendor Details'!$B:$B,'Vendor Details'!$F:$F)*'Vendor Invoices'!G147,0)</f>
        <v>0</v>
      </c>
      <c r="O147" s="77">
        <f t="shared" si="15"/>
        <v>0</v>
      </c>
      <c r="P147" s="70" t="str">
        <f t="shared" si="13"/>
        <v/>
      </c>
      <c r="Q147" s="1" t="str" cm="1">
        <f t="array" ref="Q147">IF(L147="Outstanding",_xlfn.XLOOKUP(1,(P147&gt;='Aging Schedule'!$B$18:$B$22)*(P147&lt;='Aging Schedule'!$C$18:$C$22),'Aging Schedule'!$D$18:$D$22),"")</f>
        <v/>
      </c>
      <c r="R147" s="1" t="str">
        <f>IF(L147="Outstanding",VLOOKUP(P147,'Aging Schedule'!$B$18:$D$22,3),"")</f>
        <v/>
      </c>
      <c r="S147" s="77">
        <f t="shared" si="16"/>
        <v>0</v>
      </c>
    </row>
    <row r="148" spans="2:19" x14ac:dyDescent="0.25">
      <c r="B148" s="1" t="s">
        <v>199</v>
      </c>
      <c r="C148" s="1" t="s">
        <v>38</v>
      </c>
      <c r="D148" s="43">
        <v>45029</v>
      </c>
      <c r="E148" s="43">
        <v>45098</v>
      </c>
      <c r="F148" s="1" t="s">
        <v>19</v>
      </c>
      <c r="G148" s="72">
        <v>41825</v>
      </c>
      <c r="I148" s="67">
        <v>45098</v>
      </c>
      <c r="J148" s="73" t="str">
        <f>IFERROR(IF(I148&gt;E148,(I148-E148)*_xlfn.XLOOKUP(C148,'Vendor Details'!$B$4:$B$33,'Vendor Details'!$F$4:$F$33)*'Vendor Invoices'!G148,""),0)</f>
        <v/>
      </c>
      <c r="K148" s="72">
        <f>IFERROR(_xlfn.XLOOKUP(B148,'Payment HIstory'!$D:$D,'Payment HIstory'!$F:$F),0)</f>
        <v>41825</v>
      </c>
      <c r="L148" s="1" t="str">
        <f t="shared" si="12"/>
        <v>Paid</v>
      </c>
      <c r="M148" s="72">
        <f t="shared" si="14"/>
        <v>0</v>
      </c>
      <c r="N148" s="72">
        <f>IF(L148="Outstanding",($C$3-E148)*_xlfn.XLOOKUP(C148,'Vendor Details'!$B:$B,'Vendor Details'!$F:$F)*'Vendor Invoices'!G148,0)</f>
        <v>0</v>
      </c>
      <c r="O148" s="77">
        <f t="shared" si="15"/>
        <v>0</v>
      </c>
      <c r="P148" s="70" t="str">
        <f t="shared" si="13"/>
        <v/>
      </c>
      <c r="Q148" s="1" t="str" cm="1">
        <f t="array" ref="Q148">IF(L148="Outstanding",_xlfn.XLOOKUP(1,(P148&gt;='Aging Schedule'!$B$18:$B$22)*(P148&lt;='Aging Schedule'!$C$18:$C$22),'Aging Schedule'!$D$18:$D$22),"")</f>
        <v/>
      </c>
      <c r="R148" s="1" t="str">
        <f>IF(L148="Outstanding",VLOOKUP(P148,'Aging Schedule'!$B$18:$D$22,3),"")</f>
        <v/>
      </c>
      <c r="S148" s="77">
        <f t="shared" si="16"/>
        <v>0</v>
      </c>
    </row>
    <row r="149" spans="2:19" x14ac:dyDescent="0.25">
      <c r="B149" s="1" t="s">
        <v>200</v>
      </c>
      <c r="C149" s="1" t="s">
        <v>42</v>
      </c>
      <c r="D149" s="43">
        <v>45241</v>
      </c>
      <c r="E149" s="43">
        <v>45271</v>
      </c>
      <c r="F149" s="1" t="s">
        <v>21</v>
      </c>
      <c r="G149" s="72">
        <v>63415</v>
      </c>
      <c r="I149" s="67" t="str">
        <v/>
      </c>
      <c r="J149" s="73">
        <f>IFERROR(IF(I149&gt;E149,(I149-E149)*_xlfn.XLOOKUP(C149,'Vendor Details'!$B$4:$B$33,'Vendor Details'!$F$4:$F$33)*'Vendor Invoices'!G149,""),0)</f>
        <v>0</v>
      </c>
      <c r="K149" s="72">
        <f>IFERROR(_xlfn.XLOOKUP(B149,'Payment HIstory'!$D:$D,'Payment HIstory'!$F:$F),0)</f>
        <v>0</v>
      </c>
      <c r="L149" s="1" t="str">
        <f t="shared" si="12"/>
        <v>Outstanding</v>
      </c>
      <c r="M149" s="72">
        <f t="shared" si="14"/>
        <v>63415</v>
      </c>
      <c r="N149" s="72">
        <f>IF(L149="Outstanding",($C$3-E149)*_xlfn.XLOOKUP(C149,'Vendor Details'!$B:$B,'Vendor Details'!$F:$F)*'Vendor Invoices'!G149,0)</f>
        <v>570.73500000000001</v>
      </c>
      <c r="O149" s="77">
        <f t="shared" si="15"/>
        <v>63985.735000000001</v>
      </c>
      <c r="P149" s="70">
        <f t="shared" si="13"/>
        <v>30</v>
      </c>
      <c r="Q149" s="1" t="str" cm="1">
        <f t="array" ref="Q149">IF(L149="Outstanding",_xlfn.XLOOKUP(1,(P149&gt;='Aging Schedule'!$B$18:$B$22)*(P149&lt;='Aging Schedule'!$C$18:$C$22),'Aging Schedule'!$D$18:$D$22),"")</f>
        <v>0-30 Days</v>
      </c>
      <c r="R149" s="1" t="str">
        <f>IF(L149="Outstanding",VLOOKUP(P149,'Aging Schedule'!$B$18:$D$22,3),"")</f>
        <v>0-30 Days</v>
      </c>
      <c r="S149" s="77">
        <f t="shared" si="16"/>
        <v>570.73500000000001</v>
      </c>
    </row>
    <row r="150" spans="2:19" x14ac:dyDescent="0.25">
      <c r="B150" s="1" t="s">
        <v>201</v>
      </c>
      <c r="C150" s="1" t="s">
        <v>36</v>
      </c>
      <c r="D150" s="43">
        <v>45228</v>
      </c>
      <c r="E150" s="43">
        <v>45241</v>
      </c>
      <c r="F150" s="1" t="s">
        <v>19</v>
      </c>
      <c r="G150" s="72">
        <v>35855</v>
      </c>
      <c r="I150" s="67">
        <v>45241</v>
      </c>
      <c r="J150" s="73" t="str">
        <f>IFERROR(IF(I150&gt;E150,(I150-E150)*_xlfn.XLOOKUP(C150,'Vendor Details'!$B$4:$B$33,'Vendor Details'!$F$4:$F$33)*'Vendor Invoices'!G150,""),0)</f>
        <v/>
      </c>
      <c r="K150" s="72">
        <f>IFERROR(_xlfn.XLOOKUP(B150,'Payment HIstory'!$D:$D,'Payment HIstory'!$F:$F),0)</f>
        <v>35855</v>
      </c>
      <c r="L150" s="1" t="str">
        <f t="shared" si="12"/>
        <v>Paid</v>
      </c>
      <c r="M150" s="72">
        <f t="shared" si="14"/>
        <v>0</v>
      </c>
      <c r="N150" s="72">
        <f>IF(L150="Outstanding",($C$3-E150)*_xlfn.XLOOKUP(C150,'Vendor Details'!$B:$B,'Vendor Details'!$F:$F)*'Vendor Invoices'!G150,0)</f>
        <v>0</v>
      </c>
      <c r="O150" s="77">
        <f t="shared" si="15"/>
        <v>0</v>
      </c>
      <c r="P150" s="70" t="str">
        <f t="shared" si="13"/>
        <v/>
      </c>
      <c r="Q150" s="1" t="str" cm="1">
        <f t="array" ref="Q150">IF(L150="Outstanding",_xlfn.XLOOKUP(1,(P150&gt;='Aging Schedule'!$B$18:$B$22)*(P150&lt;='Aging Schedule'!$C$18:$C$22),'Aging Schedule'!$D$18:$D$22),"")</f>
        <v/>
      </c>
      <c r="R150" s="1" t="str">
        <f>IF(L150="Outstanding",VLOOKUP(P150,'Aging Schedule'!$B$18:$D$22,3),"")</f>
        <v/>
      </c>
      <c r="S150" s="77">
        <f t="shared" si="16"/>
        <v>0</v>
      </c>
    </row>
    <row r="151" spans="2:19" x14ac:dyDescent="0.25">
      <c r="B151" s="1" t="s">
        <v>202</v>
      </c>
      <c r="C151" s="1" t="s">
        <v>36</v>
      </c>
      <c r="D151" s="43">
        <v>44858</v>
      </c>
      <c r="E151" s="43">
        <v>44955</v>
      </c>
      <c r="F151" s="1" t="s">
        <v>20</v>
      </c>
      <c r="G151" s="72">
        <v>87743</v>
      </c>
      <c r="I151" s="67">
        <v>44955</v>
      </c>
      <c r="J151" s="73" t="str">
        <f>IFERROR(IF(I151&gt;E151,(I151-E151)*_xlfn.XLOOKUP(C151,'Vendor Details'!$B$4:$B$33,'Vendor Details'!$F$4:$F$33)*'Vendor Invoices'!G151,""),0)</f>
        <v/>
      </c>
      <c r="K151" s="72">
        <f>IFERROR(_xlfn.XLOOKUP(B151,'Payment HIstory'!$D:$D,'Payment HIstory'!$F:$F),0)</f>
        <v>80723.56</v>
      </c>
      <c r="L151" s="1" t="str">
        <f t="shared" si="12"/>
        <v>Outstanding</v>
      </c>
      <c r="M151" s="72">
        <f t="shared" si="14"/>
        <v>7019.4400000000023</v>
      </c>
      <c r="N151" s="72">
        <f>IF(L151="Outstanding",($C$3-E151)*_xlfn.XLOOKUP(C151,'Vendor Details'!$B:$B,'Vendor Details'!$F:$F)*'Vendor Invoices'!G151,0)</f>
        <v>24287.2624</v>
      </c>
      <c r="O151" s="77">
        <f t="shared" si="15"/>
        <v>31306.702400000002</v>
      </c>
      <c r="P151" s="70">
        <f t="shared" si="13"/>
        <v>346</v>
      </c>
      <c r="Q151" s="1" t="str" cm="1">
        <f t="array" ref="Q151">IF(L151="Outstanding",_xlfn.XLOOKUP(1,(P151&gt;='Aging Schedule'!$B$18:$B$22)*(P151&lt;='Aging Schedule'!$C$18:$C$22),'Aging Schedule'!$D$18:$D$22),"")</f>
        <v>91+ Days</v>
      </c>
      <c r="R151" s="1" t="str">
        <f>IF(L151="Outstanding",VLOOKUP(P151,'Aging Schedule'!$B$18:$D$22,3),"")</f>
        <v>91+ Days</v>
      </c>
      <c r="S151" s="77">
        <f t="shared" si="16"/>
        <v>24287.2624</v>
      </c>
    </row>
    <row r="152" spans="2:19" x14ac:dyDescent="0.25">
      <c r="B152" s="1" t="s">
        <v>203</v>
      </c>
      <c r="C152" s="1" t="s">
        <v>34</v>
      </c>
      <c r="D152" s="43">
        <v>45064</v>
      </c>
      <c r="E152" s="43">
        <v>45111</v>
      </c>
      <c r="F152" s="1" t="s">
        <v>20</v>
      </c>
      <c r="G152" s="72">
        <v>104936</v>
      </c>
      <c r="I152" s="67">
        <v>45111</v>
      </c>
      <c r="J152" s="73" t="str">
        <f>IFERROR(IF(I152&gt;E152,(I152-E152)*_xlfn.XLOOKUP(C152,'Vendor Details'!$B$4:$B$33,'Vendor Details'!$F$4:$F$33)*'Vendor Invoices'!G152,""),0)</f>
        <v/>
      </c>
      <c r="K152" s="72">
        <f>IFERROR(_xlfn.XLOOKUP(B152,'Payment HIstory'!$D:$D,'Payment HIstory'!$F:$F),0)</f>
        <v>104936</v>
      </c>
      <c r="L152" s="1" t="str">
        <f t="shared" si="12"/>
        <v>Paid</v>
      </c>
      <c r="M152" s="72">
        <f t="shared" si="14"/>
        <v>0</v>
      </c>
      <c r="N152" s="72">
        <f>IF(L152="Outstanding",($C$3-E152)*_xlfn.XLOOKUP(C152,'Vendor Details'!$B:$B,'Vendor Details'!$F:$F)*'Vendor Invoices'!G152,0)</f>
        <v>0</v>
      </c>
      <c r="O152" s="77">
        <f t="shared" si="15"/>
        <v>0</v>
      </c>
      <c r="P152" s="70" t="str">
        <f t="shared" si="13"/>
        <v/>
      </c>
      <c r="Q152" s="1" t="str" cm="1">
        <f t="array" ref="Q152">IF(L152="Outstanding",_xlfn.XLOOKUP(1,(P152&gt;='Aging Schedule'!$B$18:$B$22)*(P152&lt;='Aging Schedule'!$C$18:$C$22),'Aging Schedule'!$D$18:$D$22),"")</f>
        <v/>
      </c>
      <c r="R152" s="1" t="str">
        <f>IF(L152="Outstanding",VLOOKUP(P152,'Aging Schedule'!$B$18:$D$22,3),"")</f>
        <v/>
      </c>
      <c r="S152" s="77">
        <f t="shared" si="16"/>
        <v>0</v>
      </c>
    </row>
    <row r="153" spans="2:19" x14ac:dyDescent="0.25">
      <c r="B153" s="1" t="s">
        <v>204</v>
      </c>
      <c r="C153" s="1" t="s">
        <v>41</v>
      </c>
      <c r="D153" s="43">
        <v>45250</v>
      </c>
      <c r="E153" s="43">
        <v>45265</v>
      </c>
      <c r="F153" s="1" t="s">
        <v>20</v>
      </c>
      <c r="G153" s="72">
        <v>77426</v>
      </c>
      <c r="I153" s="67">
        <v>45265</v>
      </c>
      <c r="J153" s="73" t="str">
        <f>IFERROR(IF(I153&gt;E153,(I153-E153)*_xlfn.XLOOKUP(C153,'Vendor Details'!$B$4:$B$33,'Vendor Details'!$F$4:$F$33)*'Vendor Invoices'!G153,""),0)</f>
        <v/>
      </c>
      <c r="K153" s="72">
        <f>IFERROR(_xlfn.XLOOKUP(B153,'Payment HIstory'!$D:$D,'Payment HIstory'!$F:$F),0)</f>
        <v>72006.180000000008</v>
      </c>
      <c r="L153" s="1" t="str">
        <f t="shared" si="12"/>
        <v>Outstanding</v>
      </c>
      <c r="M153" s="72">
        <f t="shared" si="14"/>
        <v>5419.8199999999924</v>
      </c>
      <c r="N153" s="72">
        <f>IF(L153="Outstanding",($C$3-E153)*_xlfn.XLOOKUP(C153,'Vendor Details'!$B:$B,'Vendor Details'!$F:$F)*'Vendor Invoices'!G153,0)</f>
        <v>1533.0347999999999</v>
      </c>
      <c r="O153" s="77">
        <f t="shared" si="15"/>
        <v>6952.8547999999919</v>
      </c>
      <c r="P153" s="70">
        <f t="shared" si="13"/>
        <v>36</v>
      </c>
      <c r="Q153" s="1" t="str" cm="1">
        <f t="array" ref="Q153">IF(L153="Outstanding",_xlfn.XLOOKUP(1,(P153&gt;='Aging Schedule'!$B$18:$B$22)*(P153&lt;='Aging Schedule'!$C$18:$C$22),'Aging Schedule'!$D$18:$D$22),"")</f>
        <v>31-45 Days</v>
      </c>
      <c r="R153" s="1" t="str">
        <f>IF(L153="Outstanding",VLOOKUP(P153,'Aging Schedule'!$B$18:$D$22,3),"")</f>
        <v>31-45 Days</v>
      </c>
      <c r="S153" s="77">
        <f t="shared" si="16"/>
        <v>1533.0347999999999</v>
      </c>
    </row>
    <row r="154" spans="2:19" x14ac:dyDescent="0.25">
      <c r="B154" s="1" t="s">
        <v>205</v>
      </c>
      <c r="C154" s="1" t="s">
        <v>33</v>
      </c>
      <c r="D154" s="43">
        <v>45225</v>
      </c>
      <c r="E154" s="43">
        <v>45255</v>
      </c>
      <c r="F154" s="1" t="s">
        <v>19</v>
      </c>
      <c r="G154" s="72">
        <v>92674</v>
      </c>
      <c r="I154" s="67" t="str">
        <v/>
      </c>
      <c r="J154" s="73">
        <f>IFERROR(IF(I154&gt;E154,(I154-E154)*_xlfn.XLOOKUP(C154,'Vendor Details'!$B$4:$B$33,'Vendor Details'!$F$4:$F$33)*'Vendor Invoices'!G154,""),0)</f>
        <v>0</v>
      </c>
      <c r="K154" s="72">
        <f>IFERROR(_xlfn.XLOOKUP(B154,'Payment HIstory'!$D:$D,'Payment HIstory'!$F:$F),0)</f>
        <v>0</v>
      </c>
      <c r="L154" s="1" t="str">
        <f t="shared" si="12"/>
        <v>Outstanding</v>
      </c>
      <c r="M154" s="72">
        <f t="shared" si="14"/>
        <v>92674</v>
      </c>
      <c r="N154" s="72">
        <f>IF(L154="Outstanding",($C$3-E154)*_xlfn.XLOOKUP(C154,'Vendor Details'!$B:$B,'Vendor Details'!$F:$F)*'Vendor Invoices'!G154,0)</f>
        <v>2984.1028000000001</v>
      </c>
      <c r="O154" s="77">
        <f t="shared" si="15"/>
        <v>95658.102799999993</v>
      </c>
      <c r="P154" s="70">
        <f t="shared" si="13"/>
        <v>46</v>
      </c>
      <c r="Q154" s="1" t="str" cm="1">
        <f t="array" ref="Q154">IF(L154="Outstanding",_xlfn.XLOOKUP(1,(P154&gt;='Aging Schedule'!$B$18:$B$22)*(P154&lt;='Aging Schedule'!$C$18:$C$22),'Aging Schedule'!$D$18:$D$22),"")</f>
        <v>46-60 Days</v>
      </c>
      <c r="R154" s="1" t="str">
        <f>IF(L154="Outstanding",VLOOKUP(P154,'Aging Schedule'!$B$18:$D$22,3),"")</f>
        <v>46-60 Days</v>
      </c>
      <c r="S154" s="77">
        <f t="shared" si="16"/>
        <v>2984.1028000000001</v>
      </c>
    </row>
    <row r="155" spans="2:19" x14ac:dyDescent="0.25">
      <c r="B155" s="1" t="s">
        <v>206</v>
      </c>
      <c r="C155" s="1" t="s">
        <v>37</v>
      </c>
      <c r="D155" s="43">
        <v>45174</v>
      </c>
      <c r="E155" s="43">
        <v>45204</v>
      </c>
      <c r="F155" s="1" t="s">
        <v>20</v>
      </c>
      <c r="G155" s="72">
        <v>72506</v>
      </c>
      <c r="I155" s="67" t="str">
        <v/>
      </c>
      <c r="J155" s="73">
        <f>IFERROR(IF(I155&gt;E155,(I155-E155)*_xlfn.XLOOKUP(C155,'Vendor Details'!$B$4:$B$33,'Vendor Details'!$F$4:$F$33)*'Vendor Invoices'!G155,""),0)</f>
        <v>0</v>
      </c>
      <c r="K155" s="72">
        <f>IFERROR(_xlfn.XLOOKUP(B155,'Payment HIstory'!$D:$D,'Payment HIstory'!$F:$F),0)</f>
        <v>0</v>
      </c>
      <c r="L155" s="1" t="str">
        <f t="shared" si="12"/>
        <v>Outstanding</v>
      </c>
      <c r="M155" s="72">
        <f t="shared" si="14"/>
        <v>72506</v>
      </c>
      <c r="N155" s="72">
        <f>IF(L155="Outstanding",($C$3-E155)*_xlfn.XLOOKUP(C155,'Vendor Details'!$B:$B,'Vendor Details'!$F:$F)*'Vendor Invoices'!G155,0)</f>
        <v>3868.1950999999995</v>
      </c>
      <c r="O155" s="77">
        <f t="shared" si="15"/>
        <v>76374.195099999997</v>
      </c>
      <c r="P155" s="70">
        <f t="shared" si="13"/>
        <v>97</v>
      </c>
      <c r="Q155" s="1" t="str" cm="1">
        <f t="array" ref="Q155">IF(L155="Outstanding",_xlfn.XLOOKUP(1,(P155&gt;='Aging Schedule'!$B$18:$B$22)*(P155&lt;='Aging Schedule'!$C$18:$C$22),'Aging Schedule'!$D$18:$D$22),"")</f>
        <v>91+ Days</v>
      </c>
      <c r="R155" s="1" t="str">
        <f>IF(L155="Outstanding",VLOOKUP(P155,'Aging Schedule'!$B$18:$D$22,3),"")</f>
        <v>91+ Days</v>
      </c>
      <c r="S155" s="77">
        <f t="shared" si="16"/>
        <v>3868.1950999999995</v>
      </c>
    </row>
    <row r="156" spans="2:19" x14ac:dyDescent="0.25">
      <c r="B156" s="1" t="s">
        <v>207</v>
      </c>
      <c r="C156" s="1" t="s">
        <v>39</v>
      </c>
      <c r="D156" s="43">
        <v>45108</v>
      </c>
      <c r="E156" s="43">
        <v>45228</v>
      </c>
      <c r="F156" s="1" t="s">
        <v>18</v>
      </c>
      <c r="G156" s="72">
        <v>47371</v>
      </c>
      <c r="I156" s="67">
        <v>45228</v>
      </c>
      <c r="J156" s="73" t="str">
        <f>IFERROR(IF(I156&gt;E156,(I156-E156)*_xlfn.XLOOKUP(C156,'Vendor Details'!$B$4:$B$33,'Vendor Details'!$F$4:$F$33)*'Vendor Invoices'!G156,""),0)</f>
        <v/>
      </c>
      <c r="K156" s="72">
        <f>IFERROR(_xlfn.XLOOKUP(B156,'Payment HIstory'!$D:$D,'Payment HIstory'!$F:$F),0)</f>
        <v>47371</v>
      </c>
      <c r="L156" s="1" t="str">
        <f t="shared" si="12"/>
        <v>Paid</v>
      </c>
      <c r="M156" s="72">
        <f t="shared" si="14"/>
        <v>0</v>
      </c>
      <c r="N156" s="72">
        <f>IF(L156="Outstanding",($C$3-E156)*_xlfn.XLOOKUP(C156,'Vendor Details'!$B:$B,'Vendor Details'!$F:$F)*'Vendor Invoices'!G156,0)</f>
        <v>0</v>
      </c>
      <c r="O156" s="77">
        <f t="shared" si="15"/>
        <v>0</v>
      </c>
      <c r="P156" s="70" t="str">
        <f t="shared" si="13"/>
        <v/>
      </c>
      <c r="Q156" s="1" t="str" cm="1">
        <f t="array" ref="Q156">IF(L156="Outstanding",_xlfn.XLOOKUP(1,(P156&gt;='Aging Schedule'!$B$18:$B$22)*(P156&lt;='Aging Schedule'!$C$18:$C$22),'Aging Schedule'!$D$18:$D$22),"")</f>
        <v/>
      </c>
      <c r="R156" s="1" t="str">
        <f>IF(L156="Outstanding",VLOOKUP(P156,'Aging Schedule'!$B$18:$D$22,3),"")</f>
        <v/>
      </c>
      <c r="S156" s="77">
        <f t="shared" si="16"/>
        <v>0</v>
      </c>
    </row>
    <row r="157" spans="2:19" x14ac:dyDescent="0.25">
      <c r="B157" s="1" t="s">
        <v>208</v>
      </c>
      <c r="C157" s="1" t="s">
        <v>41</v>
      </c>
      <c r="D157" s="43">
        <v>45071</v>
      </c>
      <c r="E157" s="43">
        <v>45123</v>
      </c>
      <c r="F157" s="1" t="s">
        <v>18</v>
      </c>
      <c r="G157" s="72">
        <v>85271</v>
      </c>
      <c r="I157" s="67">
        <v>45123</v>
      </c>
      <c r="J157" s="73" t="str">
        <f>IFERROR(IF(I157&gt;E157,(I157-E157)*_xlfn.XLOOKUP(C157,'Vendor Details'!$B$4:$B$33,'Vendor Details'!$F$4:$F$33)*'Vendor Invoices'!G157,""),0)</f>
        <v/>
      </c>
      <c r="K157" s="72">
        <f>IFERROR(_xlfn.XLOOKUP(B157,'Payment HIstory'!$D:$D,'Payment HIstory'!$F:$F),0)</f>
        <v>85271</v>
      </c>
      <c r="L157" s="1" t="str">
        <f t="shared" si="12"/>
        <v>Paid</v>
      </c>
      <c r="M157" s="72">
        <f t="shared" si="14"/>
        <v>0</v>
      </c>
      <c r="N157" s="72">
        <f>IF(L157="Outstanding",($C$3-E157)*_xlfn.XLOOKUP(C157,'Vendor Details'!$B:$B,'Vendor Details'!$F:$F)*'Vendor Invoices'!G157,0)</f>
        <v>0</v>
      </c>
      <c r="O157" s="77">
        <f t="shared" si="15"/>
        <v>0</v>
      </c>
      <c r="P157" s="70" t="str">
        <f t="shared" si="13"/>
        <v/>
      </c>
      <c r="Q157" s="1" t="str" cm="1">
        <f t="array" ref="Q157">IF(L157="Outstanding",_xlfn.XLOOKUP(1,(P157&gt;='Aging Schedule'!$B$18:$B$22)*(P157&lt;='Aging Schedule'!$C$18:$C$22),'Aging Schedule'!$D$18:$D$22),"")</f>
        <v/>
      </c>
      <c r="R157" s="1" t="str">
        <f>IF(L157="Outstanding",VLOOKUP(P157,'Aging Schedule'!$B$18:$D$22,3),"")</f>
        <v/>
      </c>
      <c r="S157" s="77">
        <f t="shared" si="16"/>
        <v>0</v>
      </c>
    </row>
    <row r="158" spans="2:19" x14ac:dyDescent="0.25">
      <c r="B158" s="1" t="s">
        <v>209</v>
      </c>
      <c r="C158" s="1" t="s">
        <v>33</v>
      </c>
      <c r="D158" s="43">
        <v>45128</v>
      </c>
      <c r="E158" s="43">
        <v>45238</v>
      </c>
      <c r="F158" s="1" t="s">
        <v>18</v>
      </c>
      <c r="G158" s="72">
        <v>73333</v>
      </c>
      <c r="I158" s="67">
        <v>45238</v>
      </c>
      <c r="J158" s="73" t="str">
        <f>IFERROR(IF(I158&gt;E158,(I158-E158)*_xlfn.XLOOKUP(C158,'Vendor Details'!$B$4:$B$33,'Vendor Details'!$F$4:$F$33)*'Vendor Invoices'!G158,""),0)</f>
        <v/>
      </c>
      <c r="K158" s="72">
        <f>IFERROR(_xlfn.XLOOKUP(B158,'Payment HIstory'!$D:$D,'Payment HIstory'!$F:$F),0)</f>
        <v>73333</v>
      </c>
      <c r="L158" s="1" t="str">
        <f t="shared" si="12"/>
        <v>Paid</v>
      </c>
      <c r="M158" s="72">
        <f t="shared" si="14"/>
        <v>0</v>
      </c>
      <c r="N158" s="72">
        <f>IF(L158="Outstanding",($C$3-E158)*_xlfn.XLOOKUP(C158,'Vendor Details'!$B:$B,'Vendor Details'!$F:$F)*'Vendor Invoices'!G158,0)</f>
        <v>0</v>
      </c>
      <c r="O158" s="77">
        <f t="shared" si="15"/>
        <v>0</v>
      </c>
      <c r="P158" s="70" t="str">
        <f t="shared" si="13"/>
        <v/>
      </c>
      <c r="Q158" s="1" t="str" cm="1">
        <f t="array" ref="Q158">IF(L158="Outstanding",_xlfn.XLOOKUP(1,(P158&gt;='Aging Schedule'!$B$18:$B$22)*(P158&lt;='Aging Schedule'!$C$18:$C$22),'Aging Schedule'!$D$18:$D$22),"")</f>
        <v/>
      </c>
      <c r="R158" s="1" t="str">
        <f>IF(L158="Outstanding",VLOOKUP(P158,'Aging Schedule'!$B$18:$D$22,3),"")</f>
        <v/>
      </c>
      <c r="S158" s="77">
        <f t="shared" si="16"/>
        <v>0</v>
      </c>
    </row>
    <row r="159" spans="2:19" x14ac:dyDescent="0.25">
      <c r="B159" s="1" t="s">
        <v>210</v>
      </c>
      <c r="C159" s="1" t="s">
        <v>35</v>
      </c>
      <c r="D159" s="43">
        <v>45207</v>
      </c>
      <c r="E159" s="43">
        <v>45237</v>
      </c>
      <c r="F159" s="1" t="s">
        <v>18</v>
      </c>
      <c r="G159" s="72">
        <v>111844</v>
      </c>
      <c r="I159" s="67" t="str">
        <v/>
      </c>
      <c r="J159" s="73">
        <f>IFERROR(IF(I159&gt;E159,(I159-E159)*_xlfn.XLOOKUP(C159,'Vendor Details'!$B$4:$B$33,'Vendor Details'!$F$4:$F$33)*'Vendor Invoices'!G159,""),0)</f>
        <v>0</v>
      </c>
      <c r="K159" s="72">
        <f>IFERROR(_xlfn.XLOOKUP(B159,'Payment HIstory'!$D:$D,'Payment HIstory'!$F:$F),0)</f>
        <v>0</v>
      </c>
      <c r="L159" s="1" t="str">
        <f t="shared" si="12"/>
        <v>Outstanding</v>
      </c>
      <c r="M159" s="72">
        <f t="shared" si="14"/>
        <v>111844</v>
      </c>
      <c r="N159" s="72">
        <f>IF(L159="Outstanding",($C$3-E159)*_xlfn.XLOOKUP(C159,'Vendor Details'!$B:$B,'Vendor Details'!$F:$F)*'Vendor Invoices'!G159,0)</f>
        <v>3221.1072000000004</v>
      </c>
      <c r="O159" s="77">
        <f t="shared" si="15"/>
        <v>115065.1072</v>
      </c>
      <c r="P159" s="70">
        <f t="shared" si="13"/>
        <v>64</v>
      </c>
      <c r="Q159" s="1" t="str" cm="1">
        <f t="array" ref="Q159">IF(L159="Outstanding",_xlfn.XLOOKUP(1,(P159&gt;='Aging Schedule'!$B$18:$B$22)*(P159&lt;='Aging Schedule'!$C$18:$C$22),'Aging Schedule'!$D$18:$D$22),"")</f>
        <v>61-90 Days</v>
      </c>
      <c r="R159" s="1" t="str">
        <f>IF(L159="Outstanding",VLOOKUP(P159,'Aging Schedule'!$B$18:$D$22,3),"")</f>
        <v>61-90 Days</v>
      </c>
      <c r="S159" s="77">
        <f t="shared" si="16"/>
        <v>3221.1072000000004</v>
      </c>
    </row>
    <row r="160" spans="2:19" x14ac:dyDescent="0.25">
      <c r="B160" s="1" t="s">
        <v>211</v>
      </c>
      <c r="C160" s="1" t="s">
        <v>33</v>
      </c>
      <c r="D160" s="43">
        <v>45018</v>
      </c>
      <c r="E160" s="43">
        <v>45096</v>
      </c>
      <c r="F160" s="1" t="s">
        <v>20</v>
      </c>
      <c r="G160" s="72">
        <v>30429</v>
      </c>
      <c r="I160" s="67">
        <v>45096</v>
      </c>
      <c r="J160" s="73" t="str">
        <f>IFERROR(IF(I160&gt;E160,(I160-E160)*_xlfn.XLOOKUP(C160,'Vendor Details'!$B$4:$B$33,'Vendor Details'!$F$4:$F$33)*'Vendor Invoices'!G160,""),0)</f>
        <v/>
      </c>
      <c r="K160" s="72">
        <f>IFERROR(_xlfn.XLOOKUP(B160,'Payment HIstory'!$D:$D,'Payment HIstory'!$F:$F),0)</f>
        <v>30429</v>
      </c>
      <c r="L160" s="1" t="str">
        <f t="shared" si="12"/>
        <v>Paid</v>
      </c>
      <c r="M160" s="72">
        <f t="shared" si="14"/>
        <v>0</v>
      </c>
      <c r="N160" s="72">
        <f>IF(L160="Outstanding",($C$3-E160)*_xlfn.XLOOKUP(C160,'Vendor Details'!$B:$B,'Vendor Details'!$F:$F)*'Vendor Invoices'!G160,0)</f>
        <v>0</v>
      </c>
      <c r="O160" s="77">
        <f t="shared" si="15"/>
        <v>0</v>
      </c>
      <c r="P160" s="70" t="str">
        <f t="shared" si="13"/>
        <v/>
      </c>
      <c r="Q160" s="1" t="str" cm="1">
        <f t="array" ref="Q160">IF(L160="Outstanding",_xlfn.XLOOKUP(1,(P160&gt;='Aging Schedule'!$B$18:$B$22)*(P160&lt;='Aging Schedule'!$C$18:$C$22),'Aging Schedule'!$D$18:$D$22),"")</f>
        <v/>
      </c>
      <c r="R160" s="1" t="str">
        <f>IF(L160="Outstanding",VLOOKUP(P160,'Aging Schedule'!$B$18:$D$22,3),"")</f>
        <v/>
      </c>
      <c r="S160" s="77">
        <f t="shared" si="16"/>
        <v>0</v>
      </c>
    </row>
    <row r="161" spans="2:19" x14ac:dyDescent="0.25">
      <c r="B161" s="1" t="s">
        <v>212</v>
      </c>
      <c r="C161" s="1" t="s">
        <v>40</v>
      </c>
      <c r="D161" s="43">
        <v>45219</v>
      </c>
      <c r="E161" s="43">
        <v>45249</v>
      </c>
      <c r="F161" s="1" t="s">
        <v>19</v>
      </c>
      <c r="G161" s="72">
        <v>109875</v>
      </c>
      <c r="I161" s="67" t="str">
        <v/>
      </c>
      <c r="J161" s="73">
        <f>IFERROR(IF(I161&gt;E161,(I161-E161)*_xlfn.XLOOKUP(C161,'Vendor Details'!$B$4:$B$33,'Vendor Details'!$F$4:$F$33)*'Vendor Invoices'!G161,""),0)</f>
        <v>0</v>
      </c>
      <c r="K161" s="72">
        <f>IFERROR(_xlfn.XLOOKUP(B161,'Payment HIstory'!$D:$D,'Payment HIstory'!$F:$F),0)</f>
        <v>0</v>
      </c>
      <c r="L161" s="1" t="str">
        <f t="shared" si="12"/>
        <v>Outstanding</v>
      </c>
      <c r="M161" s="72">
        <f t="shared" si="14"/>
        <v>109875</v>
      </c>
      <c r="N161" s="72">
        <f>IF(L161="Outstanding",($C$3-E161)*_xlfn.XLOOKUP(C161,'Vendor Details'!$B:$B,'Vendor Details'!$F:$F)*'Vendor Invoices'!G161,0)</f>
        <v>2285.4</v>
      </c>
      <c r="O161" s="77">
        <f t="shared" si="15"/>
        <v>112160.4</v>
      </c>
      <c r="P161" s="70">
        <f t="shared" si="13"/>
        <v>52</v>
      </c>
      <c r="Q161" s="1" t="str" cm="1">
        <f t="array" ref="Q161">IF(L161="Outstanding",_xlfn.XLOOKUP(1,(P161&gt;='Aging Schedule'!$B$18:$B$22)*(P161&lt;='Aging Schedule'!$C$18:$C$22),'Aging Schedule'!$D$18:$D$22),"")</f>
        <v>46-60 Days</v>
      </c>
      <c r="R161" s="1" t="str">
        <f>IF(L161="Outstanding",VLOOKUP(P161,'Aging Schedule'!$B$18:$D$22,3),"")</f>
        <v>46-60 Days</v>
      </c>
      <c r="S161" s="77">
        <f t="shared" si="16"/>
        <v>2285.4</v>
      </c>
    </row>
    <row r="162" spans="2:19" x14ac:dyDescent="0.25">
      <c r="B162" s="1" t="s">
        <v>213</v>
      </c>
      <c r="C162" s="1" t="s">
        <v>36</v>
      </c>
      <c r="D162" s="43">
        <v>45187</v>
      </c>
      <c r="E162" s="43">
        <v>45217</v>
      </c>
      <c r="F162" s="1" t="s">
        <v>19</v>
      </c>
      <c r="G162" s="72">
        <v>111040</v>
      </c>
      <c r="I162" s="67" t="str">
        <v/>
      </c>
      <c r="J162" s="73">
        <f>IFERROR(IF(I162&gt;E162,(I162-E162)*_xlfn.XLOOKUP(C162,'Vendor Details'!$B$4:$B$33,'Vendor Details'!$F$4:$F$33)*'Vendor Invoices'!G162,""),0)</f>
        <v>0</v>
      </c>
      <c r="K162" s="72">
        <f>IFERROR(_xlfn.XLOOKUP(B162,'Payment HIstory'!$D:$D,'Payment HIstory'!$F:$F),0)</f>
        <v>0</v>
      </c>
      <c r="L162" s="1" t="str">
        <f t="shared" si="12"/>
        <v>Outstanding</v>
      </c>
      <c r="M162" s="72">
        <f t="shared" si="14"/>
        <v>111040</v>
      </c>
      <c r="N162" s="72">
        <f>IF(L162="Outstanding",($C$3-E162)*_xlfn.XLOOKUP(C162,'Vendor Details'!$B:$B,'Vendor Details'!$F:$F)*'Vendor Invoices'!G162,0)</f>
        <v>7461.8880000000008</v>
      </c>
      <c r="O162" s="77">
        <f t="shared" si="15"/>
        <v>118501.88800000001</v>
      </c>
      <c r="P162" s="70">
        <f t="shared" si="13"/>
        <v>84</v>
      </c>
      <c r="Q162" s="1" t="str" cm="1">
        <f t="array" ref="Q162">IF(L162="Outstanding",_xlfn.XLOOKUP(1,(P162&gt;='Aging Schedule'!$B$18:$B$22)*(P162&lt;='Aging Schedule'!$C$18:$C$22),'Aging Schedule'!$D$18:$D$22),"")</f>
        <v>61-90 Days</v>
      </c>
      <c r="R162" s="1" t="str">
        <f>IF(L162="Outstanding",VLOOKUP(P162,'Aging Schedule'!$B$18:$D$22,3),"")</f>
        <v>61-90 Days</v>
      </c>
      <c r="S162" s="77">
        <f t="shared" si="16"/>
        <v>7461.8880000000008</v>
      </c>
    </row>
    <row r="163" spans="2:19" x14ac:dyDescent="0.25">
      <c r="B163" s="1" t="s">
        <v>214</v>
      </c>
      <c r="C163" s="1" t="s">
        <v>39</v>
      </c>
      <c r="D163" s="43">
        <v>45003</v>
      </c>
      <c r="E163" s="43">
        <v>45055</v>
      </c>
      <c r="F163" s="1" t="s">
        <v>20</v>
      </c>
      <c r="G163" s="72">
        <v>75402</v>
      </c>
      <c r="I163" s="67">
        <v>45055</v>
      </c>
      <c r="J163" s="73" t="str">
        <f>IFERROR(IF(I163&gt;E163,(I163-E163)*_xlfn.XLOOKUP(C163,'Vendor Details'!$B$4:$B$33,'Vendor Details'!$F$4:$F$33)*'Vendor Invoices'!G163,""),0)</f>
        <v/>
      </c>
      <c r="K163" s="72">
        <f>IFERROR(_xlfn.XLOOKUP(B163,'Payment HIstory'!$D:$D,'Payment HIstory'!$F:$F),0)</f>
        <v>75402</v>
      </c>
      <c r="L163" s="1" t="str">
        <f t="shared" si="12"/>
        <v>Paid</v>
      </c>
      <c r="M163" s="72">
        <f t="shared" si="14"/>
        <v>0</v>
      </c>
      <c r="N163" s="72">
        <f>IF(L163="Outstanding",($C$3-E163)*_xlfn.XLOOKUP(C163,'Vendor Details'!$B:$B,'Vendor Details'!$F:$F)*'Vendor Invoices'!G163,0)</f>
        <v>0</v>
      </c>
      <c r="O163" s="77">
        <f t="shared" si="15"/>
        <v>0</v>
      </c>
      <c r="P163" s="70" t="str">
        <f t="shared" si="13"/>
        <v/>
      </c>
      <c r="Q163" s="1" t="str" cm="1">
        <f t="array" ref="Q163">IF(L163="Outstanding",_xlfn.XLOOKUP(1,(P163&gt;='Aging Schedule'!$B$18:$B$22)*(P163&lt;='Aging Schedule'!$C$18:$C$22),'Aging Schedule'!$D$18:$D$22),"")</f>
        <v/>
      </c>
      <c r="R163" s="1" t="str">
        <f>IF(L163="Outstanding",VLOOKUP(P163,'Aging Schedule'!$B$18:$D$22,3),"")</f>
        <v/>
      </c>
      <c r="S163" s="77">
        <f t="shared" si="16"/>
        <v>0</v>
      </c>
    </row>
    <row r="164" spans="2:19" x14ac:dyDescent="0.25">
      <c r="B164" s="1" t="s">
        <v>215</v>
      </c>
      <c r="C164" s="1" t="s">
        <v>36</v>
      </c>
      <c r="D164" s="43">
        <v>45160</v>
      </c>
      <c r="E164" s="43">
        <v>45256</v>
      </c>
      <c r="F164" s="1" t="s">
        <v>20</v>
      </c>
      <c r="G164" s="72">
        <v>42956</v>
      </c>
      <c r="I164" s="67">
        <v>45256</v>
      </c>
      <c r="J164" s="73" t="str">
        <f>IFERROR(IF(I164&gt;E164,(I164-E164)*_xlfn.XLOOKUP(C164,'Vendor Details'!$B$4:$B$33,'Vendor Details'!$F$4:$F$33)*'Vendor Invoices'!G164,""),0)</f>
        <v/>
      </c>
      <c r="K164" s="72">
        <f>IFERROR(_xlfn.XLOOKUP(B164,'Payment HIstory'!$D:$D,'Payment HIstory'!$F:$F),0)</f>
        <v>42956</v>
      </c>
      <c r="L164" s="1" t="str">
        <f t="shared" si="12"/>
        <v>Paid</v>
      </c>
      <c r="M164" s="72">
        <f t="shared" si="14"/>
        <v>0</v>
      </c>
      <c r="N164" s="72">
        <f>IF(L164="Outstanding",($C$3-E164)*_xlfn.XLOOKUP(C164,'Vendor Details'!$B:$B,'Vendor Details'!$F:$F)*'Vendor Invoices'!G164,0)</f>
        <v>0</v>
      </c>
      <c r="O164" s="77">
        <f t="shared" si="15"/>
        <v>0</v>
      </c>
      <c r="P164" s="70" t="str">
        <f t="shared" si="13"/>
        <v/>
      </c>
      <c r="Q164" s="1" t="str" cm="1">
        <f t="array" ref="Q164">IF(L164="Outstanding",_xlfn.XLOOKUP(1,(P164&gt;='Aging Schedule'!$B$18:$B$22)*(P164&lt;='Aging Schedule'!$C$18:$C$22),'Aging Schedule'!$D$18:$D$22),"")</f>
        <v/>
      </c>
      <c r="R164" s="1" t="str">
        <f>IF(L164="Outstanding",VLOOKUP(P164,'Aging Schedule'!$B$18:$D$22,3),"")</f>
        <v/>
      </c>
      <c r="S164" s="77">
        <f t="shared" si="16"/>
        <v>0</v>
      </c>
    </row>
    <row r="165" spans="2:19" x14ac:dyDescent="0.25">
      <c r="B165" s="1" t="s">
        <v>216</v>
      </c>
      <c r="C165" s="1" t="s">
        <v>41</v>
      </c>
      <c r="D165" s="43">
        <v>45266</v>
      </c>
      <c r="E165" s="43">
        <v>45291</v>
      </c>
      <c r="F165" s="1" t="s">
        <v>21</v>
      </c>
      <c r="G165" s="72">
        <v>96337</v>
      </c>
      <c r="I165" s="67">
        <v>45291</v>
      </c>
      <c r="J165" s="73" t="str">
        <f>IFERROR(IF(I165&gt;E165,(I165-E165)*_xlfn.XLOOKUP(C165,'Vendor Details'!$B$4:$B$33,'Vendor Details'!$F$4:$F$33)*'Vendor Invoices'!G165,""),0)</f>
        <v/>
      </c>
      <c r="K165" s="72">
        <f>IFERROR(_xlfn.XLOOKUP(B165,'Payment HIstory'!$D:$D,'Payment HIstory'!$F:$F),0)</f>
        <v>96337</v>
      </c>
      <c r="L165" s="1" t="str">
        <f t="shared" si="12"/>
        <v>Paid</v>
      </c>
      <c r="M165" s="72">
        <f t="shared" si="14"/>
        <v>0</v>
      </c>
      <c r="N165" s="72">
        <f>IF(L165="Outstanding",($C$3-E165)*_xlfn.XLOOKUP(C165,'Vendor Details'!$B:$B,'Vendor Details'!$F:$F)*'Vendor Invoices'!G165,0)</f>
        <v>0</v>
      </c>
      <c r="O165" s="77">
        <f t="shared" si="15"/>
        <v>0</v>
      </c>
      <c r="P165" s="70" t="str">
        <f t="shared" si="13"/>
        <v/>
      </c>
      <c r="Q165" s="1" t="str" cm="1">
        <f t="array" ref="Q165">IF(L165="Outstanding",_xlfn.XLOOKUP(1,(P165&gt;='Aging Schedule'!$B$18:$B$22)*(P165&lt;='Aging Schedule'!$C$18:$C$22),'Aging Schedule'!$D$18:$D$22),"")</f>
        <v/>
      </c>
      <c r="R165" s="1" t="str">
        <f>IF(L165="Outstanding",VLOOKUP(P165,'Aging Schedule'!$B$18:$D$22,3),"")</f>
        <v/>
      </c>
      <c r="S165" s="77">
        <f t="shared" si="16"/>
        <v>0</v>
      </c>
    </row>
    <row r="166" spans="2:19" x14ac:dyDescent="0.25">
      <c r="B166" s="1" t="s">
        <v>217</v>
      </c>
      <c r="C166" s="1" t="s">
        <v>38</v>
      </c>
      <c r="D166" s="43">
        <v>45101</v>
      </c>
      <c r="E166" s="43">
        <v>45151</v>
      </c>
      <c r="F166" s="1" t="s">
        <v>19</v>
      </c>
      <c r="G166" s="72">
        <v>95808</v>
      </c>
      <c r="I166" s="67">
        <v>45151</v>
      </c>
      <c r="J166" s="73" t="str">
        <f>IFERROR(IF(I166&gt;E166,(I166-E166)*_xlfn.XLOOKUP(C166,'Vendor Details'!$B$4:$B$33,'Vendor Details'!$F$4:$F$33)*'Vendor Invoices'!G166,""),0)</f>
        <v/>
      </c>
      <c r="K166" s="72">
        <f>IFERROR(_xlfn.XLOOKUP(B166,'Payment HIstory'!$D:$D,'Payment HIstory'!$F:$F),0)</f>
        <v>95808</v>
      </c>
      <c r="L166" s="1" t="str">
        <f t="shared" si="12"/>
        <v>Paid</v>
      </c>
      <c r="M166" s="72">
        <f t="shared" si="14"/>
        <v>0</v>
      </c>
      <c r="N166" s="72">
        <f>IF(L166="Outstanding",($C$3-E166)*_xlfn.XLOOKUP(C166,'Vendor Details'!$B:$B,'Vendor Details'!$F:$F)*'Vendor Invoices'!G166,0)</f>
        <v>0</v>
      </c>
      <c r="O166" s="77">
        <f t="shared" si="15"/>
        <v>0</v>
      </c>
      <c r="P166" s="70" t="str">
        <f t="shared" ref="P166:P197" si="17">IF(L166="Outstanding",$C$3-E166,"")</f>
        <v/>
      </c>
      <c r="Q166" s="1" t="str" cm="1">
        <f t="array" ref="Q166">IF(L166="Outstanding",_xlfn.XLOOKUP(1,(P166&gt;='Aging Schedule'!$B$18:$B$22)*(P166&lt;='Aging Schedule'!$C$18:$C$22),'Aging Schedule'!$D$18:$D$22),"")</f>
        <v/>
      </c>
      <c r="R166" s="1" t="str">
        <f>IF(L166="Outstanding",VLOOKUP(P166,'Aging Schedule'!$B$18:$D$22,3),"")</f>
        <v/>
      </c>
      <c r="S166" s="77">
        <f t="shared" si="16"/>
        <v>0</v>
      </c>
    </row>
    <row r="167" spans="2:19" x14ac:dyDescent="0.25">
      <c r="B167" s="1" t="s">
        <v>218</v>
      </c>
      <c r="C167" s="1" t="s">
        <v>35</v>
      </c>
      <c r="D167" s="43">
        <v>44880</v>
      </c>
      <c r="E167" s="43">
        <v>44985</v>
      </c>
      <c r="F167" s="1" t="s">
        <v>20</v>
      </c>
      <c r="G167" s="72">
        <v>54044</v>
      </c>
      <c r="I167" s="67">
        <v>44985</v>
      </c>
      <c r="J167" s="73" t="str">
        <f>IFERROR(IF(I167&gt;E167,(I167-E167)*_xlfn.XLOOKUP(C167,'Vendor Details'!$B$4:$B$33,'Vendor Details'!$F$4:$F$33)*'Vendor Invoices'!G167,""),0)</f>
        <v/>
      </c>
      <c r="K167" s="72">
        <f>IFERROR(_xlfn.XLOOKUP(B167,'Payment HIstory'!$D:$D,'Payment HIstory'!$F:$F),0)</f>
        <v>54044</v>
      </c>
      <c r="L167" s="1" t="str">
        <f t="shared" si="12"/>
        <v>Paid</v>
      </c>
      <c r="M167" s="72">
        <f t="shared" si="14"/>
        <v>0</v>
      </c>
      <c r="N167" s="72">
        <f>IF(L167="Outstanding",($C$3-E167)*_xlfn.XLOOKUP(C167,'Vendor Details'!$B:$B,'Vendor Details'!$F:$F)*'Vendor Invoices'!G167,0)</f>
        <v>0</v>
      </c>
      <c r="O167" s="77">
        <f t="shared" si="15"/>
        <v>0</v>
      </c>
      <c r="P167" s="70" t="str">
        <f t="shared" si="17"/>
        <v/>
      </c>
      <c r="Q167" s="1" t="str" cm="1">
        <f t="array" ref="Q167">IF(L167="Outstanding",_xlfn.XLOOKUP(1,(P167&gt;='Aging Schedule'!$B$18:$B$22)*(P167&lt;='Aging Schedule'!$C$18:$C$22),'Aging Schedule'!$D$18:$D$22),"")</f>
        <v/>
      </c>
      <c r="R167" s="1" t="str">
        <f>IF(L167="Outstanding",VLOOKUP(P167,'Aging Schedule'!$B$18:$D$22,3),"")</f>
        <v/>
      </c>
      <c r="S167" s="77">
        <f t="shared" si="16"/>
        <v>0</v>
      </c>
    </row>
    <row r="168" spans="2:19" x14ac:dyDescent="0.25">
      <c r="B168" s="1" t="s">
        <v>219</v>
      </c>
      <c r="C168" s="1" t="s">
        <v>35</v>
      </c>
      <c r="D168" s="43">
        <v>44872</v>
      </c>
      <c r="E168" s="43">
        <v>44971</v>
      </c>
      <c r="F168" s="1" t="s">
        <v>18</v>
      </c>
      <c r="G168" s="72">
        <v>57335</v>
      </c>
      <c r="I168" s="67">
        <v>44971</v>
      </c>
      <c r="J168" s="73" t="str">
        <f>IFERROR(IF(I168&gt;E168,(I168-E168)*_xlfn.XLOOKUP(C168,'Vendor Details'!$B$4:$B$33,'Vendor Details'!$F$4:$F$33)*'Vendor Invoices'!G168,""),0)</f>
        <v/>
      </c>
      <c r="K168" s="72">
        <f>IFERROR(_xlfn.XLOOKUP(B168,'Payment HIstory'!$D:$D,'Payment HIstory'!$F:$F),0)</f>
        <v>57335</v>
      </c>
      <c r="L168" s="1" t="str">
        <f t="shared" si="12"/>
        <v>Paid</v>
      </c>
      <c r="M168" s="72">
        <f t="shared" si="14"/>
        <v>0</v>
      </c>
      <c r="N168" s="72">
        <f>IF(L168="Outstanding",($C$3-E168)*_xlfn.XLOOKUP(C168,'Vendor Details'!$B:$B,'Vendor Details'!$F:$F)*'Vendor Invoices'!G168,0)</f>
        <v>0</v>
      </c>
      <c r="O168" s="77">
        <f t="shared" si="15"/>
        <v>0</v>
      </c>
      <c r="P168" s="70" t="str">
        <f t="shared" si="17"/>
        <v/>
      </c>
      <c r="Q168" s="1" t="str" cm="1">
        <f t="array" ref="Q168">IF(L168="Outstanding",_xlfn.XLOOKUP(1,(P168&gt;='Aging Schedule'!$B$18:$B$22)*(P168&lt;='Aging Schedule'!$C$18:$C$22),'Aging Schedule'!$D$18:$D$22),"")</f>
        <v/>
      </c>
      <c r="R168" s="1" t="str">
        <f>IF(L168="Outstanding",VLOOKUP(P168,'Aging Schedule'!$B$18:$D$22,3),"")</f>
        <v/>
      </c>
      <c r="S168" s="77">
        <f t="shared" si="16"/>
        <v>0</v>
      </c>
    </row>
    <row r="169" spans="2:19" x14ac:dyDescent="0.25">
      <c r="B169" s="1" t="s">
        <v>220</v>
      </c>
      <c r="C169" s="1" t="s">
        <v>35</v>
      </c>
      <c r="D169" s="43">
        <v>45056</v>
      </c>
      <c r="E169" s="43">
        <v>45146</v>
      </c>
      <c r="F169" s="1" t="s">
        <v>21</v>
      </c>
      <c r="G169" s="72">
        <v>77756</v>
      </c>
      <c r="I169" s="67">
        <v>45146</v>
      </c>
      <c r="J169" s="73" t="str">
        <f>IFERROR(IF(I169&gt;E169,(I169-E169)*_xlfn.XLOOKUP(C169,'Vendor Details'!$B$4:$B$33,'Vendor Details'!$F$4:$F$33)*'Vendor Invoices'!G169,""),0)</f>
        <v/>
      </c>
      <c r="K169" s="72">
        <f>IFERROR(_xlfn.XLOOKUP(B169,'Payment HIstory'!$D:$D,'Payment HIstory'!$F:$F),0)</f>
        <v>77756</v>
      </c>
      <c r="L169" s="1" t="str">
        <f t="shared" si="12"/>
        <v>Paid</v>
      </c>
      <c r="M169" s="72">
        <f t="shared" si="14"/>
        <v>0</v>
      </c>
      <c r="N169" s="72">
        <f>IF(L169="Outstanding",($C$3-E169)*_xlfn.XLOOKUP(C169,'Vendor Details'!$B:$B,'Vendor Details'!$F:$F)*'Vendor Invoices'!G169,0)</f>
        <v>0</v>
      </c>
      <c r="O169" s="77">
        <f t="shared" si="15"/>
        <v>0</v>
      </c>
      <c r="P169" s="70" t="str">
        <f t="shared" si="17"/>
        <v/>
      </c>
      <c r="Q169" s="1" t="str" cm="1">
        <f t="array" ref="Q169">IF(L169="Outstanding",_xlfn.XLOOKUP(1,(P169&gt;='Aging Schedule'!$B$18:$B$22)*(P169&lt;='Aging Schedule'!$C$18:$C$22),'Aging Schedule'!$D$18:$D$22),"")</f>
        <v/>
      </c>
      <c r="R169" s="1" t="str">
        <f>IF(L169="Outstanding",VLOOKUP(P169,'Aging Schedule'!$B$18:$D$22,3),"")</f>
        <v/>
      </c>
      <c r="S169" s="77">
        <f t="shared" si="16"/>
        <v>0</v>
      </c>
    </row>
    <row r="170" spans="2:19" x14ac:dyDescent="0.25">
      <c r="B170" s="1" t="s">
        <v>221</v>
      </c>
      <c r="C170" s="1" t="s">
        <v>37</v>
      </c>
      <c r="D170" s="43">
        <v>45175</v>
      </c>
      <c r="E170" s="43">
        <v>45188</v>
      </c>
      <c r="F170" s="1" t="s">
        <v>19</v>
      </c>
      <c r="G170" s="72">
        <v>98136</v>
      </c>
      <c r="I170" s="67">
        <v>45188</v>
      </c>
      <c r="J170" s="73" t="str">
        <f>IFERROR(IF(I170&gt;E170,(I170-E170)*_xlfn.XLOOKUP(C170,'Vendor Details'!$B$4:$B$33,'Vendor Details'!$F$4:$F$33)*'Vendor Invoices'!G170,""),0)</f>
        <v/>
      </c>
      <c r="K170" s="72">
        <f>IFERROR(_xlfn.XLOOKUP(B170,'Payment HIstory'!$D:$D,'Payment HIstory'!$F:$F),0)</f>
        <v>91266.48000000001</v>
      </c>
      <c r="L170" s="1" t="str">
        <f t="shared" si="12"/>
        <v>Outstanding</v>
      </c>
      <c r="M170" s="72">
        <f t="shared" si="14"/>
        <v>6869.5199999999895</v>
      </c>
      <c r="N170" s="72">
        <f>IF(L170="Outstanding",($C$3-E170)*_xlfn.XLOOKUP(C170,'Vendor Details'!$B:$B,'Vendor Details'!$F:$F)*'Vendor Invoices'!G170,0)</f>
        <v>6099.152399999999</v>
      </c>
      <c r="O170" s="77">
        <f t="shared" si="15"/>
        <v>12968.672399999989</v>
      </c>
      <c r="P170" s="70">
        <f t="shared" si="17"/>
        <v>113</v>
      </c>
      <c r="Q170" s="1" t="str" cm="1">
        <f t="array" ref="Q170">IF(L170="Outstanding",_xlfn.XLOOKUP(1,(P170&gt;='Aging Schedule'!$B$18:$B$22)*(P170&lt;='Aging Schedule'!$C$18:$C$22),'Aging Schedule'!$D$18:$D$22),"")</f>
        <v>91+ Days</v>
      </c>
      <c r="R170" s="1" t="str">
        <f>IF(L170="Outstanding",VLOOKUP(P170,'Aging Schedule'!$B$18:$D$22,3),"")</f>
        <v>91+ Days</v>
      </c>
      <c r="S170" s="77">
        <f t="shared" si="16"/>
        <v>6099.152399999999</v>
      </c>
    </row>
    <row r="171" spans="2:19" x14ac:dyDescent="0.25">
      <c r="B171" s="1" t="s">
        <v>222</v>
      </c>
      <c r="C171" s="1" t="s">
        <v>36</v>
      </c>
      <c r="D171" s="43">
        <v>45071</v>
      </c>
      <c r="E171" s="43">
        <v>45108</v>
      </c>
      <c r="F171" s="1" t="s">
        <v>21</v>
      </c>
      <c r="G171" s="72">
        <v>87328</v>
      </c>
      <c r="I171" s="67">
        <v>45108</v>
      </c>
      <c r="J171" s="73" t="str">
        <f>IFERROR(IF(I171&gt;E171,(I171-E171)*_xlfn.XLOOKUP(C171,'Vendor Details'!$B$4:$B$33,'Vendor Details'!$F$4:$F$33)*'Vendor Invoices'!G171,""),0)</f>
        <v/>
      </c>
      <c r="K171" s="72">
        <f>IFERROR(_xlfn.XLOOKUP(B171,'Payment HIstory'!$D:$D,'Payment HIstory'!$F:$F),0)</f>
        <v>79468.479999999996</v>
      </c>
      <c r="L171" s="1" t="str">
        <f t="shared" si="12"/>
        <v>Outstanding</v>
      </c>
      <c r="M171" s="72">
        <f t="shared" si="14"/>
        <v>7859.5200000000041</v>
      </c>
      <c r="N171" s="72">
        <f>IF(L171="Outstanding",($C$3-E171)*_xlfn.XLOOKUP(C171,'Vendor Details'!$B:$B,'Vendor Details'!$F:$F)*'Vendor Invoices'!G171,0)</f>
        <v>13483.443200000002</v>
      </c>
      <c r="O171" s="77">
        <f t="shared" si="15"/>
        <v>21342.963200000006</v>
      </c>
      <c r="P171" s="70">
        <f t="shared" si="17"/>
        <v>193</v>
      </c>
      <c r="Q171" s="1" t="str" cm="1">
        <f t="array" ref="Q171">IF(L171="Outstanding",_xlfn.XLOOKUP(1,(P171&gt;='Aging Schedule'!$B$18:$B$22)*(P171&lt;='Aging Schedule'!$C$18:$C$22),'Aging Schedule'!$D$18:$D$22),"")</f>
        <v>91+ Days</v>
      </c>
      <c r="R171" s="1" t="str">
        <f>IF(L171="Outstanding",VLOOKUP(P171,'Aging Schedule'!$B$18:$D$22,3),"")</f>
        <v>91+ Days</v>
      </c>
      <c r="S171" s="77">
        <f t="shared" si="16"/>
        <v>13483.443200000002</v>
      </c>
    </row>
    <row r="172" spans="2:19" x14ac:dyDescent="0.25">
      <c r="B172" s="1" t="s">
        <v>223</v>
      </c>
      <c r="C172" s="1" t="s">
        <v>34</v>
      </c>
      <c r="D172" s="43">
        <v>45170</v>
      </c>
      <c r="E172" s="43">
        <v>45200</v>
      </c>
      <c r="F172" s="1" t="s">
        <v>19</v>
      </c>
      <c r="G172" s="72">
        <v>84277</v>
      </c>
      <c r="I172" s="67" t="str">
        <v/>
      </c>
      <c r="J172" s="73">
        <f>IFERROR(IF(I172&gt;E172,(I172-E172)*_xlfn.XLOOKUP(C172,'Vendor Details'!$B$4:$B$33,'Vendor Details'!$F$4:$F$33)*'Vendor Invoices'!G172,""),0)</f>
        <v>0</v>
      </c>
      <c r="K172" s="72">
        <f>IFERROR(_xlfn.XLOOKUP(B172,'Payment HIstory'!$D:$D,'Payment HIstory'!$F:$F),0)</f>
        <v>0</v>
      </c>
      <c r="L172" s="1" t="str">
        <f t="shared" si="12"/>
        <v>Outstanding</v>
      </c>
      <c r="M172" s="72">
        <f t="shared" si="14"/>
        <v>84277</v>
      </c>
      <c r="N172" s="72">
        <f>IF(L172="Outstanding",($C$3-E172)*_xlfn.XLOOKUP(C172,'Vendor Details'!$B:$B,'Vendor Details'!$F:$F)*'Vendor Invoices'!G172,0)</f>
        <v>170239.54</v>
      </c>
      <c r="O172" s="77">
        <f t="shared" si="15"/>
        <v>254516.54</v>
      </c>
      <c r="P172" s="70">
        <f t="shared" si="17"/>
        <v>101</v>
      </c>
      <c r="Q172" s="1" t="str" cm="1">
        <f t="array" ref="Q172">IF(L172="Outstanding",_xlfn.XLOOKUP(1,(P172&gt;='Aging Schedule'!$B$18:$B$22)*(P172&lt;='Aging Schedule'!$C$18:$C$22),'Aging Schedule'!$D$18:$D$22),"")</f>
        <v>91+ Days</v>
      </c>
      <c r="R172" s="1" t="str">
        <f>IF(L172="Outstanding",VLOOKUP(P172,'Aging Schedule'!$B$18:$D$22,3),"")</f>
        <v>91+ Days</v>
      </c>
      <c r="S172" s="77">
        <f t="shared" si="16"/>
        <v>170239.54</v>
      </c>
    </row>
    <row r="173" spans="2:19" x14ac:dyDescent="0.25">
      <c r="B173" s="1" t="s">
        <v>224</v>
      </c>
      <c r="C173" s="1" t="s">
        <v>36</v>
      </c>
      <c r="D173" s="43">
        <v>45213</v>
      </c>
      <c r="E173" s="43">
        <v>45235</v>
      </c>
      <c r="F173" s="1" t="s">
        <v>21</v>
      </c>
      <c r="G173" s="72">
        <v>46677</v>
      </c>
      <c r="I173" s="67">
        <v>45235</v>
      </c>
      <c r="J173" s="73" t="str">
        <f>IFERROR(IF(I173&gt;E173,(I173-E173)*_xlfn.XLOOKUP(C173,'Vendor Details'!$B$4:$B$33,'Vendor Details'!$F$4:$F$33)*'Vendor Invoices'!G173,""),0)</f>
        <v/>
      </c>
      <c r="K173" s="72">
        <f>IFERROR(_xlfn.XLOOKUP(B173,'Payment HIstory'!$D:$D,'Payment HIstory'!$F:$F),0)</f>
        <v>43409.61</v>
      </c>
      <c r="L173" s="1" t="str">
        <f t="shared" si="12"/>
        <v>Outstanding</v>
      </c>
      <c r="M173" s="72">
        <f t="shared" si="14"/>
        <v>3267.3899999999994</v>
      </c>
      <c r="N173" s="72">
        <f>IF(L173="Outstanding",($C$3-E173)*_xlfn.XLOOKUP(C173,'Vendor Details'!$B:$B,'Vendor Details'!$F:$F)*'Vendor Invoices'!G173,0)</f>
        <v>2464.5455999999999</v>
      </c>
      <c r="O173" s="77">
        <f t="shared" si="15"/>
        <v>5731.9355999999989</v>
      </c>
      <c r="P173" s="70">
        <f t="shared" si="17"/>
        <v>66</v>
      </c>
      <c r="Q173" s="1" t="str" cm="1">
        <f t="array" ref="Q173">IF(L173="Outstanding",_xlfn.XLOOKUP(1,(P173&gt;='Aging Schedule'!$B$18:$B$22)*(P173&lt;='Aging Schedule'!$C$18:$C$22),'Aging Schedule'!$D$18:$D$22),"")</f>
        <v>61-90 Days</v>
      </c>
      <c r="R173" s="1" t="str">
        <f>IF(L173="Outstanding",VLOOKUP(P173,'Aging Schedule'!$B$18:$D$22,3),"")</f>
        <v>61-90 Days</v>
      </c>
      <c r="S173" s="77">
        <f t="shared" si="16"/>
        <v>2464.5455999999999</v>
      </c>
    </row>
    <row r="174" spans="2:19" x14ac:dyDescent="0.25">
      <c r="B174" s="1" t="s">
        <v>225</v>
      </c>
      <c r="C174" s="1" t="s">
        <v>39</v>
      </c>
      <c r="D174" s="43">
        <v>44827</v>
      </c>
      <c r="E174" s="43">
        <v>44927</v>
      </c>
      <c r="F174" s="1" t="s">
        <v>21</v>
      </c>
      <c r="G174" s="72">
        <v>96534</v>
      </c>
      <c r="I174" s="67">
        <v>44927</v>
      </c>
      <c r="J174" s="73" t="str">
        <f>IFERROR(IF(I174&gt;E174,(I174-E174)*_xlfn.XLOOKUP(C174,'Vendor Details'!$B$4:$B$33,'Vendor Details'!$F$4:$F$33)*'Vendor Invoices'!G174,""),0)</f>
        <v/>
      </c>
      <c r="K174" s="72">
        <f>IFERROR(_xlfn.XLOOKUP(B174,'Payment HIstory'!$D:$D,'Payment HIstory'!$F:$F),0)</f>
        <v>90741.959999999992</v>
      </c>
      <c r="L174" s="1" t="str">
        <f t="shared" si="12"/>
        <v>Outstanding</v>
      </c>
      <c r="M174" s="72">
        <f t="shared" si="14"/>
        <v>5792.0400000000081</v>
      </c>
      <c r="N174" s="72">
        <f>IF(L174="Outstanding",($C$3-E174)*_xlfn.XLOOKUP(C174,'Vendor Details'!$B:$B,'Vendor Details'!$F:$F)*'Vendor Invoices'!G174,0)</f>
        <v>19857.043799999996</v>
      </c>
      <c r="O174" s="77">
        <f t="shared" si="15"/>
        <v>25649.083800000004</v>
      </c>
      <c r="P174" s="70">
        <f t="shared" si="17"/>
        <v>374</v>
      </c>
      <c r="Q174" s="1" t="str" cm="1">
        <f t="array" ref="Q174">IF(L174="Outstanding",_xlfn.XLOOKUP(1,(P174&gt;='Aging Schedule'!$B$18:$B$22)*(P174&lt;='Aging Schedule'!$C$18:$C$22),'Aging Schedule'!$D$18:$D$22),"")</f>
        <v>91+ Days</v>
      </c>
      <c r="R174" s="1" t="str">
        <f>IF(L174="Outstanding",VLOOKUP(P174,'Aging Schedule'!$B$18:$D$22,3),"")</f>
        <v>91+ Days</v>
      </c>
      <c r="S174" s="77">
        <f t="shared" si="16"/>
        <v>19857.043799999996</v>
      </c>
    </row>
    <row r="175" spans="2:19" x14ac:dyDescent="0.25">
      <c r="B175" s="1" t="s">
        <v>226</v>
      </c>
      <c r="C175" s="1" t="s">
        <v>41</v>
      </c>
      <c r="D175" s="43">
        <v>45238</v>
      </c>
      <c r="E175" s="43">
        <v>45268</v>
      </c>
      <c r="F175" s="1" t="s">
        <v>21</v>
      </c>
      <c r="G175" s="72">
        <v>43962</v>
      </c>
      <c r="I175" s="67" t="str">
        <v/>
      </c>
      <c r="J175" s="73">
        <f>IFERROR(IF(I175&gt;E175,(I175-E175)*_xlfn.XLOOKUP(C175,'Vendor Details'!$B$4:$B$33,'Vendor Details'!$F$4:$F$33)*'Vendor Invoices'!G175,""),0)</f>
        <v>0</v>
      </c>
      <c r="K175" s="72">
        <f>IFERROR(_xlfn.XLOOKUP(B175,'Payment HIstory'!$D:$D,'Payment HIstory'!$F:$F),0)</f>
        <v>0</v>
      </c>
      <c r="L175" s="1" t="str">
        <f t="shared" si="12"/>
        <v>Outstanding</v>
      </c>
      <c r="M175" s="72">
        <f t="shared" si="14"/>
        <v>43962</v>
      </c>
      <c r="N175" s="72">
        <f>IF(L175="Outstanding",($C$3-E175)*_xlfn.XLOOKUP(C175,'Vendor Details'!$B:$B,'Vendor Details'!$F:$F)*'Vendor Invoices'!G175,0)</f>
        <v>797.91029999999978</v>
      </c>
      <c r="O175" s="77">
        <f t="shared" si="15"/>
        <v>44759.910300000003</v>
      </c>
      <c r="P175" s="70">
        <f t="shared" si="17"/>
        <v>33</v>
      </c>
      <c r="Q175" s="1" t="str" cm="1">
        <f t="array" ref="Q175">IF(L175="Outstanding",_xlfn.XLOOKUP(1,(P175&gt;='Aging Schedule'!$B$18:$B$22)*(P175&lt;='Aging Schedule'!$C$18:$C$22),'Aging Schedule'!$D$18:$D$22),"")</f>
        <v>31-45 Days</v>
      </c>
      <c r="R175" s="1" t="str">
        <f>IF(L175="Outstanding",VLOOKUP(P175,'Aging Schedule'!$B$18:$D$22,3),"")</f>
        <v>31-45 Days</v>
      </c>
      <c r="S175" s="77">
        <f t="shared" si="16"/>
        <v>797.91029999999978</v>
      </c>
    </row>
    <row r="176" spans="2:19" x14ac:dyDescent="0.25">
      <c r="B176" s="1" t="s">
        <v>227</v>
      </c>
      <c r="C176" s="1" t="s">
        <v>34</v>
      </c>
      <c r="D176" s="43">
        <v>44984</v>
      </c>
      <c r="E176" s="43">
        <v>45065</v>
      </c>
      <c r="F176" s="1" t="s">
        <v>19</v>
      </c>
      <c r="G176" s="72">
        <v>73027</v>
      </c>
      <c r="I176" s="67">
        <v>45065</v>
      </c>
      <c r="J176" s="73" t="str">
        <f>IFERROR(IF(I176&gt;E176,(I176-E176)*_xlfn.XLOOKUP(C176,'Vendor Details'!$B$4:$B$33,'Vendor Details'!$F$4:$F$33)*'Vendor Invoices'!G176,""),0)</f>
        <v/>
      </c>
      <c r="K176" s="72">
        <f>IFERROR(_xlfn.XLOOKUP(B176,'Payment HIstory'!$D:$D,'Payment HIstory'!$F:$F),0)</f>
        <v>73027</v>
      </c>
      <c r="L176" s="1" t="str">
        <f t="shared" si="12"/>
        <v>Paid</v>
      </c>
      <c r="M176" s="72">
        <f t="shared" si="14"/>
        <v>0</v>
      </c>
      <c r="N176" s="72">
        <f>IF(L176="Outstanding",($C$3-E176)*_xlfn.XLOOKUP(C176,'Vendor Details'!$B:$B,'Vendor Details'!$F:$F)*'Vendor Invoices'!G176,0)</f>
        <v>0</v>
      </c>
      <c r="O176" s="77">
        <f t="shared" si="15"/>
        <v>0</v>
      </c>
      <c r="P176" s="70" t="str">
        <f t="shared" si="17"/>
        <v/>
      </c>
      <c r="Q176" s="1" t="str" cm="1">
        <f t="array" ref="Q176">IF(L176="Outstanding",_xlfn.XLOOKUP(1,(P176&gt;='Aging Schedule'!$B$18:$B$22)*(P176&lt;='Aging Schedule'!$C$18:$C$22),'Aging Schedule'!$D$18:$D$22),"")</f>
        <v/>
      </c>
      <c r="R176" s="1" t="str">
        <f>IF(L176="Outstanding",VLOOKUP(P176,'Aging Schedule'!$B$18:$D$22,3),"")</f>
        <v/>
      </c>
      <c r="S176" s="77">
        <f t="shared" si="16"/>
        <v>0</v>
      </c>
    </row>
    <row r="177" spans="2:19" x14ac:dyDescent="0.25">
      <c r="B177" s="1" t="s">
        <v>228</v>
      </c>
      <c r="C177" s="1" t="s">
        <v>40</v>
      </c>
      <c r="D177" s="43">
        <v>45244</v>
      </c>
      <c r="E177" s="43">
        <v>45270</v>
      </c>
      <c r="F177" s="1" t="s">
        <v>21</v>
      </c>
      <c r="G177" s="72">
        <v>44680</v>
      </c>
      <c r="I177" s="67">
        <v>45270</v>
      </c>
      <c r="J177" s="73" t="str">
        <f>IFERROR(IF(I177&gt;E177,(I177-E177)*_xlfn.XLOOKUP(C177,'Vendor Details'!$B$4:$B$33,'Vendor Details'!$F$4:$F$33)*'Vendor Invoices'!G177,""),0)</f>
        <v/>
      </c>
      <c r="K177" s="72">
        <f>IFERROR(_xlfn.XLOOKUP(B177,'Payment HIstory'!$D:$D,'Payment HIstory'!$F:$F),0)</f>
        <v>44680</v>
      </c>
      <c r="L177" s="1" t="str">
        <f t="shared" si="12"/>
        <v>Paid</v>
      </c>
      <c r="M177" s="72">
        <f t="shared" si="14"/>
        <v>0</v>
      </c>
      <c r="N177" s="72">
        <f>IF(L177="Outstanding",($C$3-E177)*_xlfn.XLOOKUP(C177,'Vendor Details'!$B:$B,'Vendor Details'!$F:$F)*'Vendor Invoices'!G177,0)</f>
        <v>0</v>
      </c>
      <c r="O177" s="77">
        <f t="shared" si="15"/>
        <v>0</v>
      </c>
      <c r="P177" s="70" t="str">
        <f t="shared" si="17"/>
        <v/>
      </c>
      <c r="Q177" s="1" t="str" cm="1">
        <f t="array" ref="Q177">IF(L177="Outstanding",_xlfn.XLOOKUP(1,(P177&gt;='Aging Schedule'!$B$18:$B$22)*(P177&lt;='Aging Schedule'!$C$18:$C$22),'Aging Schedule'!$D$18:$D$22),"")</f>
        <v/>
      </c>
      <c r="R177" s="1" t="str">
        <f>IF(L177="Outstanding",VLOOKUP(P177,'Aging Schedule'!$B$18:$D$22,3),"")</f>
        <v/>
      </c>
      <c r="S177" s="77">
        <f t="shared" si="16"/>
        <v>0</v>
      </c>
    </row>
    <row r="178" spans="2:19" x14ac:dyDescent="0.25">
      <c r="B178" s="1" t="s">
        <v>229</v>
      </c>
      <c r="C178" s="1" t="s">
        <v>33</v>
      </c>
      <c r="D178" s="43">
        <v>45052</v>
      </c>
      <c r="E178" s="43">
        <v>45172</v>
      </c>
      <c r="F178" s="1" t="s">
        <v>18</v>
      </c>
      <c r="G178" s="72">
        <v>100210</v>
      </c>
      <c r="I178" s="67">
        <v>45186</v>
      </c>
      <c r="J178" s="73">
        <f>IFERROR(IF(I178&gt;E178,(I178-E178)*_xlfn.XLOOKUP(C178,'Vendor Details'!$B$4:$B$33,'Vendor Details'!$F$4:$F$33)*'Vendor Invoices'!G178,""),0)</f>
        <v>982.05799999999999</v>
      </c>
      <c r="K178" s="72">
        <f>IFERROR(_xlfn.XLOOKUP(B178,'Payment HIstory'!$D:$D,'Payment HIstory'!$F:$F),0)</f>
        <v>101192.058</v>
      </c>
      <c r="L178" s="1" t="str">
        <f t="shared" si="12"/>
        <v>Paid</v>
      </c>
      <c r="M178" s="72">
        <f t="shared" si="14"/>
        <v>0</v>
      </c>
      <c r="N178" s="72">
        <f>IF(L178="Outstanding",($C$3-E178)*_xlfn.XLOOKUP(C178,'Vendor Details'!$B:$B,'Vendor Details'!$F:$F)*'Vendor Invoices'!G178,0)</f>
        <v>0</v>
      </c>
      <c r="O178" s="77">
        <f t="shared" si="15"/>
        <v>0</v>
      </c>
      <c r="P178" s="70" t="str">
        <f t="shared" si="17"/>
        <v/>
      </c>
      <c r="Q178" s="1" t="str" cm="1">
        <f t="array" ref="Q178">IF(L178="Outstanding",_xlfn.XLOOKUP(1,(P178&gt;='Aging Schedule'!$B$18:$B$22)*(P178&lt;='Aging Schedule'!$C$18:$C$22),'Aging Schedule'!$D$18:$D$22),"")</f>
        <v/>
      </c>
      <c r="R178" s="1" t="str">
        <f>IF(L178="Outstanding",VLOOKUP(P178,'Aging Schedule'!$B$18:$D$22,3),"")</f>
        <v/>
      </c>
      <c r="S178" s="77">
        <f t="shared" si="16"/>
        <v>982.05799999999999</v>
      </c>
    </row>
    <row r="179" spans="2:19" x14ac:dyDescent="0.25">
      <c r="B179" s="1" t="s">
        <v>230</v>
      </c>
      <c r="C179" s="1" t="s">
        <v>33</v>
      </c>
      <c r="D179" s="43">
        <v>44989</v>
      </c>
      <c r="E179" s="43">
        <v>45034</v>
      </c>
      <c r="F179" s="1" t="s">
        <v>18</v>
      </c>
      <c r="G179" s="72">
        <v>79977</v>
      </c>
      <c r="I179" s="67">
        <v>45034</v>
      </c>
      <c r="J179" s="73" t="str">
        <f>IFERROR(IF(I179&gt;E179,(I179-E179)*_xlfn.XLOOKUP(C179,'Vendor Details'!$B$4:$B$33,'Vendor Details'!$F$4:$F$33)*'Vendor Invoices'!G179,""),0)</f>
        <v/>
      </c>
      <c r="K179" s="72">
        <f>IFERROR(_xlfn.XLOOKUP(B179,'Payment HIstory'!$D:$D,'Payment HIstory'!$F:$F),0)</f>
        <v>79977</v>
      </c>
      <c r="L179" s="1" t="str">
        <f t="shared" si="12"/>
        <v>Paid</v>
      </c>
      <c r="M179" s="72">
        <f t="shared" si="14"/>
        <v>0</v>
      </c>
      <c r="N179" s="72">
        <f>IF(L179="Outstanding",($C$3-E179)*_xlfn.XLOOKUP(C179,'Vendor Details'!$B:$B,'Vendor Details'!$F:$F)*'Vendor Invoices'!G179,0)</f>
        <v>0</v>
      </c>
      <c r="O179" s="77">
        <f t="shared" si="15"/>
        <v>0</v>
      </c>
      <c r="P179" s="70" t="str">
        <f t="shared" si="17"/>
        <v/>
      </c>
      <c r="Q179" s="1" t="str" cm="1">
        <f t="array" ref="Q179">IF(L179="Outstanding",_xlfn.XLOOKUP(1,(P179&gt;='Aging Schedule'!$B$18:$B$22)*(P179&lt;='Aging Schedule'!$C$18:$C$22),'Aging Schedule'!$D$18:$D$22),"")</f>
        <v/>
      </c>
      <c r="R179" s="1" t="str">
        <f>IF(L179="Outstanding",VLOOKUP(P179,'Aging Schedule'!$B$18:$D$22,3),"")</f>
        <v/>
      </c>
      <c r="S179" s="77">
        <f t="shared" si="16"/>
        <v>0</v>
      </c>
    </row>
    <row r="180" spans="2:19" x14ac:dyDescent="0.25">
      <c r="B180" s="1" t="s">
        <v>231</v>
      </c>
      <c r="C180" s="1" t="s">
        <v>37</v>
      </c>
      <c r="D180" s="43">
        <v>44907</v>
      </c>
      <c r="E180" s="43">
        <v>44990</v>
      </c>
      <c r="F180" s="1" t="s">
        <v>21</v>
      </c>
      <c r="G180" s="72">
        <v>98710</v>
      </c>
      <c r="I180" s="67">
        <v>44990</v>
      </c>
      <c r="J180" s="73" t="str">
        <f>IFERROR(IF(I180&gt;E180,(I180-E180)*_xlfn.XLOOKUP(C180,'Vendor Details'!$B$4:$B$33,'Vendor Details'!$F$4:$F$33)*'Vendor Invoices'!G180,""),0)</f>
        <v/>
      </c>
      <c r="K180" s="72">
        <f>IFERROR(_xlfn.XLOOKUP(B180,'Payment HIstory'!$D:$D,'Payment HIstory'!$F:$F),0)</f>
        <v>98710</v>
      </c>
      <c r="L180" s="1" t="str">
        <f t="shared" si="12"/>
        <v>Paid</v>
      </c>
      <c r="M180" s="72">
        <f t="shared" si="14"/>
        <v>0</v>
      </c>
      <c r="N180" s="72">
        <f>IF(L180="Outstanding",($C$3-E180)*_xlfn.XLOOKUP(C180,'Vendor Details'!$B:$B,'Vendor Details'!$F:$F)*'Vendor Invoices'!G180,0)</f>
        <v>0</v>
      </c>
      <c r="O180" s="77">
        <f t="shared" si="15"/>
        <v>0</v>
      </c>
      <c r="P180" s="70" t="str">
        <f t="shared" si="17"/>
        <v/>
      </c>
      <c r="Q180" s="1" t="str" cm="1">
        <f t="array" ref="Q180">IF(L180="Outstanding",_xlfn.XLOOKUP(1,(P180&gt;='Aging Schedule'!$B$18:$B$22)*(P180&lt;='Aging Schedule'!$C$18:$C$22),'Aging Schedule'!$D$18:$D$22),"")</f>
        <v/>
      </c>
      <c r="R180" s="1" t="str">
        <f>IF(L180="Outstanding",VLOOKUP(P180,'Aging Schedule'!$B$18:$D$22,3),"")</f>
        <v/>
      </c>
      <c r="S180" s="77">
        <f t="shared" si="16"/>
        <v>0</v>
      </c>
    </row>
    <row r="181" spans="2:19" x14ac:dyDescent="0.25">
      <c r="B181" s="1" t="s">
        <v>232</v>
      </c>
      <c r="C181" s="1" t="s">
        <v>33</v>
      </c>
      <c r="D181" s="43">
        <v>45022</v>
      </c>
      <c r="E181" s="43">
        <v>45110</v>
      </c>
      <c r="F181" s="1" t="s">
        <v>18</v>
      </c>
      <c r="G181" s="72">
        <v>37512</v>
      </c>
      <c r="I181" s="67">
        <v>45110</v>
      </c>
      <c r="J181" s="73" t="str">
        <f>IFERROR(IF(I181&gt;E181,(I181-E181)*_xlfn.XLOOKUP(C181,'Vendor Details'!$B$4:$B$33,'Vendor Details'!$F$4:$F$33)*'Vendor Invoices'!G181,""),0)</f>
        <v/>
      </c>
      <c r="K181" s="72">
        <f>IFERROR(_xlfn.XLOOKUP(B181,'Payment HIstory'!$D:$D,'Payment HIstory'!$F:$F),0)</f>
        <v>37512</v>
      </c>
      <c r="L181" s="1" t="str">
        <f t="shared" si="12"/>
        <v>Paid</v>
      </c>
      <c r="M181" s="72">
        <f t="shared" si="14"/>
        <v>0</v>
      </c>
      <c r="N181" s="72">
        <f>IF(L181="Outstanding",($C$3-E181)*_xlfn.XLOOKUP(C181,'Vendor Details'!$B:$B,'Vendor Details'!$F:$F)*'Vendor Invoices'!G181,0)</f>
        <v>0</v>
      </c>
      <c r="O181" s="77">
        <f t="shared" si="15"/>
        <v>0</v>
      </c>
      <c r="P181" s="70" t="str">
        <f t="shared" si="17"/>
        <v/>
      </c>
      <c r="Q181" s="1" t="str" cm="1">
        <f t="array" ref="Q181">IF(L181="Outstanding",_xlfn.XLOOKUP(1,(P181&gt;='Aging Schedule'!$B$18:$B$22)*(P181&lt;='Aging Schedule'!$C$18:$C$22),'Aging Schedule'!$D$18:$D$22),"")</f>
        <v/>
      </c>
      <c r="R181" s="1" t="str">
        <f>IF(L181="Outstanding",VLOOKUP(P181,'Aging Schedule'!$B$18:$D$22,3),"")</f>
        <v/>
      </c>
      <c r="S181" s="77">
        <f t="shared" si="16"/>
        <v>0</v>
      </c>
    </row>
    <row r="182" spans="2:19" x14ac:dyDescent="0.25">
      <c r="B182" s="1" t="s">
        <v>233</v>
      </c>
      <c r="C182" s="1" t="s">
        <v>36</v>
      </c>
      <c r="D182" s="43">
        <v>45186</v>
      </c>
      <c r="E182" s="43">
        <v>45245</v>
      </c>
      <c r="F182" s="1" t="s">
        <v>20</v>
      </c>
      <c r="G182" s="72">
        <v>114962</v>
      </c>
      <c r="I182" s="67">
        <v>45245</v>
      </c>
      <c r="J182" s="73" t="str">
        <f>IFERROR(IF(I182&gt;E182,(I182-E182)*_xlfn.XLOOKUP(C182,'Vendor Details'!$B$4:$B$33,'Vendor Details'!$F$4:$F$33)*'Vendor Invoices'!G182,""),0)</f>
        <v/>
      </c>
      <c r="K182" s="72">
        <f>IFERROR(_xlfn.XLOOKUP(B182,'Payment HIstory'!$D:$D,'Payment HIstory'!$F:$F),0)</f>
        <v>106914.66</v>
      </c>
      <c r="L182" s="1" t="str">
        <f t="shared" si="12"/>
        <v>Outstanding</v>
      </c>
      <c r="M182" s="72">
        <f t="shared" si="14"/>
        <v>8047.3399999999965</v>
      </c>
      <c r="N182" s="72">
        <f>IF(L182="Outstanding",($C$3-E182)*_xlfn.XLOOKUP(C182,'Vendor Details'!$B:$B,'Vendor Details'!$F:$F)*'Vendor Invoices'!G182,0)</f>
        <v>5150.2975999999999</v>
      </c>
      <c r="O182" s="77">
        <f t="shared" si="15"/>
        <v>13197.637599999996</v>
      </c>
      <c r="P182" s="70">
        <f t="shared" si="17"/>
        <v>56</v>
      </c>
      <c r="Q182" s="1" t="str" cm="1">
        <f t="array" ref="Q182">IF(L182="Outstanding",_xlfn.XLOOKUP(1,(P182&gt;='Aging Schedule'!$B$18:$B$22)*(P182&lt;='Aging Schedule'!$C$18:$C$22),'Aging Schedule'!$D$18:$D$22),"")</f>
        <v>46-60 Days</v>
      </c>
      <c r="R182" s="1" t="str">
        <f>IF(L182="Outstanding",VLOOKUP(P182,'Aging Schedule'!$B$18:$D$22,3),"")</f>
        <v>46-60 Days</v>
      </c>
      <c r="S182" s="77">
        <f t="shared" si="16"/>
        <v>5150.2975999999999</v>
      </c>
    </row>
    <row r="183" spans="2:19" x14ac:dyDescent="0.25">
      <c r="B183" s="1" t="s">
        <v>234</v>
      </c>
      <c r="C183" s="1" t="s">
        <v>34</v>
      </c>
      <c r="D183" s="43">
        <v>45193</v>
      </c>
      <c r="E183" s="43">
        <v>45286</v>
      </c>
      <c r="F183" s="1" t="s">
        <v>20</v>
      </c>
      <c r="G183" s="72">
        <v>87498</v>
      </c>
      <c r="I183" s="67">
        <v>45286</v>
      </c>
      <c r="J183" s="73" t="str">
        <f>IFERROR(IF(I183&gt;E183,(I183-E183)*_xlfn.XLOOKUP(C183,'Vendor Details'!$B$4:$B$33,'Vendor Details'!$F$4:$F$33)*'Vendor Invoices'!G183,""),0)</f>
        <v/>
      </c>
      <c r="K183" s="72">
        <f>IFERROR(_xlfn.XLOOKUP(B183,'Payment HIstory'!$D:$D,'Payment HIstory'!$F:$F),0)</f>
        <v>87498</v>
      </c>
      <c r="L183" s="1" t="str">
        <f t="shared" si="12"/>
        <v>Paid</v>
      </c>
      <c r="M183" s="72">
        <f t="shared" si="14"/>
        <v>0</v>
      </c>
      <c r="N183" s="72">
        <f>IF(L183="Outstanding",($C$3-E183)*_xlfn.XLOOKUP(C183,'Vendor Details'!$B:$B,'Vendor Details'!$F:$F)*'Vendor Invoices'!G183,0)</f>
        <v>0</v>
      </c>
      <c r="O183" s="77">
        <f t="shared" si="15"/>
        <v>0</v>
      </c>
      <c r="P183" s="70" t="str">
        <f t="shared" si="17"/>
        <v/>
      </c>
      <c r="Q183" s="1" t="str" cm="1">
        <f t="array" ref="Q183">IF(L183="Outstanding",_xlfn.XLOOKUP(1,(P183&gt;='Aging Schedule'!$B$18:$B$22)*(P183&lt;='Aging Schedule'!$C$18:$C$22),'Aging Schedule'!$D$18:$D$22),"")</f>
        <v/>
      </c>
      <c r="R183" s="1" t="str">
        <f>IF(L183="Outstanding",VLOOKUP(P183,'Aging Schedule'!$B$18:$D$22,3),"")</f>
        <v/>
      </c>
      <c r="S183" s="77">
        <f t="shared" si="16"/>
        <v>0</v>
      </c>
    </row>
    <row r="184" spans="2:19" x14ac:dyDescent="0.25">
      <c r="B184" s="1" t="s">
        <v>235</v>
      </c>
      <c r="C184" s="1" t="s">
        <v>41</v>
      </c>
      <c r="D184" s="43">
        <v>44908</v>
      </c>
      <c r="E184" s="43">
        <v>44993</v>
      </c>
      <c r="F184" s="1" t="s">
        <v>18</v>
      </c>
      <c r="G184" s="72">
        <v>72783</v>
      </c>
      <c r="I184" s="67">
        <v>44993</v>
      </c>
      <c r="J184" s="73" t="str">
        <f>IFERROR(IF(I184&gt;E184,(I184-E184)*_xlfn.XLOOKUP(C184,'Vendor Details'!$B$4:$B$33,'Vendor Details'!$F$4:$F$33)*'Vendor Invoices'!G184,""),0)</f>
        <v/>
      </c>
      <c r="K184" s="72">
        <f>IFERROR(_xlfn.XLOOKUP(B184,'Payment HIstory'!$D:$D,'Payment HIstory'!$F:$F),0)</f>
        <v>72783</v>
      </c>
      <c r="L184" s="1" t="str">
        <f t="shared" si="12"/>
        <v>Paid</v>
      </c>
      <c r="M184" s="72">
        <f t="shared" si="14"/>
        <v>0</v>
      </c>
      <c r="N184" s="72">
        <f>IF(L184="Outstanding",($C$3-E184)*_xlfn.XLOOKUP(C184,'Vendor Details'!$B:$B,'Vendor Details'!$F:$F)*'Vendor Invoices'!G184,0)</f>
        <v>0</v>
      </c>
      <c r="O184" s="77">
        <f t="shared" si="15"/>
        <v>0</v>
      </c>
      <c r="P184" s="70" t="str">
        <f t="shared" si="17"/>
        <v/>
      </c>
      <c r="Q184" s="1" t="str" cm="1">
        <f t="array" ref="Q184">IF(L184="Outstanding",_xlfn.XLOOKUP(1,(P184&gt;='Aging Schedule'!$B$18:$B$22)*(P184&lt;='Aging Schedule'!$C$18:$C$22),'Aging Schedule'!$D$18:$D$22),"")</f>
        <v/>
      </c>
      <c r="R184" s="1" t="str">
        <f>IF(L184="Outstanding",VLOOKUP(P184,'Aging Schedule'!$B$18:$D$22,3),"")</f>
        <v/>
      </c>
      <c r="S184" s="77">
        <f t="shared" si="16"/>
        <v>0</v>
      </c>
    </row>
    <row r="185" spans="2:19" x14ac:dyDescent="0.25">
      <c r="B185" s="1" t="s">
        <v>236</v>
      </c>
      <c r="C185" s="1" t="s">
        <v>41</v>
      </c>
      <c r="D185" s="43">
        <v>45253</v>
      </c>
      <c r="E185" s="43">
        <v>45283</v>
      </c>
      <c r="F185" s="1" t="s">
        <v>19</v>
      </c>
      <c r="G185" s="72">
        <v>50711</v>
      </c>
      <c r="I185" s="67" t="str">
        <v/>
      </c>
      <c r="J185" s="73">
        <f>IFERROR(IF(I185&gt;E185,(I185-E185)*_xlfn.XLOOKUP(C185,'Vendor Details'!$B$4:$B$33,'Vendor Details'!$F$4:$F$33)*'Vendor Invoices'!G185,""),0)</f>
        <v>0</v>
      </c>
      <c r="K185" s="72">
        <f>IFERROR(_xlfn.XLOOKUP(B185,'Payment HIstory'!$D:$D,'Payment HIstory'!$F:$F),0)</f>
        <v>0</v>
      </c>
      <c r="L185" s="1" t="str">
        <f t="shared" si="12"/>
        <v>Outstanding</v>
      </c>
      <c r="M185" s="72">
        <f t="shared" si="14"/>
        <v>50711</v>
      </c>
      <c r="N185" s="72">
        <f>IF(L185="Outstanding",($C$3-E185)*_xlfn.XLOOKUP(C185,'Vendor Details'!$B:$B,'Vendor Details'!$F:$F)*'Vendor Invoices'!G185,0)</f>
        <v>502.03889999999996</v>
      </c>
      <c r="O185" s="77">
        <f t="shared" si="15"/>
        <v>51213.0389</v>
      </c>
      <c r="P185" s="70">
        <f t="shared" si="17"/>
        <v>18</v>
      </c>
      <c r="Q185" s="1" t="str" cm="1">
        <f t="array" ref="Q185">IF(L185="Outstanding",_xlfn.XLOOKUP(1,(P185&gt;='Aging Schedule'!$B$18:$B$22)*(P185&lt;='Aging Schedule'!$C$18:$C$22),'Aging Schedule'!$D$18:$D$22),"")</f>
        <v>0-30 Days</v>
      </c>
      <c r="R185" s="1" t="str">
        <f>IF(L185="Outstanding",VLOOKUP(P185,'Aging Schedule'!$B$18:$D$22,3),"")</f>
        <v>0-30 Days</v>
      </c>
      <c r="S185" s="77">
        <f t="shared" si="16"/>
        <v>502.03889999999996</v>
      </c>
    </row>
    <row r="186" spans="2:19" x14ac:dyDescent="0.25">
      <c r="B186" s="1" t="s">
        <v>237</v>
      </c>
      <c r="C186" s="1" t="s">
        <v>35</v>
      </c>
      <c r="D186" s="43">
        <v>44909</v>
      </c>
      <c r="E186" s="43">
        <v>44939</v>
      </c>
      <c r="F186" s="1" t="s">
        <v>19</v>
      </c>
      <c r="G186" s="72">
        <v>114295</v>
      </c>
      <c r="I186" s="67">
        <v>44939</v>
      </c>
      <c r="J186" s="73" t="str">
        <f>IFERROR(IF(I186&gt;E186,(I186-E186)*_xlfn.XLOOKUP(C186,'Vendor Details'!$B$4:$B$33,'Vendor Details'!$F$4:$F$33)*'Vendor Invoices'!G186,""),0)</f>
        <v/>
      </c>
      <c r="K186" s="72">
        <f>IFERROR(_xlfn.XLOOKUP(B186,'Payment HIstory'!$D:$D,'Payment HIstory'!$F:$F),0)</f>
        <v>114295</v>
      </c>
      <c r="L186" s="1" t="str">
        <f t="shared" si="12"/>
        <v>Paid</v>
      </c>
      <c r="M186" s="72">
        <f t="shared" si="14"/>
        <v>0</v>
      </c>
      <c r="N186" s="72">
        <f>IF(L186="Outstanding",($C$3-E186)*_xlfn.XLOOKUP(C186,'Vendor Details'!$B:$B,'Vendor Details'!$F:$F)*'Vendor Invoices'!G186,0)</f>
        <v>0</v>
      </c>
      <c r="O186" s="77">
        <f t="shared" si="15"/>
        <v>0</v>
      </c>
      <c r="P186" s="70" t="str">
        <f t="shared" si="17"/>
        <v/>
      </c>
      <c r="Q186" s="1" t="str" cm="1">
        <f t="array" ref="Q186">IF(L186="Outstanding",_xlfn.XLOOKUP(1,(P186&gt;='Aging Schedule'!$B$18:$B$22)*(P186&lt;='Aging Schedule'!$C$18:$C$22),'Aging Schedule'!$D$18:$D$22),"")</f>
        <v/>
      </c>
      <c r="R186" s="1" t="str">
        <f>IF(L186="Outstanding",VLOOKUP(P186,'Aging Schedule'!$B$18:$D$22,3),"")</f>
        <v/>
      </c>
      <c r="S186" s="77">
        <f t="shared" si="16"/>
        <v>0</v>
      </c>
    </row>
    <row r="187" spans="2:19" x14ac:dyDescent="0.25">
      <c r="B187" s="1" t="s">
        <v>238</v>
      </c>
      <c r="C187" s="1" t="s">
        <v>38</v>
      </c>
      <c r="D187" s="43">
        <v>44980</v>
      </c>
      <c r="E187" s="43">
        <v>45089</v>
      </c>
      <c r="F187" s="1" t="s">
        <v>20</v>
      </c>
      <c r="G187" s="72">
        <v>89808</v>
      </c>
      <c r="I187" s="67">
        <v>45089</v>
      </c>
      <c r="J187" s="73" t="str">
        <f>IFERROR(IF(I187&gt;E187,(I187-E187)*_xlfn.XLOOKUP(C187,'Vendor Details'!$B$4:$B$33,'Vendor Details'!$F$4:$F$33)*'Vendor Invoices'!G187,""),0)</f>
        <v/>
      </c>
      <c r="K187" s="72">
        <f>IFERROR(_xlfn.XLOOKUP(B187,'Payment HIstory'!$D:$D,'Payment HIstory'!$F:$F),0)</f>
        <v>89808</v>
      </c>
      <c r="L187" s="1" t="str">
        <f t="shared" si="12"/>
        <v>Paid</v>
      </c>
      <c r="M187" s="72">
        <f t="shared" si="14"/>
        <v>0</v>
      </c>
      <c r="N187" s="72">
        <f>IF(L187="Outstanding",($C$3-E187)*_xlfn.XLOOKUP(C187,'Vendor Details'!$B:$B,'Vendor Details'!$F:$F)*'Vendor Invoices'!G187,0)</f>
        <v>0</v>
      </c>
      <c r="O187" s="77">
        <f t="shared" si="15"/>
        <v>0</v>
      </c>
      <c r="P187" s="70" t="str">
        <f t="shared" si="17"/>
        <v/>
      </c>
      <c r="Q187" s="1" t="str" cm="1">
        <f t="array" ref="Q187">IF(L187="Outstanding",_xlfn.XLOOKUP(1,(P187&gt;='Aging Schedule'!$B$18:$B$22)*(P187&lt;='Aging Schedule'!$C$18:$C$22),'Aging Schedule'!$D$18:$D$22),"")</f>
        <v/>
      </c>
      <c r="R187" s="1" t="str">
        <f>IF(L187="Outstanding",VLOOKUP(P187,'Aging Schedule'!$B$18:$D$22,3),"")</f>
        <v/>
      </c>
      <c r="S187" s="77">
        <f t="shared" si="16"/>
        <v>0</v>
      </c>
    </row>
    <row r="188" spans="2:19" x14ac:dyDescent="0.25">
      <c r="B188" s="1" t="s">
        <v>239</v>
      </c>
      <c r="C188" s="1" t="s">
        <v>35</v>
      </c>
      <c r="D188" s="43">
        <v>45207</v>
      </c>
      <c r="E188" s="43">
        <v>45252</v>
      </c>
      <c r="F188" s="1" t="s">
        <v>20</v>
      </c>
      <c r="G188" s="72">
        <v>37684</v>
      </c>
      <c r="I188" s="67">
        <v>45252</v>
      </c>
      <c r="J188" s="73" t="str">
        <f>IFERROR(IF(I188&gt;E188,(I188-E188)*_xlfn.XLOOKUP(C188,'Vendor Details'!$B$4:$B$33,'Vendor Details'!$F$4:$F$33)*'Vendor Invoices'!G188,""),0)</f>
        <v/>
      </c>
      <c r="K188" s="72">
        <f>IFERROR(_xlfn.XLOOKUP(B188,'Payment HIstory'!$D:$D,'Payment HIstory'!$F:$F),0)</f>
        <v>37684</v>
      </c>
      <c r="L188" s="1" t="str">
        <f t="shared" si="12"/>
        <v>Paid</v>
      </c>
      <c r="M188" s="72">
        <f t="shared" si="14"/>
        <v>0</v>
      </c>
      <c r="N188" s="72">
        <f>IF(L188="Outstanding",($C$3-E188)*_xlfn.XLOOKUP(C188,'Vendor Details'!$B:$B,'Vendor Details'!$F:$F)*'Vendor Invoices'!G188,0)</f>
        <v>0</v>
      </c>
      <c r="O188" s="77">
        <f t="shared" si="15"/>
        <v>0</v>
      </c>
      <c r="P188" s="70" t="str">
        <f t="shared" si="17"/>
        <v/>
      </c>
      <c r="Q188" s="1" t="str" cm="1">
        <f t="array" ref="Q188">IF(L188="Outstanding",_xlfn.XLOOKUP(1,(P188&gt;='Aging Schedule'!$B$18:$B$22)*(P188&lt;='Aging Schedule'!$C$18:$C$22),'Aging Schedule'!$D$18:$D$22),"")</f>
        <v/>
      </c>
      <c r="R188" s="1" t="str">
        <f>IF(L188="Outstanding",VLOOKUP(P188,'Aging Schedule'!$B$18:$D$22,3),"")</f>
        <v/>
      </c>
      <c r="S188" s="77">
        <f t="shared" si="16"/>
        <v>0</v>
      </c>
    </row>
    <row r="189" spans="2:19" x14ac:dyDescent="0.25">
      <c r="B189" s="1" t="s">
        <v>240</v>
      </c>
      <c r="C189" s="1" t="s">
        <v>33</v>
      </c>
      <c r="D189" s="43">
        <v>45001</v>
      </c>
      <c r="E189" s="43">
        <v>45112</v>
      </c>
      <c r="F189" s="1" t="s">
        <v>18</v>
      </c>
      <c r="G189" s="72">
        <v>66285</v>
      </c>
      <c r="I189" s="67">
        <v>45126</v>
      </c>
      <c r="J189" s="73">
        <f>IFERROR(IF(I189&gt;E189,(I189-E189)*_xlfn.XLOOKUP(C189,'Vendor Details'!$B$4:$B$33,'Vendor Details'!$F$4:$F$33)*'Vendor Invoices'!G189,""),0)</f>
        <v>649.59299999999996</v>
      </c>
      <c r="K189" s="72">
        <f>IFERROR(_xlfn.XLOOKUP(B189,'Payment HIstory'!$D:$D,'Payment HIstory'!$F:$F),0)</f>
        <v>66934.592999999993</v>
      </c>
      <c r="L189" s="1" t="str">
        <f t="shared" si="12"/>
        <v>Paid</v>
      </c>
      <c r="M189" s="72">
        <f t="shared" si="14"/>
        <v>0</v>
      </c>
      <c r="N189" s="72">
        <f>IF(L189="Outstanding",($C$3-E189)*_xlfn.XLOOKUP(C189,'Vendor Details'!$B:$B,'Vendor Details'!$F:$F)*'Vendor Invoices'!G189,0)</f>
        <v>0</v>
      </c>
      <c r="O189" s="77">
        <f t="shared" si="15"/>
        <v>0</v>
      </c>
      <c r="P189" s="70" t="str">
        <f t="shared" si="17"/>
        <v/>
      </c>
      <c r="Q189" s="1" t="str" cm="1">
        <f t="array" ref="Q189">IF(L189="Outstanding",_xlfn.XLOOKUP(1,(P189&gt;='Aging Schedule'!$B$18:$B$22)*(P189&lt;='Aging Schedule'!$C$18:$C$22),'Aging Schedule'!$D$18:$D$22),"")</f>
        <v/>
      </c>
      <c r="R189" s="1" t="str">
        <f>IF(L189="Outstanding",VLOOKUP(P189,'Aging Schedule'!$B$18:$D$22,3),"")</f>
        <v/>
      </c>
      <c r="S189" s="77">
        <f t="shared" si="16"/>
        <v>649.59299999999996</v>
      </c>
    </row>
    <row r="190" spans="2:19" x14ac:dyDescent="0.25">
      <c r="B190" s="1" t="s">
        <v>241</v>
      </c>
      <c r="C190" s="1" t="s">
        <v>37</v>
      </c>
      <c r="D190" s="43">
        <v>45245</v>
      </c>
      <c r="E190" s="43">
        <v>45275</v>
      </c>
      <c r="F190" s="1" t="s">
        <v>21</v>
      </c>
      <c r="G190" s="72">
        <v>46435</v>
      </c>
      <c r="I190" s="67" t="str">
        <v/>
      </c>
      <c r="J190" s="73">
        <f>IFERROR(IF(I190&gt;E190,(I190-E190)*_xlfn.XLOOKUP(C190,'Vendor Details'!$B$4:$B$33,'Vendor Details'!$F$4:$F$33)*'Vendor Invoices'!G190,""),0)</f>
        <v>0</v>
      </c>
      <c r="K190" s="72">
        <f>IFERROR(_xlfn.XLOOKUP(B190,'Payment HIstory'!$D:$D,'Payment HIstory'!$F:$F),0)</f>
        <v>0</v>
      </c>
      <c r="L190" s="1" t="str">
        <f t="shared" si="12"/>
        <v>Outstanding</v>
      </c>
      <c r="M190" s="72">
        <f t="shared" si="14"/>
        <v>46435</v>
      </c>
      <c r="N190" s="72">
        <f>IF(L190="Outstanding",($C$3-E190)*_xlfn.XLOOKUP(C190,'Vendor Details'!$B:$B,'Vendor Details'!$F:$F)*'Vendor Invoices'!G190,0)</f>
        <v>664.02049999999997</v>
      </c>
      <c r="O190" s="77">
        <f t="shared" si="15"/>
        <v>47099.020499999999</v>
      </c>
      <c r="P190" s="70">
        <f t="shared" si="17"/>
        <v>26</v>
      </c>
      <c r="Q190" s="1" t="str" cm="1">
        <f t="array" ref="Q190">IF(L190="Outstanding",_xlfn.XLOOKUP(1,(P190&gt;='Aging Schedule'!$B$18:$B$22)*(P190&lt;='Aging Schedule'!$C$18:$C$22),'Aging Schedule'!$D$18:$D$22),"")</f>
        <v>0-30 Days</v>
      </c>
      <c r="R190" s="1" t="str">
        <f>IF(L190="Outstanding",VLOOKUP(P190,'Aging Schedule'!$B$18:$D$22,3),"")</f>
        <v>0-30 Days</v>
      </c>
      <c r="S190" s="77">
        <f t="shared" si="16"/>
        <v>664.02049999999997</v>
      </c>
    </row>
    <row r="191" spans="2:19" x14ac:dyDescent="0.25">
      <c r="B191" s="1" t="s">
        <v>242</v>
      </c>
      <c r="C191" s="1" t="s">
        <v>39</v>
      </c>
      <c r="D191" s="43">
        <v>45067</v>
      </c>
      <c r="E191" s="43">
        <v>45164</v>
      </c>
      <c r="F191" s="1" t="s">
        <v>21</v>
      </c>
      <c r="G191" s="72">
        <v>106370</v>
      </c>
      <c r="I191" s="67">
        <v>45164</v>
      </c>
      <c r="J191" s="73" t="str">
        <f>IFERROR(IF(I191&gt;E191,(I191-E191)*_xlfn.XLOOKUP(C191,'Vendor Details'!$B$4:$B$33,'Vendor Details'!$F$4:$F$33)*'Vendor Invoices'!G191,""),0)</f>
        <v/>
      </c>
      <c r="K191" s="72">
        <f>IFERROR(_xlfn.XLOOKUP(B191,'Payment HIstory'!$D:$D,'Payment HIstory'!$F:$F),0)</f>
        <v>97860.400000000009</v>
      </c>
      <c r="L191" s="1" t="str">
        <f t="shared" si="12"/>
        <v>Outstanding</v>
      </c>
      <c r="M191" s="72">
        <f t="shared" si="14"/>
        <v>8509.5999999999913</v>
      </c>
      <c r="N191" s="72">
        <f>IF(L191="Outstanding",($C$3-E191)*_xlfn.XLOOKUP(C191,'Vendor Details'!$B:$B,'Vendor Details'!$F:$F)*'Vendor Invoices'!G191,0)</f>
        <v>8014.9794999999986</v>
      </c>
      <c r="O191" s="77">
        <f t="shared" si="15"/>
        <v>16524.579499999989</v>
      </c>
      <c r="P191" s="70">
        <f t="shared" si="17"/>
        <v>137</v>
      </c>
      <c r="Q191" s="1" t="str" cm="1">
        <f t="array" ref="Q191">IF(L191="Outstanding",_xlfn.XLOOKUP(1,(P191&gt;='Aging Schedule'!$B$18:$B$22)*(P191&lt;='Aging Schedule'!$C$18:$C$22),'Aging Schedule'!$D$18:$D$22),"")</f>
        <v>91+ Days</v>
      </c>
      <c r="R191" s="1" t="str">
        <f>IF(L191="Outstanding",VLOOKUP(P191,'Aging Schedule'!$B$18:$D$22,3),"")</f>
        <v>91+ Days</v>
      </c>
      <c r="S191" s="77">
        <f t="shared" si="16"/>
        <v>8014.9794999999986</v>
      </c>
    </row>
    <row r="192" spans="2:19" x14ac:dyDescent="0.25">
      <c r="B192" s="1" t="s">
        <v>243</v>
      </c>
      <c r="C192" s="1" t="s">
        <v>37</v>
      </c>
      <c r="D192" s="43">
        <v>45256</v>
      </c>
      <c r="E192" s="43">
        <v>45286</v>
      </c>
      <c r="F192" s="1" t="s">
        <v>21</v>
      </c>
      <c r="G192" s="72">
        <v>116581</v>
      </c>
      <c r="I192" s="67" t="str">
        <v/>
      </c>
      <c r="J192" s="73">
        <f>IFERROR(IF(I192&gt;E192,(I192-E192)*_xlfn.XLOOKUP(C192,'Vendor Details'!$B$4:$B$33,'Vendor Details'!$F$4:$F$33)*'Vendor Invoices'!G192,""),0)</f>
        <v>0</v>
      </c>
      <c r="K192" s="72">
        <f>IFERROR(_xlfn.XLOOKUP(B192,'Payment HIstory'!$D:$D,'Payment HIstory'!$F:$F),0)</f>
        <v>0</v>
      </c>
      <c r="L192" s="1" t="str">
        <f t="shared" si="12"/>
        <v>Outstanding</v>
      </c>
      <c r="M192" s="72">
        <f t="shared" si="14"/>
        <v>116581</v>
      </c>
      <c r="N192" s="72">
        <f>IF(L192="Outstanding",($C$3-E192)*_xlfn.XLOOKUP(C192,'Vendor Details'!$B:$B,'Vendor Details'!$F:$F)*'Vendor Invoices'!G192,0)</f>
        <v>961.79324999999983</v>
      </c>
      <c r="O192" s="77">
        <f t="shared" si="15"/>
        <v>117542.79325</v>
      </c>
      <c r="P192" s="70">
        <f t="shared" si="17"/>
        <v>15</v>
      </c>
      <c r="Q192" s="1" t="str" cm="1">
        <f t="array" ref="Q192">IF(L192="Outstanding",_xlfn.XLOOKUP(1,(P192&gt;='Aging Schedule'!$B$18:$B$22)*(P192&lt;='Aging Schedule'!$C$18:$C$22),'Aging Schedule'!$D$18:$D$22),"")</f>
        <v>0-30 Days</v>
      </c>
      <c r="R192" s="1" t="str">
        <f>IF(L192="Outstanding",VLOOKUP(P192,'Aging Schedule'!$B$18:$D$22,3),"")</f>
        <v>0-30 Days</v>
      </c>
      <c r="S192" s="77">
        <f t="shared" si="16"/>
        <v>961.79324999999983</v>
      </c>
    </row>
    <row r="193" spans="2:19" x14ac:dyDescent="0.25">
      <c r="B193" s="1" t="s">
        <v>244</v>
      </c>
      <c r="C193" s="1" t="s">
        <v>38</v>
      </c>
      <c r="D193" s="43">
        <v>44915</v>
      </c>
      <c r="E193" s="43">
        <v>44947</v>
      </c>
      <c r="F193" s="1" t="s">
        <v>19</v>
      </c>
      <c r="G193" s="72">
        <v>74834</v>
      </c>
      <c r="I193" s="67">
        <v>44947</v>
      </c>
      <c r="J193" s="73" t="str">
        <f>IFERROR(IF(I193&gt;E193,(I193-E193)*_xlfn.XLOOKUP(C193,'Vendor Details'!$B$4:$B$33,'Vendor Details'!$F$4:$F$33)*'Vendor Invoices'!G193,""),0)</f>
        <v/>
      </c>
      <c r="K193" s="72">
        <f>IFERROR(_xlfn.XLOOKUP(B193,'Payment HIstory'!$D:$D,'Payment HIstory'!$F:$F),0)</f>
        <v>74834</v>
      </c>
      <c r="L193" s="1" t="str">
        <f t="shared" si="12"/>
        <v>Paid</v>
      </c>
      <c r="M193" s="72">
        <f t="shared" si="14"/>
        <v>0</v>
      </c>
      <c r="N193" s="72">
        <f>IF(L193="Outstanding",($C$3-E193)*_xlfn.XLOOKUP(C193,'Vendor Details'!$B:$B,'Vendor Details'!$F:$F)*'Vendor Invoices'!G193,0)</f>
        <v>0</v>
      </c>
      <c r="O193" s="77">
        <f t="shared" si="15"/>
        <v>0</v>
      </c>
      <c r="P193" s="70" t="str">
        <f t="shared" si="17"/>
        <v/>
      </c>
      <c r="Q193" s="1" t="str" cm="1">
        <f t="array" ref="Q193">IF(L193="Outstanding",_xlfn.XLOOKUP(1,(P193&gt;='Aging Schedule'!$B$18:$B$22)*(P193&lt;='Aging Schedule'!$C$18:$C$22),'Aging Schedule'!$D$18:$D$22),"")</f>
        <v/>
      </c>
      <c r="R193" s="1" t="str">
        <f>IF(L193="Outstanding",VLOOKUP(P193,'Aging Schedule'!$B$18:$D$22,3),"")</f>
        <v/>
      </c>
      <c r="S193" s="77">
        <f t="shared" si="16"/>
        <v>0</v>
      </c>
    </row>
    <row r="194" spans="2:19" x14ac:dyDescent="0.25">
      <c r="B194" s="1" t="s">
        <v>245</v>
      </c>
      <c r="C194" s="1" t="s">
        <v>38</v>
      </c>
      <c r="D194" s="43">
        <v>44925</v>
      </c>
      <c r="E194" s="43">
        <v>44947</v>
      </c>
      <c r="F194" s="1" t="s">
        <v>19</v>
      </c>
      <c r="G194" s="72">
        <v>38142</v>
      </c>
      <c r="I194" s="67">
        <v>44947</v>
      </c>
      <c r="J194" s="73" t="str">
        <f>IFERROR(IF(I194&gt;E194,(I194-E194)*_xlfn.XLOOKUP(C194,'Vendor Details'!$B$4:$B$33,'Vendor Details'!$F$4:$F$33)*'Vendor Invoices'!G194,""),0)</f>
        <v/>
      </c>
      <c r="K194" s="72">
        <f>IFERROR(_xlfn.XLOOKUP(B194,'Payment HIstory'!$D:$D,'Payment HIstory'!$F:$F),0)</f>
        <v>38142</v>
      </c>
      <c r="L194" s="1" t="str">
        <f t="shared" si="12"/>
        <v>Paid</v>
      </c>
      <c r="M194" s="72">
        <f t="shared" si="14"/>
        <v>0</v>
      </c>
      <c r="N194" s="72">
        <f>IF(L194="Outstanding",($C$3-E194)*_xlfn.XLOOKUP(C194,'Vendor Details'!$B:$B,'Vendor Details'!$F:$F)*'Vendor Invoices'!G194,0)</f>
        <v>0</v>
      </c>
      <c r="O194" s="77">
        <f t="shared" si="15"/>
        <v>0</v>
      </c>
      <c r="P194" s="70" t="str">
        <f t="shared" si="17"/>
        <v/>
      </c>
      <c r="Q194" s="1" t="str" cm="1">
        <f t="array" ref="Q194">IF(L194="Outstanding",_xlfn.XLOOKUP(1,(P194&gt;='Aging Schedule'!$B$18:$B$22)*(P194&lt;='Aging Schedule'!$C$18:$C$22),'Aging Schedule'!$D$18:$D$22),"")</f>
        <v/>
      </c>
      <c r="R194" s="1" t="str">
        <f>IF(L194="Outstanding",VLOOKUP(P194,'Aging Schedule'!$B$18:$D$22,3),"")</f>
        <v/>
      </c>
      <c r="S194" s="77">
        <f t="shared" si="16"/>
        <v>0</v>
      </c>
    </row>
    <row r="195" spans="2:19" x14ac:dyDescent="0.25">
      <c r="B195" s="1" t="s">
        <v>246</v>
      </c>
      <c r="C195" s="1" t="s">
        <v>42</v>
      </c>
      <c r="D195" s="43">
        <v>45052</v>
      </c>
      <c r="E195" s="43">
        <v>45085</v>
      </c>
      <c r="F195" s="1" t="s">
        <v>18</v>
      </c>
      <c r="G195" s="72">
        <v>104102</v>
      </c>
      <c r="I195" s="67">
        <v>45085</v>
      </c>
      <c r="J195" s="73" t="str">
        <f>IFERROR(IF(I195&gt;E195,(I195-E195)*_xlfn.XLOOKUP(C195,'Vendor Details'!$B$4:$B$33,'Vendor Details'!$F$4:$F$33)*'Vendor Invoices'!G195,""),0)</f>
        <v/>
      </c>
      <c r="K195" s="72">
        <f>IFERROR(_xlfn.XLOOKUP(B195,'Payment HIstory'!$D:$D,'Payment HIstory'!$F:$F),0)</f>
        <v>104102</v>
      </c>
      <c r="L195" s="1" t="str">
        <f t="shared" si="12"/>
        <v>Paid</v>
      </c>
      <c r="M195" s="72">
        <f t="shared" si="14"/>
        <v>0</v>
      </c>
      <c r="N195" s="72">
        <f>IF(L195="Outstanding",($C$3-E195)*_xlfn.XLOOKUP(C195,'Vendor Details'!$B:$B,'Vendor Details'!$F:$F)*'Vendor Invoices'!G195,0)</f>
        <v>0</v>
      </c>
      <c r="O195" s="77">
        <f t="shared" si="15"/>
        <v>0</v>
      </c>
      <c r="P195" s="70" t="str">
        <f t="shared" si="17"/>
        <v/>
      </c>
      <c r="Q195" s="1" t="str" cm="1">
        <f t="array" ref="Q195">IF(L195="Outstanding",_xlfn.XLOOKUP(1,(P195&gt;='Aging Schedule'!$B$18:$B$22)*(P195&lt;='Aging Schedule'!$C$18:$C$22),'Aging Schedule'!$D$18:$D$22),"")</f>
        <v/>
      </c>
      <c r="R195" s="1" t="str">
        <f>IF(L195="Outstanding",VLOOKUP(P195,'Aging Schedule'!$B$18:$D$22,3),"")</f>
        <v/>
      </c>
      <c r="S195" s="77">
        <f t="shared" si="16"/>
        <v>0</v>
      </c>
    </row>
    <row r="196" spans="2:19" x14ac:dyDescent="0.25">
      <c r="B196" s="1" t="s">
        <v>247</v>
      </c>
      <c r="C196" s="1" t="s">
        <v>34</v>
      </c>
      <c r="D196" s="43">
        <v>45236</v>
      </c>
      <c r="E196" s="43">
        <v>45266</v>
      </c>
      <c r="F196" s="1" t="s">
        <v>20</v>
      </c>
      <c r="G196" s="72">
        <v>96619</v>
      </c>
      <c r="I196" s="67" t="str">
        <v/>
      </c>
      <c r="J196" s="73">
        <f>IFERROR(IF(I196&gt;E196,(I196-E196)*_xlfn.XLOOKUP(C196,'Vendor Details'!$B$4:$B$33,'Vendor Details'!$F$4:$F$33)*'Vendor Invoices'!G196,""),0)</f>
        <v>0</v>
      </c>
      <c r="K196" s="72">
        <f>IFERROR(_xlfn.XLOOKUP(B196,'Payment HIstory'!$D:$D,'Payment HIstory'!$F:$F),0)</f>
        <v>0</v>
      </c>
      <c r="L196" s="1" t="str">
        <f t="shared" si="12"/>
        <v>Outstanding</v>
      </c>
      <c r="M196" s="72">
        <f t="shared" si="14"/>
        <v>96619</v>
      </c>
      <c r="N196" s="72">
        <f>IF(L196="Outstanding",($C$3-E196)*_xlfn.XLOOKUP(C196,'Vendor Details'!$B:$B,'Vendor Details'!$F:$F)*'Vendor Invoices'!G196,0)</f>
        <v>67633.3</v>
      </c>
      <c r="O196" s="77">
        <f t="shared" si="15"/>
        <v>164252.29999999999</v>
      </c>
      <c r="P196" s="70">
        <f t="shared" si="17"/>
        <v>35</v>
      </c>
      <c r="Q196" s="1" t="str" cm="1">
        <f t="array" ref="Q196">IF(L196="Outstanding",_xlfn.XLOOKUP(1,(P196&gt;='Aging Schedule'!$B$18:$B$22)*(P196&lt;='Aging Schedule'!$C$18:$C$22),'Aging Schedule'!$D$18:$D$22),"")</f>
        <v>31-45 Days</v>
      </c>
      <c r="R196" s="1" t="str">
        <f>IF(L196="Outstanding",VLOOKUP(P196,'Aging Schedule'!$B$18:$D$22,3),"")</f>
        <v>31-45 Days</v>
      </c>
      <c r="S196" s="77">
        <f t="shared" si="16"/>
        <v>67633.3</v>
      </c>
    </row>
    <row r="197" spans="2:19" x14ac:dyDescent="0.25">
      <c r="B197" s="1" t="s">
        <v>248</v>
      </c>
      <c r="C197" s="1" t="s">
        <v>34</v>
      </c>
      <c r="D197" s="43">
        <v>44948</v>
      </c>
      <c r="E197" s="43">
        <v>44990</v>
      </c>
      <c r="F197" s="1" t="s">
        <v>21</v>
      </c>
      <c r="G197" s="72">
        <v>54227</v>
      </c>
      <c r="I197" s="67">
        <v>44990</v>
      </c>
      <c r="J197" s="73" t="str">
        <f>IFERROR(IF(I197&gt;E197,(I197-E197)*_xlfn.XLOOKUP(C197,'Vendor Details'!$B$4:$B$33,'Vendor Details'!$F$4:$F$33)*'Vendor Invoices'!G197,""),0)</f>
        <v/>
      </c>
      <c r="K197" s="72">
        <f>IFERROR(_xlfn.XLOOKUP(B197,'Payment HIstory'!$D:$D,'Payment HIstory'!$F:$F),0)</f>
        <v>54227</v>
      </c>
      <c r="L197" s="1" t="str">
        <f t="shared" si="12"/>
        <v>Paid</v>
      </c>
      <c r="M197" s="72">
        <f t="shared" si="14"/>
        <v>0</v>
      </c>
      <c r="N197" s="72">
        <f>IF(L197="Outstanding",($C$3-E197)*_xlfn.XLOOKUP(C197,'Vendor Details'!$B:$B,'Vendor Details'!$F:$F)*'Vendor Invoices'!G197,0)</f>
        <v>0</v>
      </c>
      <c r="O197" s="77">
        <f t="shared" si="15"/>
        <v>0</v>
      </c>
      <c r="P197" s="70" t="str">
        <f t="shared" si="17"/>
        <v/>
      </c>
      <c r="Q197" s="1" t="str" cm="1">
        <f t="array" ref="Q197">IF(L197="Outstanding",_xlfn.XLOOKUP(1,(P197&gt;='Aging Schedule'!$B$18:$B$22)*(P197&lt;='Aging Schedule'!$C$18:$C$22),'Aging Schedule'!$D$18:$D$22),"")</f>
        <v/>
      </c>
      <c r="R197" s="1" t="str">
        <f>IF(L197="Outstanding",VLOOKUP(P197,'Aging Schedule'!$B$18:$D$22,3),"")</f>
        <v/>
      </c>
      <c r="S197" s="77">
        <f t="shared" si="16"/>
        <v>0</v>
      </c>
    </row>
    <row r="198" spans="2:19" x14ac:dyDescent="0.25">
      <c r="B198" s="1" t="s">
        <v>249</v>
      </c>
      <c r="C198" s="1" t="s">
        <v>38</v>
      </c>
      <c r="D198" s="43">
        <v>44883</v>
      </c>
      <c r="E198" s="43">
        <v>45003</v>
      </c>
      <c r="F198" s="1" t="s">
        <v>21</v>
      </c>
      <c r="G198" s="72">
        <v>50916</v>
      </c>
      <c r="I198" s="67">
        <v>45025</v>
      </c>
      <c r="J198" s="73">
        <f>IFERROR(IF(I198&gt;E198,(I198-E198)*_xlfn.XLOOKUP(C198,'Vendor Details'!$B$4:$B$33,'Vendor Details'!$F$4:$F$33)*'Vendor Invoices'!G198,""),0)</f>
        <v>56.007600000000004</v>
      </c>
      <c r="K198" s="72">
        <f>IFERROR(_xlfn.XLOOKUP(B198,'Payment HIstory'!$D:$D,'Payment HIstory'!$F:$F),0)</f>
        <v>50972.007599999997</v>
      </c>
      <c r="L198" s="1" t="str">
        <f t="shared" ref="L198:L205" si="18">IF(I198&lt;&gt;"",IF(K198&gt;=SUM(G198,J198),"Paid","Outstanding"),"Outstanding")</f>
        <v>Paid</v>
      </c>
      <c r="M198" s="72">
        <f t="shared" si="14"/>
        <v>0</v>
      </c>
      <c r="N198" s="72">
        <f>IF(L198="Outstanding",($C$3-E198)*_xlfn.XLOOKUP(C198,'Vendor Details'!$B:$B,'Vendor Details'!$F:$F)*'Vendor Invoices'!G198,0)</f>
        <v>0</v>
      </c>
      <c r="O198" s="77">
        <f t="shared" si="15"/>
        <v>0</v>
      </c>
      <c r="P198" s="70" t="str">
        <f t="shared" ref="P198:P205" si="19">IF(L198="Outstanding",$C$3-E198,"")</f>
        <v/>
      </c>
      <c r="Q198" s="1" t="str" cm="1">
        <f t="array" ref="Q198">IF(L198="Outstanding",_xlfn.XLOOKUP(1,(P198&gt;='Aging Schedule'!$B$18:$B$22)*(P198&lt;='Aging Schedule'!$C$18:$C$22),'Aging Schedule'!$D$18:$D$22),"")</f>
        <v/>
      </c>
      <c r="R198" s="1" t="str">
        <f>IF(L198="Outstanding",VLOOKUP(P198,'Aging Schedule'!$B$18:$D$22,3),"")</f>
        <v/>
      </c>
      <c r="S198" s="77">
        <f t="shared" si="16"/>
        <v>56.007600000000004</v>
      </c>
    </row>
    <row r="199" spans="2:19" x14ac:dyDescent="0.25">
      <c r="B199" s="1" t="s">
        <v>250</v>
      </c>
      <c r="C199" s="1" t="s">
        <v>37</v>
      </c>
      <c r="D199" s="43">
        <v>45132</v>
      </c>
      <c r="E199" s="43">
        <v>45196</v>
      </c>
      <c r="F199" s="1" t="s">
        <v>20</v>
      </c>
      <c r="G199" s="72">
        <v>53376</v>
      </c>
      <c r="I199" s="67">
        <v>45196</v>
      </c>
      <c r="J199" s="73" t="str">
        <f>IFERROR(IF(I199&gt;E199,(I199-E199)*_xlfn.XLOOKUP(C199,'Vendor Details'!$B$4:$B$33,'Vendor Details'!$F$4:$F$33)*'Vendor Invoices'!G199,""),0)</f>
        <v/>
      </c>
      <c r="K199" s="72">
        <f>IFERROR(_xlfn.XLOOKUP(B199,'Payment HIstory'!$D:$D,'Payment HIstory'!$F:$F),0)</f>
        <v>53376</v>
      </c>
      <c r="L199" s="1" t="str">
        <f t="shared" si="18"/>
        <v>Paid</v>
      </c>
      <c r="M199" s="72">
        <f t="shared" ref="M199:M205" si="20">IF(L199="Outstanding",G199-K199,0)</f>
        <v>0</v>
      </c>
      <c r="N199" s="72">
        <f>IF(L199="Outstanding",($C$3-E199)*_xlfn.XLOOKUP(C199,'Vendor Details'!$B:$B,'Vendor Details'!$F:$F)*'Vendor Invoices'!G199,0)</f>
        <v>0</v>
      </c>
      <c r="O199" s="77">
        <f t="shared" ref="O199:O205" si="21">SUM(M199,N199)</f>
        <v>0</v>
      </c>
      <c r="P199" s="70" t="str">
        <f t="shared" si="19"/>
        <v/>
      </c>
      <c r="Q199" s="1" t="str" cm="1">
        <f t="array" ref="Q199">IF(L199="Outstanding",_xlfn.XLOOKUP(1,(P199&gt;='Aging Schedule'!$B$18:$B$22)*(P199&lt;='Aging Schedule'!$C$18:$C$22),'Aging Schedule'!$D$18:$D$22),"")</f>
        <v/>
      </c>
      <c r="R199" s="1" t="str">
        <f>IF(L199="Outstanding",VLOOKUP(P199,'Aging Schedule'!$B$18:$D$22,3),"")</f>
        <v/>
      </c>
      <c r="S199" s="77">
        <f t="shared" ref="S199:S205" si="22">SUM(N199,J199)</f>
        <v>0</v>
      </c>
    </row>
    <row r="200" spans="2:19" x14ac:dyDescent="0.25">
      <c r="B200" s="1" t="s">
        <v>251</v>
      </c>
      <c r="C200" s="1" t="s">
        <v>41</v>
      </c>
      <c r="D200" s="43">
        <v>45204</v>
      </c>
      <c r="E200" s="43">
        <v>45234</v>
      </c>
      <c r="F200" s="1" t="s">
        <v>21</v>
      </c>
      <c r="G200" s="72">
        <v>56825</v>
      </c>
      <c r="I200" s="67" t="str">
        <v/>
      </c>
      <c r="J200" s="73">
        <f>IFERROR(IF(I200&gt;E200,(I200-E200)*_xlfn.XLOOKUP(C200,'Vendor Details'!$B$4:$B$33,'Vendor Details'!$F$4:$F$33)*'Vendor Invoices'!G200,""),0)</f>
        <v>0</v>
      </c>
      <c r="K200" s="72">
        <f>IFERROR(_xlfn.XLOOKUP(B200,'Payment HIstory'!$D:$D,'Payment HIstory'!$F:$F),0)</f>
        <v>0</v>
      </c>
      <c r="L200" s="1" t="str">
        <f t="shared" si="18"/>
        <v>Outstanding</v>
      </c>
      <c r="M200" s="72">
        <f t="shared" si="20"/>
        <v>56825</v>
      </c>
      <c r="N200" s="72">
        <f>IF(L200="Outstanding",($C$3-E200)*_xlfn.XLOOKUP(C200,'Vendor Details'!$B:$B,'Vendor Details'!$F:$F)*'Vendor Invoices'!G200,0)</f>
        <v>2094.0012499999998</v>
      </c>
      <c r="O200" s="77">
        <f t="shared" si="21"/>
        <v>58919.001250000001</v>
      </c>
      <c r="P200" s="70">
        <f t="shared" si="19"/>
        <v>67</v>
      </c>
      <c r="Q200" s="1" t="str" cm="1">
        <f t="array" ref="Q200">IF(L200="Outstanding",_xlfn.XLOOKUP(1,(P200&gt;='Aging Schedule'!$B$18:$B$22)*(P200&lt;='Aging Schedule'!$C$18:$C$22),'Aging Schedule'!$D$18:$D$22),"")</f>
        <v>61-90 Days</v>
      </c>
      <c r="R200" s="1" t="str">
        <f>IF(L200="Outstanding",VLOOKUP(P200,'Aging Schedule'!$B$18:$D$22,3),"")</f>
        <v>61-90 Days</v>
      </c>
      <c r="S200" s="77">
        <f t="shared" si="22"/>
        <v>2094.0012499999998</v>
      </c>
    </row>
    <row r="201" spans="2:19" x14ac:dyDescent="0.25">
      <c r="B201" s="1" t="s">
        <v>252</v>
      </c>
      <c r="C201" s="1" t="s">
        <v>41</v>
      </c>
      <c r="D201" s="43">
        <v>45189</v>
      </c>
      <c r="E201" s="43">
        <v>45258</v>
      </c>
      <c r="F201" s="1" t="s">
        <v>21</v>
      </c>
      <c r="G201" s="72">
        <v>99061</v>
      </c>
      <c r="I201" s="67">
        <v>45258</v>
      </c>
      <c r="J201" s="73" t="str">
        <f>IFERROR(IF(I201&gt;E201,(I201-E201)*_xlfn.XLOOKUP(C201,'Vendor Details'!$B$4:$B$33,'Vendor Details'!$F$4:$F$33)*'Vendor Invoices'!G201,""),0)</f>
        <v/>
      </c>
      <c r="K201" s="72">
        <f>IFERROR(_xlfn.XLOOKUP(B201,'Payment HIstory'!$D:$D,'Payment HIstory'!$F:$F),0)</f>
        <v>99061</v>
      </c>
      <c r="L201" s="1" t="str">
        <f t="shared" si="18"/>
        <v>Paid</v>
      </c>
      <c r="M201" s="72">
        <f t="shared" si="20"/>
        <v>0</v>
      </c>
      <c r="N201" s="72">
        <f>IF(L201="Outstanding",($C$3-E201)*_xlfn.XLOOKUP(C201,'Vendor Details'!$B:$B,'Vendor Details'!$F:$F)*'Vendor Invoices'!G201,0)</f>
        <v>0</v>
      </c>
      <c r="O201" s="77">
        <f t="shared" si="21"/>
        <v>0</v>
      </c>
      <c r="P201" s="70" t="str">
        <f t="shared" si="19"/>
        <v/>
      </c>
      <c r="Q201" s="1" t="str" cm="1">
        <f t="array" ref="Q201">IF(L201="Outstanding",_xlfn.XLOOKUP(1,(P201&gt;='Aging Schedule'!$B$18:$B$22)*(P201&lt;='Aging Schedule'!$C$18:$C$22),'Aging Schedule'!$D$18:$D$22),"")</f>
        <v/>
      </c>
      <c r="R201" s="1" t="str">
        <f>IF(L201="Outstanding",VLOOKUP(P201,'Aging Schedule'!$B$18:$D$22,3),"")</f>
        <v/>
      </c>
      <c r="S201" s="77">
        <f t="shared" si="22"/>
        <v>0</v>
      </c>
    </row>
    <row r="202" spans="2:19" x14ac:dyDescent="0.25">
      <c r="B202" s="1" t="s">
        <v>253</v>
      </c>
      <c r="C202" s="1" t="s">
        <v>41</v>
      </c>
      <c r="D202" s="43">
        <v>45148</v>
      </c>
      <c r="E202" s="43">
        <v>45266</v>
      </c>
      <c r="F202" s="1" t="s">
        <v>18</v>
      </c>
      <c r="G202" s="72">
        <v>109206</v>
      </c>
      <c r="I202" s="67">
        <v>45266</v>
      </c>
      <c r="J202" s="73" t="str">
        <f>IFERROR(IF(I202&gt;E202,(I202-E202)*_xlfn.XLOOKUP(C202,'Vendor Details'!$B$4:$B$33,'Vendor Details'!$F$4:$F$33)*'Vendor Invoices'!G202,""),0)</f>
        <v/>
      </c>
      <c r="K202" s="72">
        <f>IFERROR(_xlfn.XLOOKUP(B202,'Payment HIstory'!$D:$D,'Payment HIstory'!$F:$F),0)</f>
        <v>109206</v>
      </c>
      <c r="L202" s="1" t="str">
        <f t="shared" si="18"/>
        <v>Paid</v>
      </c>
      <c r="M202" s="72">
        <f t="shared" si="20"/>
        <v>0</v>
      </c>
      <c r="N202" s="72">
        <f>IF(L202="Outstanding",($C$3-E202)*_xlfn.XLOOKUP(C202,'Vendor Details'!$B:$B,'Vendor Details'!$F:$F)*'Vendor Invoices'!G202,0)</f>
        <v>0</v>
      </c>
      <c r="O202" s="77">
        <f t="shared" si="21"/>
        <v>0</v>
      </c>
      <c r="P202" s="70" t="str">
        <f t="shared" si="19"/>
        <v/>
      </c>
      <c r="Q202" s="1" t="str" cm="1">
        <f t="array" ref="Q202">IF(L202="Outstanding",_xlfn.XLOOKUP(1,(P202&gt;='Aging Schedule'!$B$18:$B$22)*(P202&lt;='Aging Schedule'!$C$18:$C$22),'Aging Schedule'!$D$18:$D$22),"")</f>
        <v/>
      </c>
      <c r="R202" s="1" t="str">
        <f>IF(L202="Outstanding",VLOOKUP(P202,'Aging Schedule'!$B$18:$D$22,3),"")</f>
        <v/>
      </c>
      <c r="S202" s="77">
        <f t="shared" si="22"/>
        <v>0</v>
      </c>
    </row>
    <row r="203" spans="2:19" x14ac:dyDescent="0.25">
      <c r="B203" s="1" t="s">
        <v>254</v>
      </c>
      <c r="C203" s="1" t="s">
        <v>42</v>
      </c>
      <c r="D203" s="43">
        <v>45187</v>
      </c>
      <c r="E203" s="43">
        <v>45248</v>
      </c>
      <c r="F203" s="1" t="s">
        <v>19</v>
      </c>
      <c r="G203" s="72">
        <v>81426</v>
      </c>
      <c r="I203" s="67">
        <v>45248</v>
      </c>
      <c r="J203" s="73" t="str">
        <f>IFERROR(IF(I203&gt;E203,(I203-E203)*_xlfn.XLOOKUP(C203,'Vendor Details'!$B$4:$B$33,'Vendor Details'!$F$4:$F$33)*'Vendor Invoices'!G203,""),0)</f>
        <v/>
      </c>
      <c r="K203" s="72">
        <f>IFERROR(_xlfn.XLOOKUP(B203,'Payment HIstory'!$D:$D,'Payment HIstory'!$F:$F),0)</f>
        <v>81426</v>
      </c>
      <c r="L203" s="1" t="str">
        <f t="shared" si="18"/>
        <v>Paid</v>
      </c>
      <c r="M203" s="72">
        <f t="shared" si="20"/>
        <v>0</v>
      </c>
      <c r="N203" s="72">
        <f>IF(L203="Outstanding",($C$3-E203)*_xlfn.XLOOKUP(C203,'Vendor Details'!$B:$B,'Vendor Details'!$F:$F)*'Vendor Invoices'!G203,0)</f>
        <v>0</v>
      </c>
      <c r="O203" s="77">
        <f t="shared" si="21"/>
        <v>0</v>
      </c>
      <c r="P203" s="70" t="str">
        <f t="shared" si="19"/>
        <v/>
      </c>
      <c r="Q203" s="1" t="str" cm="1">
        <f t="array" ref="Q203">IF(L203="Outstanding",_xlfn.XLOOKUP(1,(P203&gt;='Aging Schedule'!$B$18:$B$22)*(P203&lt;='Aging Schedule'!$C$18:$C$22),'Aging Schedule'!$D$18:$D$22),"")</f>
        <v/>
      </c>
      <c r="R203" s="1" t="str">
        <f>IF(L203="Outstanding",VLOOKUP(P203,'Aging Schedule'!$B$18:$D$22,3),"")</f>
        <v/>
      </c>
      <c r="S203" s="77">
        <f t="shared" si="22"/>
        <v>0</v>
      </c>
    </row>
    <row r="204" spans="2:19" x14ac:dyDescent="0.25">
      <c r="B204" s="1" t="s">
        <v>255</v>
      </c>
      <c r="C204" s="1" t="s">
        <v>39</v>
      </c>
      <c r="D204" s="43">
        <v>45162</v>
      </c>
      <c r="E204" s="43">
        <v>45280</v>
      </c>
      <c r="F204" s="1" t="s">
        <v>19</v>
      </c>
      <c r="G204" s="72">
        <v>32558</v>
      </c>
      <c r="I204" s="67">
        <v>45264</v>
      </c>
      <c r="J204" s="73" t="str">
        <f>IFERROR(IF(I204&gt;E204,(I204-E204)*_xlfn.XLOOKUP(C204,'Vendor Details'!$B$4:$B$33,'Vendor Details'!$F$4:$F$33)*'Vendor Invoices'!G204,""),0)</f>
        <v/>
      </c>
      <c r="K204" s="72">
        <f>IFERROR(_xlfn.XLOOKUP(B204,'Payment HIstory'!$D:$D,'Payment HIstory'!$F:$F),0)</f>
        <v>32558</v>
      </c>
      <c r="L204" s="1" t="str">
        <f t="shared" si="18"/>
        <v>Paid</v>
      </c>
      <c r="M204" s="72">
        <f t="shared" si="20"/>
        <v>0</v>
      </c>
      <c r="N204" s="72">
        <f>IF(L204="Outstanding",($C$3-E204)*_xlfn.XLOOKUP(C204,'Vendor Details'!$B:$B,'Vendor Details'!$F:$F)*'Vendor Invoices'!G204,0)</f>
        <v>0</v>
      </c>
      <c r="O204" s="77">
        <f t="shared" si="21"/>
        <v>0</v>
      </c>
      <c r="P204" s="70" t="str">
        <f t="shared" si="19"/>
        <v/>
      </c>
      <c r="Q204" s="1" t="str" cm="1">
        <f t="array" ref="Q204">IF(L204="Outstanding",_xlfn.XLOOKUP(1,(P204&gt;='Aging Schedule'!$B$18:$B$22)*(P204&lt;='Aging Schedule'!$C$18:$C$22),'Aging Schedule'!$D$18:$D$22),"")</f>
        <v/>
      </c>
      <c r="R204" s="1" t="str">
        <f>IF(L204="Outstanding",VLOOKUP(P204,'Aging Schedule'!$B$18:$D$22,3),"")</f>
        <v/>
      </c>
      <c r="S204" s="77">
        <f t="shared" si="22"/>
        <v>0</v>
      </c>
    </row>
    <row r="205" spans="2:19" x14ac:dyDescent="0.25">
      <c r="B205" s="1" t="s">
        <v>256</v>
      </c>
      <c r="C205" s="1" t="s">
        <v>37</v>
      </c>
      <c r="D205" s="43">
        <v>45234</v>
      </c>
      <c r="E205" s="43">
        <v>45264</v>
      </c>
      <c r="F205" s="1" t="s">
        <v>18</v>
      </c>
      <c r="G205" s="72">
        <v>54957</v>
      </c>
      <c r="I205" s="67" t="str">
        <v/>
      </c>
      <c r="J205" s="73">
        <f>IFERROR(IF(I205&gt;E205,(I205-E205)*_xlfn.XLOOKUP(C205,'Vendor Details'!$B$4:$B$33,'Vendor Details'!$F$4:$F$33)*'Vendor Invoices'!G205,""),0)</f>
        <v>0</v>
      </c>
      <c r="K205" s="72">
        <f>IFERROR(_xlfn.XLOOKUP(B205,'Payment HIstory'!$D:$D,'Payment HIstory'!$F:$F),0)</f>
        <v>0</v>
      </c>
      <c r="L205" s="1" t="str">
        <f t="shared" si="18"/>
        <v>Outstanding</v>
      </c>
      <c r="M205" s="72">
        <f t="shared" si="20"/>
        <v>54957</v>
      </c>
      <c r="N205" s="72">
        <f>IF(L205="Outstanding",($C$3-E205)*_xlfn.XLOOKUP(C205,'Vendor Details'!$B:$B,'Vendor Details'!$F:$F)*'Vendor Invoices'!G205,0)</f>
        <v>1118.3749499999999</v>
      </c>
      <c r="O205" s="77">
        <f t="shared" si="21"/>
        <v>56075.374949999998</v>
      </c>
      <c r="P205" s="70">
        <f t="shared" si="19"/>
        <v>37</v>
      </c>
      <c r="Q205" s="1" t="str" cm="1">
        <f t="array" ref="Q205">IF(L205="Outstanding",_xlfn.XLOOKUP(1,(P205&gt;='Aging Schedule'!$B$18:$B$22)*(P205&lt;='Aging Schedule'!$C$18:$C$22),'Aging Schedule'!$D$18:$D$22),"")</f>
        <v>31-45 Days</v>
      </c>
      <c r="R205" s="1" t="str">
        <f>IF(L205="Outstanding",VLOOKUP(P205,'Aging Schedule'!$B$18:$D$22,3),"")</f>
        <v>31-45 Days</v>
      </c>
      <c r="S205" s="77">
        <f t="shared" si="22"/>
        <v>1118.3749499999999</v>
      </c>
    </row>
    <row r="206" spans="2:19" x14ac:dyDescent="0.25">
      <c r="K206" s="72"/>
      <c r="O206" s="7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320A-8214-42E0-96DF-2E458F9A0AF1}">
  <sheetPr>
    <tabColor theme="9" tint="-0.499984740745262"/>
  </sheetPr>
  <dimension ref="B1:I156"/>
  <sheetViews>
    <sheetView showGridLines="0" topLeftCell="A2" zoomScale="70" zoomScaleNormal="70" workbookViewId="0">
      <selection activeCell="D20" sqref="D20"/>
    </sheetView>
  </sheetViews>
  <sheetFormatPr defaultColWidth="9.1796875" defaultRowHeight="12.5" x14ac:dyDescent="0.25"/>
  <cols>
    <col min="1" max="1" width="1.7265625" style="1" customWidth="1"/>
    <col min="2" max="6" width="15.7265625" style="1" customWidth="1"/>
    <col min="7" max="7" width="2.08984375" style="1" customWidth="1"/>
    <col min="8" max="8" width="23.453125" style="1" bestFit="1" customWidth="1"/>
    <col min="9" max="9" width="9.1796875" style="1" customWidth="1"/>
    <col min="10" max="10" width="11.36328125" style="1" customWidth="1"/>
    <col min="11" max="16383" width="9.1796875" style="1" customWidth="1"/>
    <col min="16384" max="16384" width="9.1796875" style="1"/>
  </cols>
  <sheetData>
    <row r="1" spans="2:9" s="3" customFormat="1" ht="25" x14ac:dyDescent="0.5">
      <c r="B1" s="3" t="s">
        <v>4</v>
      </c>
    </row>
    <row r="2" spans="2:9" ht="5.15" customHeight="1" x14ac:dyDescent="0.25"/>
    <row r="3" spans="2:9" ht="13" thickBot="1" x14ac:dyDescent="0.3"/>
    <row r="4" spans="2:9" ht="13.5" thickTop="1" x14ac:dyDescent="0.3">
      <c r="B4" s="44" t="s">
        <v>257</v>
      </c>
      <c r="C4" s="45" t="s">
        <v>258</v>
      </c>
      <c r="D4" s="45"/>
      <c r="E4" s="45"/>
      <c r="F4" s="46"/>
    </row>
    <row r="5" spans="2:9" ht="13" x14ac:dyDescent="0.3">
      <c r="B5" s="47"/>
      <c r="C5" s="48" t="s">
        <v>259</v>
      </c>
      <c r="D5" s="49"/>
      <c r="E5" s="49"/>
      <c r="F5" s="50"/>
    </row>
    <row r="6" spans="2:9" ht="13" thickBot="1" x14ac:dyDescent="0.3">
      <c r="B6" s="51"/>
      <c r="C6" s="52"/>
      <c r="D6" s="52"/>
      <c r="E6" s="52"/>
      <c r="F6" s="53"/>
    </row>
    <row r="7" spans="2:9" ht="13" thickTop="1" x14ac:dyDescent="0.25"/>
    <row r="8" spans="2:9" ht="13" x14ac:dyDescent="0.3">
      <c r="B8" s="4" t="s">
        <v>450</v>
      </c>
      <c r="I8" s="70">
        <f>COUNTIFS(I10:I156,0)</f>
        <v>0</v>
      </c>
    </row>
    <row r="9" spans="2:9" ht="13" x14ac:dyDescent="0.3">
      <c r="B9" s="54" t="s">
        <v>260</v>
      </c>
      <c r="C9" s="54" t="s">
        <v>25</v>
      </c>
      <c r="D9" s="54" t="s">
        <v>31</v>
      </c>
      <c r="E9" s="54" t="s">
        <v>9</v>
      </c>
      <c r="F9" s="54" t="s">
        <v>261</v>
      </c>
      <c r="H9" s="54" t="s">
        <v>451</v>
      </c>
      <c r="I9" s="54" t="s">
        <v>452</v>
      </c>
    </row>
    <row r="10" spans="2:9" ht="14.5" x14ac:dyDescent="0.35">
      <c r="B10" s="55" t="s">
        <v>262</v>
      </c>
      <c r="C10" s="56" t="s">
        <v>33</v>
      </c>
      <c r="D10" s="55" t="s">
        <v>57</v>
      </c>
      <c r="E10" s="56" t="s">
        <v>18</v>
      </c>
      <c r="F10" s="57">
        <v>62887</v>
      </c>
      <c r="G10" s="58"/>
      <c r="H10" s="67">
        <f>DATEVALUE(B10)</f>
        <v>44931</v>
      </c>
      <c r="I10" s="69">
        <f>COUNTIFS('Vendor Invoices'!B6:B205,'Payment HIstory'!D10)</f>
        <v>1</v>
      </c>
    </row>
    <row r="11" spans="2:9" ht="14.5" x14ac:dyDescent="0.35">
      <c r="B11" s="59" t="s">
        <v>263</v>
      </c>
      <c r="C11" s="60" t="s">
        <v>34</v>
      </c>
      <c r="D11" s="59" t="s">
        <v>58</v>
      </c>
      <c r="E11" s="60" t="s">
        <v>19</v>
      </c>
      <c r="F11" s="61">
        <v>48348</v>
      </c>
      <c r="G11" s="62"/>
      <c r="H11" s="67">
        <f t="shared" ref="H11:H74" si="0">DATEVALUE(B11)</f>
        <v>44967</v>
      </c>
      <c r="I11" s="69">
        <f>COUNTIFS('Vendor Invoices'!B7:B206,'Payment HIstory'!D11)</f>
        <v>1</v>
      </c>
    </row>
    <row r="12" spans="2:9" ht="14.5" x14ac:dyDescent="0.35">
      <c r="B12" s="59" t="s">
        <v>264</v>
      </c>
      <c r="C12" s="60" t="s">
        <v>35</v>
      </c>
      <c r="D12" s="59" t="s">
        <v>59</v>
      </c>
      <c r="E12" s="60" t="s">
        <v>20</v>
      </c>
      <c r="F12" s="61">
        <v>43929</v>
      </c>
      <c r="G12" s="62"/>
      <c r="H12" s="67">
        <f t="shared" si="0"/>
        <v>45000</v>
      </c>
      <c r="I12" s="69">
        <f>COUNTIFS('Vendor Invoices'!B8:B207,'Payment HIstory'!D12)</f>
        <v>1</v>
      </c>
    </row>
    <row r="13" spans="2:9" ht="14.5" x14ac:dyDescent="0.35">
      <c r="B13" s="59" t="s">
        <v>265</v>
      </c>
      <c r="C13" s="60" t="s">
        <v>36</v>
      </c>
      <c r="D13" s="59" t="s">
        <v>60</v>
      </c>
      <c r="E13" s="60" t="s">
        <v>21</v>
      </c>
      <c r="F13" s="61">
        <v>94509</v>
      </c>
      <c r="G13" s="62"/>
      <c r="H13" s="67">
        <f t="shared" si="0"/>
        <v>45036</v>
      </c>
      <c r="I13" s="69">
        <f>COUNTIFS('Vendor Invoices'!B9:B208,'Payment HIstory'!D13)</f>
        <v>1</v>
      </c>
    </row>
    <row r="14" spans="2:9" ht="14.5" x14ac:dyDescent="0.35">
      <c r="B14" s="59" t="s">
        <v>266</v>
      </c>
      <c r="C14" s="60" t="s">
        <v>37</v>
      </c>
      <c r="D14" s="59" t="s">
        <v>61</v>
      </c>
      <c r="E14" s="60" t="s">
        <v>18</v>
      </c>
      <c r="F14" s="61">
        <v>58831.632599999997</v>
      </c>
      <c r="G14" s="62"/>
      <c r="H14" s="67">
        <f t="shared" si="0"/>
        <v>45100</v>
      </c>
      <c r="I14" s="69">
        <f>COUNTIFS('Vendor Invoices'!B10:B209,'Payment HIstory'!D14)</f>
        <v>1</v>
      </c>
    </row>
    <row r="15" spans="2:9" ht="14.5" x14ac:dyDescent="0.35">
      <c r="B15" s="59" t="s">
        <v>267</v>
      </c>
      <c r="C15" s="60" t="s">
        <v>36</v>
      </c>
      <c r="D15" s="59" t="s">
        <v>63</v>
      </c>
      <c r="E15" s="60" t="s">
        <v>20</v>
      </c>
      <c r="F15" s="61">
        <v>70331</v>
      </c>
      <c r="G15" s="62"/>
      <c r="H15" s="67">
        <f t="shared" si="0"/>
        <v>45112</v>
      </c>
      <c r="I15" s="69">
        <f>COUNTIFS('Vendor Invoices'!B11:B210,'Payment HIstory'!D15)</f>
        <v>1</v>
      </c>
    </row>
    <row r="16" spans="2:9" ht="14.5" x14ac:dyDescent="0.35">
      <c r="B16" s="59" t="s">
        <v>268</v>
      </c>
      <c r="C16" s="60" t="s">
        <v>38</v>
      </c>
      <c r="D16" s="59" t="s">
        <v>64</v>
      </c>
      <c r="E16" s="60" t="s">
        <v>21</v>
      </c>
      <c r="F16" s="61">
        <v>78952</v>
      </c>
      <c r="G16" s="62"/>
      <c r="H16" s="67">
        <f t="shared" si="0"/>
        <v>45148</v>
      </c>
      <c r="I16" s="69">
        <f>COUNTIFS('Vendor Invoices'!B12:B211,'Payment HIstory'!D16)</f>
        <v>1</v>
      </c>
    </row>
    <row r="17" spans="2:9" ht="14.5" x14ac:dyDescent="0.35">
      <c r="B17" s="59" t="s">
        <v>269</v>
      </c>
      <c r="C17" s="60" t="s">
        <v>39</v>
      </c>
      <c r="D17" s="59" t="s">
        <v>65</v>
      </c>
      <c r="E17" s="60" t="s">
        <v>18</v>
      </c>
      <c r="F17" s="61">
        <v>74835</v>
      </c>
      <c r="G17" s="62"/>
      <c r="H17" s="67">
        <f t="shared" si="0"/>
        <v>45184</v>
      </c>
      <c r="I17" s="69">
        <f>COUNTIFS('Vendor Invoices'!B13:B212,'Payment HIstory'!D17)</f>
        <v>1</v>
      </c>
    </row>
    <row r="18" spans="2:9" ht="14.5" x14ac:dyDescent="0.35">
      <c r="B18" s="59" t="s">
        <v>270</v>
      </c>
      <c r="C18" s="60" t="s">
        <v>33</v>
      </c>
      <c r="D18" s="59" t="s">
        <v>67</v>
      </c>
      <c r="E18" s="60" t="s">
        <v>20</v>
      </c>
      <c r="F18" s="61">
        <v>119411</v>
      </c>
      <c r="G18" s="62"/>
      <c r="H18" s="67">
        <f t="shared" si="0"/>
        <v>45255</v>
      </c>
      <c r="I18" s="69">
        <f>COUNTIFS('Vendor Invoices'!B14:B213,'Payment HIstory'!D18)</f>
        <v>1</v>
      </c>
    </row>
    <row r="19" spans="2:9" ht="14.5" x14ac:dyDescent="0.35">
      <c r="B19" s="59" t="s">
        <v>271</v>
      </c>
      <c r="C19" s="60" t="s">
        <v>35</v>
      </c>
      <c r="D19" s="59" t="s">
        <v>68</v>
      </c>
      <c r="E19" s="60" t="s">
        <v>21</v>
      </c>
      <c r="F19" s="61">
        <v>94479</v>
      </c>
      <c r="G19" s="62"/>
      <c r="H19" s="67">
        <f t="shared" si="0"/>
        <v>45290</v>
      </c>
      <c r="I19" s="69">
        <f>COUNTIFS('Vendor Invoices'!B15:B214,'Payment HIstory'!D19)</f>
        <v>1</v>
      </c>
    </row>
    <row r="20" spans="2:9" ht="14.5" x14ac:dyDescent="0.35">
      <c r="B20" s="59" t="s">
        <v>263</v>
      </c>
      <c r="C20" s="60" t="s">
        <v>41</v>
      </c>
      <c r="D20" s="59" t="s">
        <v>70</v>
      </c>
      <c r="E20" s="60" t="s">
        <v>19</v>
      </c>
      <c r="F20" s="61">
        <v>89297.1</v>
      </c>
      <c r="G20" s="62"/>
      <c r="H20" s="67">
        <f t="shared" si="0"/>
        <v>44967</v>
      </c>
      <c r="I20" s="69">
        <f>COUNTIFS('Vendor Invoices'!B16:B215,'Payment HIstory'!D20)</f>
        <v>1</v>
      </c>
    </row>
    <row r="21" spans="2:9" ht="14.5" x14ac:dyDescent="0.35">
      <c r="B21" s="59" t="s">
        <v>264</v>
      </c>
      <c r="C21" s="60" t="s">
        <v>40</v>
      </c>
      <c r="D21" s="59" t="s">
        <v>71</v>
      </c>
      <c r="E21" s="60" t="s">
        <v>20</v>
      </c>
      <c r="F21" s="61">
        <v>56928</v>
      </c>
      <c r="G21" s="62"/>
      <c r="H21" s="67">
        <f t="shared" si="0"/>
        <v>45000</v>
      </c>
      <c r="I21" s="69">
        <f>COUNTIFS('Vendor Invoices'!B17:B216,'Payment HIstory'!D21)</f>
        <v>1</v>
      </c>
    </row>
    <row r="22" spans="2:9" ht="14.5" x14ac:dyDescent="0.35">
      <c r="B22" s="59" t="s">
        <v>272</v>
      </c>
      <c r="C22" s="60" t="s">
        <v>41</v>
      </c>
      <c r="D22" s="59" t="s">
        <v>73</v>
      </c>
      <c r="E22" s="60" t="s">
        <v>18</v>
      </c>
      <c r="F22" s="61">
        <v>83725.460000000006</v>
      </c>
      <c r="G22" s="62"/>
      <c r="H22" s="67">
        <f t="shared" si="0"/>
        <v>45071</v>
      </c>
      <c r="I22" s="69">
        <f>COUNTIFS('Vendor Invoices'!B18:B217,'Payment HIstory'!D22)</f>
        <v>1</v>
      </c>
    </row>
    <row r="23" spans="2:9" ht="14.5" x14ac:dyDescent="0.35">
      <c r="B23" s="59" t="s">
        <v>267</v>
      </c>
      <c r="C23" s="60" t="s">
        <v>33</v>
      </c>
      <c r="D23" s="59" t="s">
        <v>75</v>
      </c>
      <c r="E23" s="60" t="s">
        <v>20</v>
      </c>
      <c r="F23" s="61">
        <v>92085.4</v>
      </c>
      <c r="G23" s="62"/>
      <c r="H23" s="67">
        <f t="shared" si="0"/>
        <v>45112</v>
      </c>
      <c r="I23" s="69">
        <f>COUNTIFS('Vendor Invoices'!B19:B218,'Payment HIstory'!D23)</f>
        <v>1</v>
      </c>
    </row>
    <row r="24" spans="2:9" ht="14.5" x14ac:dyDescent="0.35">
      <c r="B24" s="59" t="s">
        <v>273</v>
      </c>
      <c r="C24" s="60" t="s">
        <v>37</v>
      </c>
      <c r="D24" s="59" t="s">
        <v>77</v>
      </c>
      <c r="E24" s="60" t="s">
        <v>18</v>
      </c>
      <c r="F24" s="61">
        <v>71011</v>
      </c>
      <c r="G24" s="62"/>
      <c r="H24" s="67">
        <f t="shared" si="0"/>
        <v>45163</v>
      </c>
      <c r="I24" s="69">
        <f>COUNTIFS('Vendor Invoices'!B20:B219,'Payment HIstory'!D24)</f>
        <v>1</v>
      </c>
    </row>
    <row r="25" spans="2:9" ht="14.5" x14ac:dyDescent="0.35">
      <c r="B25" s="59" t="s">
        <v>274</v>
      </c>
      <c r="C25" s="60" t="s">
        <v>37</v>
      </c>
      <c r="D25" s="59" t="s">
        <v>78</v>
      </c>
      <c r="E25" s="60" t="s">
        <v>19</v>
      </c>
      <c r="F25" s="61">
        <v>84699</v>
      </c>
      <c r="G25" s="62"/>
      <c r="H25" s="67">
        <f t="shared" si="0"/>
        <v>45219</v>
      </c>
      <c r="I25" s="69">
        <f>COUNTIFS('Vendor Invoices'!B21:B220,'Payment HIstory'!D25)</f>
        <v>1</v>
      </c>
    </row>
    <row r="26" spans="2:9" ht="14.5" x14ac:dyDescent="0.35">
      <c r="B26" s="59" t="s">
        <v>270</v>
      </c>
      <c r="C26" s="60" t="s">
        <v>38</v>
      </c>
      <c r="D26" s="59" t="s">
        <v>79</v>
      </c>
      <c r="E26" s="60" t="s">
        <v>20</v>
      </c>
      <c r="F26" s="61">
        <v>89928</v>
      </c>
      <c r="G26" s="62"/>
      <c r="H26" s="67">
        <f t="shared" si="0"/>
        <v>45255</v>
      </c>
      <c r="I26" s="69">
        <f>COUNTIFS('Vendor Invoices'!B22:B221,'Payment HIstory'!D26)</f>
        <v>1</v>
      </c>
    </row>
    <row r="27" spans="2:9" ht="14.5" x14ac:dyDescent="0.35">
      <c r="B27" s="59" t="s">
        <v>271</v>
      </c>
      <c r="C27" s="60" t="s">
        <v>41</v>
      </c>
      <c r="D27" s="59" t="s">
        <v>80</v>
      </c>
      <c r="E27" s="60" t="s">
        <v>21</v>
      </c>
      <c r="F27" s="61">
        <v>52496</v>
      </c>
      <c r="G27" s="62"/>
      <c r="H27" s="67">
        <f t="shared" si="0"/>
        <v>45290</v>
      </c>
      <c r="I27" s="69">
        <f>COUNTIFS('Vendor Invoices'!B23:B222,'Payment HIstory'!D27)</f>
        <v>1</v>
      </c>
    </row>
    <row r="28" spans="2:9" ht="14.5" x14ac:dyDescent="0.35">
      <c r="B28" s="59" t="s">
        <v>275</v>
      </c>
      <c r="C28" s="60" t="s">
        <v>36</v>
      </c>
      <c r="D28" s="59" t="s">
        <v>82</v>
      </c>
      <c r="E28" s="60" t="s">
        <v>19</v>
      </c>
      <c r="F28" s="61">
        <v>80581.5</v>
      </c>
      <c r="G28" s="62"/>
      <c r="H28" s="67">
        <f t="shared" si="0"/>
        <v>44959</v>
      </c>
      <c r="I28" s="69">
        <f>COUNTIFS('Vendor Invoices'!B24:B223,'Payment HIstory'!D28)</f>
        <v>1</v>
      </c>
    </row>
    <row r="29" spans="2:9" ht="14.5" x14ac:dyDescent="0.35">
      <c r="B29" s="59" t="s">
        <v>272</v>
      </c>
      <c r="C29" s="60" t="s">
        <v>42</v>
      </c>
      <c r="D29" s="59" t="s">
        <v>85</v>
      </c>
      <c r="E29" s="60" t="s">
        <v>18</v>
      </c>
      <c r="F29" s="61">
        <v>60830.399999999994</v>
      </c>
      <c r="G29" s="62"/>
      <c r="H29" s="67">
        <f t="shared" si="0"/>
        <v>45071</v>
      </c>
      <c r="I29" s="69">
        <f>COUNTIFS('Vendor Invoices'!B25:B224,'Payment HIstory'!D29)</f>
        <v>1</v>
      </c>
    </row>
    <row r="30" spans="2:9" ht="14.5" x14ac:dyDescent="0.35">
      <c r="B30" s="59" t="s">
        <v>276</v>
      </c>
      <c r="C30" s="60" t="s">
        <v>36</v>
      </c>
      <c r="D30" s="59" t="s">
        <v>86</v>
      </c>
      <c r="E30" s="60" t="s">
        <v>19</v>
      </c>
      <c r="F30" s="61">
        <v>87562.45</v>
      </c>
      <c r="G30" s="62"/>
      <c r="H30" s="67">
        <f t="shared" si="0"/>
        <v>45107</v>
      </c>
      <c r="I30" s="69">
        <f>COUNTIFS('Vendor Invoices'!B26:B225,'Payment HIstory'!D30)</f>
        <v>1</v>
      </c>
    </row>
    <row r="31" spans="2:9" ht="14.5" x14ac:dyDescent="0.35">
      <c r="B31" s="59" t="s">
        <v>267</v>
      </c>
      <c r="C31" s="60" t="s">
        <v>33</v>
      </c>
      <c r="D31" s="59" t="s">
        <v>87</v>
      </c>
      <c r="E31" s="60" t="s">
        <v>20</v>
      </c>
      <c r="F31" s="61">
        <v>90780.3</v>
      </c>
      <c r="G31" s="62"/>
      <c r="H31" s="67">
        <f t="shared" si="0"/>
        <v>45112</v>
      </c>
      <c r="I31" s="69">
        <f>COUNTIFS('Vendor Invoices'!B27:B226,'Payment HIstory'!D31)</f>
        <v>1</v>
      </c>
    </row>
    <row r="32" spans="2:9" ht="14.5" x14ac:dyDescent="0.35">
      <c r="B32" s="59" t="s">
        <v>277</v>
      </c>
      <c r="C32" s="60" t="s">
        <v>35</v>
      </c>
      <c r="D32" s="59" t="s">
        <v>90</v>
      </c>
      <c r="E32" s="60" t="s">
        <v>19</v>
      </c>
      <c r="F32" s="61">
        <v>83348</v>
      </c>
      <c r="G32" s="62"/>
      <c r="H32" s="67">
        <f t="shared" si="0"/>
        <v>45207</v>
      </c>
      <c r="I32" s="69">
        <f>COUNTIFS('Vendor Invoices'!B28:B227,'Payment HIstory'!D32)</f>
        <v>1</v>
      </c>
    </row>
    <row r="33" spans="2:9" ht="14.5" x14ac:dyDescent="0.35">
      <c r="B33" s="59" t="s">
        <v>270</v>
      </c>
      <c r="C33" s="60" t="s">
        <v>41</v>
      </c>
      <c r="D33" s="59" t="s">
        <v>91</v>
      </c>
      <c r="E33" s="60" t="s">
        <v>20</v>
      </c>
      <c r="F33" s="61">
        <v>48639</v>
      </c>
      <c r="G33" s="62"/>
      <c r="H33" s="67">
        <f t="shared" si="0"/>
        <v>45255</v>
      </c>
      <c r="I33" s="69">
        <f>COUNTIFS('Vendor Invoices'!B29:B228,'Payment HIstory'!D33)</f>
        <v>1</v>
      </c>
    </row>
    <row r="34" spans="2:9" ht="14.5" x14ac:dyDescent="0.35">
      <c r="B34" s="59" t="s">
        <v>278</v>
      </c>
      <c r="C34" s="60" t="s">
        <v>42</v>
      </c>
      <c r="D34" s="59" t="s">
        <v>92</v>
      </c>
      <c r="E34" s="60" t="s">
        <v>21</v>
      </c>
      <c r="F34" s="61">
        <v>33492.998399999997</v>
      </c>
      <c r="G34" s="62"/>
      <c r="H34" s="67">
        <f t="shared" si="0"/>
        <v>45306</v>
      </c>
      <c r="I34" s="69">
        <f>COUNTIFS('Vendor Invoices'!B30:B229,'Payment HIstory'!D34)</f>
        <v>1</v>
      </c>
    </row>
    <row r="35" spans="2:9" ht="14.5" x14ac:dyDescent="0.35">
      <c r="B35" s="59" t="s">
        <v>279</v>
      </c>
      <c r="C35" s="60" t="s">
        <v>38</v>
      </c>
      <c r="D35" s="59" t="s">
        <v>94</v>
      </c>
      <c r="E35" s="60" t="s">
        <v>19</v>
      </c>
      <c r="F35" s="61">
        <v>30388.261176</v>
      </c>
      <c r="G35" s="62"/>
      <c r="H35" s="67">
        <f t="shared" si="0"/>
        <v>44983</v>
      </c>
      <c r="I35" s="69">
        <f>COUNTIFS('Vendor Invoices'!B31:B230,'Payment HIstory'!D35)</f>
        <v>1</v>
      </c>
    </row>
    <row r="36" spans="2:9" ht="14.5" x14ac:dyDescent="0.35">
      <c r="B36" s="59" t="s">
        <v>264</v>
      </c>
      <c r="C36" s="60" t="s">
        <v>42</v>
      </c>
      <c r="D36" s="59" t="s">
        <v>95</v>
      </c>
      <c r="E36" s="60" t="s">
        <v>20</v>
      </c>
      <c r="F36" s="61">
        <v>98725</v>
      </c>
      <c r="G36" s="62"/>
      <c r="H36" s="67">
        <f t="shared" si="0"/>
        <v>45000</v>
      </c>
      <c r="I36" s="69">
        <f>COUNTIFS('Vendor Invoices'!B32:B231,'Payment HIstory'!D36)</f>
        <v>1</v>
      </c>
    </row>
    <row r="37" spans="2:9" ht="14.5" x14ac:dyDescent="0.35">
      <c r="B37" s="59" t="s">
        <v>265</v>
      </c>
      <c r="C37" s="60" t="s">
        <v>39</v>
      </c>
      <c r="D37" s="59" t="s">
        <v>96</v>
      </c>
      <c r="E37" s="60" t="s">
        <v>21</v>
      </c>
      <c r="F37" s="61">
        <v>47624</v>
      </c>
      <c r="G37" s="62"/>
      <c r="H37" s="67">
        <f t="shared" si="0"/>
        <v>45036</v>
      </c>
      <c r="I37" s="69">
        <f>COUNTIFS('Vendor Invoices'!B33:B232,'Payment HIstory'!D37)</f>
        <v>1</v>
      </c>
    </row>
    <row r="38" spans="2:9" ht="14.5" x14ac:dyDescent="0.35">
      <c r="B38" s="59" t="s">
        <v>272</v>
      </c>
      <c r="C38" s="60" t="s">
        <v>38</v>
      </c>
      <c r="D38" s="59" t="s">
        <v>97</v>
      </c>
      <c r="E38" s="60" t="s">
        <v>18</v>
      </c>
      <c r="F38" s="61">
        <v>70630.659999999989</v>
      </c>
      <c r="G38" s="62"/>
      <c r="H38" s="67">
        <f t="shared" si="0"/>
        <v>45071</v>
      </c>
      <c r="I38" s="69">
        <f>COUNTIFS('Vendor Invoices'!B34:B233,'Payment HIstory'!D38)</f>
        <v>1</v>
      </c>
    </row>
    <row r="39" spans="2:9" ht="14.5" x14ac:dyDescent="0.35">
      <c r="B39" s="59" t="s">
        <v>276</v>
      </c>
      <c r="C39" s="60" t="s">
        <v>33</v>
      </c>
      <c r="D39" s="59" t="s">
        <v>98</v>
      </c>
      <c r="E39" s="60" t="s">
        <v>19</v>
      </c>
      <c r="F39" s="61">
        <v>117754</v>
      </c>
      <c r="G39" s="62"/>
      <c r="H39" s="67">
        <f t="shared" si="0"/>
        <v>45107</v>
      </c>
      <c r="I39" s="69">
        <f>COUNTIFS('Vendor Invoices'!B35:B234,'Payment HIstory'!D39)</f>
        <v>1</v>
      </c>
    </row>
    <row r="40" spans="2:9" ht="14.5" x14ac:dyDescent="0.35">
      <c r="B40" s="59" t="s">
        <v>268</v>
      </c>
      <c r="C40" s="60" t="s">
        <v>37</v>
      </c>
      <c r="D40" s="59" t="s">
        <v>100</v>
      </c>
      <c r="E40" s="60" t="s">
        <v>21</v>
      </c>
      <c r="F40" s="61">
        <v>67302</v>
      </c>
      <c r="G40" s="62"/>
      <c r="H40" s="67">
        <f t="shared" si="0"/>
        <v>45148</v>
      </c>
      <c r="I40" s="69">
        <f>COUNTIFS('Vendor Invoices'!B36:B235,'Payment HIstory'!D40)</f>
        <v>1</v>
      </c>
    </row>
    <row r="41" spans="2:9" ht="14.5" x14ac:dyDescent="0.35">
      <c r="B41" s="59" t="s">
        <v>269</v>
      </c>
      <c r="C41" s="60" t="s">
        <v>37</v>
      </c>
      <c r="D41" s="59" t="s">
        <v>101</v>
      </c>
      <c r="E41" s="60" t="s">
        <v>18</v>
      </c>
      <c r="F41" s="61">
        <v>43047.840000000004</v>
      </c>
      <c r="G41" s="62"/>
      <c r="H41" s="67">
        <f t="shared" si="0"/>
        <v>45184</v>
      </c>
      <c r="I41" s="69">
        <f>COUNTIFS('Vendor Invoices'!B37:B236,'Payment HIstory'!D41)</f>
        <v>1</v>
      </c>
    </row>
    <row r="42" spans="2:9" ht="14.5" x14ac:dyDescent="0.35">
      <c r="B42" s="59" t="s">
        <v>274</v>
      </c>
      <c r="C42" s="60" t="s">
        <v>37</v>
      </c>
      <c r="D42" s="59" t="s">
        <v>102</v>
      </c>
      <c r="E42" s="60" t="s">
        <v>19</v>
      </c>
      <c r="F42" s="61">
        <v>98848</v>
      </c>
      <c r="G42" s="62"/>
      <c r="H42" s="67">
        <f t="shared" si="0"/>
        <v>45219</v>
      </c>
      <c r="I42" s="69">
        <f>COUNTIFS('Vendor Invoices'!B38:B237,'Payment HIstory'!D42)</f>
        <v>1</v>
      </c>
    </row>
    <row r="43" spans="2:9" ht="14.5" x14ac:dyDescent="0.35">
      <c r="B43" s="59" t="s">
        <v>280</v>
      </c>
      <c r="C43" s="60" t="s">
        <v>35</v>
      </c>
      <c r="D43" s="59" t="s">
        <v>106</v>
      </c>
      <c r="E43" s="60" t="s">
        <v>19</v>
      </c>
      <c r="F43" s="61">
        <v>117122.4856</v>
      </c>
      <c r="G43" s="62"/>
      <c r="H43" s="67">
        <f t="shared" si="0"/>
        <v>44993</v>
      </c>
      <c r="I43" s="69">
        <f>COUNTIFS('Vendor Invoices'!B39:B238,'Payment HIstory'!D43)</f>
        <v>1</v>
      </c>
    </row>
    <row r="44" spans="2:9" ht="14.5" x14ac:dyDescent="0.35">
      <c r="B44" s="59" t="s">
        <v>264</v>
      </c>
      <c r="C44" s="60" t="s">
        <v>34</v>
      </c>
      <c r="D44" s="59" t="s">
        <v>107</v>
      </c>
      <c r="E44" s="60" t="s">
        <v>20</v>
      </c>
      <c r="F44" s="61">
        <v>83124.33</v>
      </c>
      <c r="G44" s="62"/>
      <c r="H44" s="67">
        <f t="shared" si="0"/>
        <v>45000</v>
      </c>
      <c r="I44" s="69">
        <f>COUNTIFS('Vendor Invoices'!B40:B239,'Payment HIstory'!D44)</f>
        <v>1</v>
      </c>
    </row>
    <row r="45" spans="2:9" ht="14.5" x14ac:dyDescent="0.35">
      <c r="B45" s="59" t="s">
        <v>265</v>
      </c>
      <c r="C45" s="60" t="s">
        <v>37</v>
      </c>
      <c r="D45" s="59" t="s">
        <v>108</v>
      </c>
      <c r="E45" s="60" t="s">
        <v>21</v>
      </c>
      <c r="F45" s="61">
        <v>66318.87999999999</v>
      </c>
      <c r="G45" s="62"/>
      <c r="H45" s="67">
        <f t="shared" si="0"/>
        <v>45036</v>
      </c>
      <c r="I45" s="69">
        <f>COUNTIFS('Vendor Invoices'!B41:B240,'Payment HIstory'!D45)</f>
        <v>1</v>
      </c>
    </row>
    <row r="46" spans="2:9" ht="14.5" x14ac:dyDescent="0.35">
      <c r="B46" s="59" t="s">
        <v>272</v>
      </c>
      <c r="C46" s="60" t="s">
        <v>36</v>
      </c>
      <c r="D46" s="59" t="s">
        <v>109</v>
      </c>
      <c r="E46" s="60" t="s">
        <v>18</v>
      </c>
      <c r="F46" s="61">
        <v>109771</v>
      </c>
      <c r="G46" s="62"/>
      <c r="H46" s="67">
        <f t="shared" si="0"/>
        <v>45071</v>
      </c>
      <c r="I46" s="69">
        <f>COUNTIFS('Vendor Invoices'!B42:B241,'Payment HIstory'!D46)</f>
        <v>1</v>
      </c>
    </row>
    <row r="47" spans="2:9" ht="14.5" x14ac:dyDescent="0.35">
      <c r="B47" s="59" t="s">
        <v>267</v>
      </c>
      <c r="C47" s="60" t="s">
        <v>39</v>
      </c>
      <c r="D47" s="59" t="s">
        <v>111</v>
      </c>
      <c r="E47" s="60" t="s">
        <v>20</v>
      </c>
      <c r="F47" s="61">
        <v>37559</v>
      </c>
      <c r="G47" s="62"/>
      <c r="H47" s="67">
        <f t="shared" si="0"/>
        <v>45112</v>
      </c>
      <c r="I47" s="69">
        <f>COUNTIFS('Vendor Invoices'!B43:B242,'Payment HIstory'!D47)</f>
        <v>1</v>
      </c>
    </row>
    <row r="48" spans="2:9" ht="14.5" x14ac:dyDescent="0.35">
      <c r="B48" s="59" t="s">
        <v>281</v>
      </c>
      <c r="C48" s="60" t="s">
        <v>42</v>
      </c>
      <c r="D48" s="59" t="s">
        <v>112</v>
      </c>
      <c r="E48" s="60" t="s">
        <v>21</v>
      </c>
      <c r="F48" s="61">
        <v>107705</v>
      </c>
      <c r="G48" s="62"/>
      <c r="H48" s="67">
        <f t="shared" si="0"/>
        <v>45139</v>
      </c>
      <c r="I48" s="69">
        <f>COUNTIFS('Vendor Invoices'!B44:B243,'Payment HIstory'!D48)</f>
        <v>1</v>
      </c>
    </row>
    <row r="49" spans="2:9" ht="14.5" x14ac:dyDescent="0.35">
      <c r="B49" s="59" t="s">
        <v>269</v>
      </c>
      <c r="C49" s="60" t="s">
        <v>42</v>
      </c>
      <c r="D49" s="59" t="s">
        <v>113</v>
      </c>
      <c r="E49" s="60" t="s">
        <v>18</v>
      </c>
      <c r="F49" s="61">
        <v>54533</v>
      </c>
      <c r="G49" s="62"/>
      <c r="H49" s="67">
        <f t="shared" si="0"/>
        <v>45184</v>
      </c>
      <c r="I49" s="69">
        <f>COUNTIFS('Vendor Invoices'!B45:B244,'Payment HIstory'!D49)</f>
        <v>1</v>
      </c>
    </row>
    <row r="50" spans="2:9" ht="14.5" x14ac:dyDescent="0.35">
      <c r="B50" s="59" t="s">
        <v>282</v>
      </c>
      <c r="C50" s="60" t="s">
        <v>37</v>
      </c>
      <c r="D50" s="59" t="s">
        <v>115</v>
      </c>
      <c r="E50" s="60" t="s">
        <v>20</v>
      </c>
      <c r="F50" s="61">
        <v>32531.049500000001</v>
      </c>
      <c r="G50" s="62"/>
      <c r="H50" s="67">
        <f t="shared" si="0"/>
        <v>45285</v>
      </c>
      <c r="I50" s="69">
        <f>COUNTIFS('Vendor Invoices'!B46:B245,'Payment HIstory'!D50)</f>
        <v>1</v>
      </c>
    </row>
    <row r="51" spans="2:9" ht="14.5" x14ac:dyDescent="0.35">
      <c r="B51" s="59" t="s">
        <v>271</v>
      </c>
      <c r="C51" s="60" t="s">
        <v>38</v>
      </c>
      <c r="D51" s="59" t="s">
        <v>116</v>
      </c>
      <c r="E51" s="60" t="s">
        <v>21</v>
      </c>
      <c r="F51" s="61">
        <v>53610.83</v>
      </c>
      <c r="G51" s="62"/>
      <c r="H51" s="67">
        <f t="shared" si="0"/>
        <v>45290</v>
      </c>
      <c r="I51" s="69">
        <f>COUNTIFS('Vendor Invoices'!B47:B246,'Payment HIstory'!D51)</f>
        <v>1</v>
      </c>
    </row>
    <row r="52" spans="2:9" ht="14.5" x14ac:dyDescent="0.35">
      <c r="B52" s="59" t="s">
        <v>262</v>
      </c>
      <c r="C52" s="60" t="s">
        <v>40</v>
      </c>
      <c r="D52" s="59" t="s">
        <v>117</v>
      </c>
      <c r="E52" s="60" t="s">
        <v>18</v>
      </c>
      <c r="F52" s="61">
        <v>101807</v>
      </c>
      <c r="G52" s="62"/>
      <c r="H52" s="67">
        <f t="shared" si="0"/>
        <v>44931</v>
      </c>
      <c r="I52" s="69">
        <f>COUNTIFS('Vendor Invoices'!B48:B247,'Payment HIstory'!D52)</f>
        <v>1</v>
      </c>
    </row>
    <row r="53" spans="2:9" ht="14.5" x14ac:dyDescent="0.35">
      <c r="B53" s="59" t="s">
        <v>263</v>
      </c>
      <c r="C53" s="60" t="s">
        <v>40</v>
      </c>
      <c r="D53" s="59" t="s">
        <v>118</v>
      </c>
      <c r="E53" s="60" t="s">
        <v>19</v>
      </c>
      <c r="F53" s="61">
        <v>44365</v>
      </c>
      <c r="G53" s="62"/>
      <c r="H53" s="67">
        <f t="shared" si="0"/>
        <v>44967</v>
      </c>
      <c r="I53" s="69">
        <f>COUNTIFS('Vendor Invoices'!B49:B248,'Payment HIstory'!D53)</f>
        <v>1</v>
      </c>
    </row>
    <row r="54" spans="2:9" ht="14.5" x14ac:dyDescent="0.35">
      <c r="B54" s="59" t="s">
        <v>264</v>
      </c>
      <c r="C54" s="60" t="s">
        <v>35</v>
      </c>
      <c r="D54" s="59" t="s">
        <v>119</v>
      </c>
      <c r="E54" s="60" t="s">
        <v>20</v>
      </c>
      <c r="F54" s="61">
        <v>56112</v>
      </c>
      <c r="G54" s="62"/>
      <c r="H54" s="67">
        <f t="shared" si="0"/>
        <v>45000</v>
      </c>
      <c r="I54" s="69">
        <f>COUNTIFS('Vendor Invoices'!B50:B249,'Payment HIstory'!D54)</f>
        <v>1</v>
      </c>
    </row>
    <row r="55" spans="2:9" ht="14.5" x14ac:dyDescent="0.35">
      <c r="B55" s="59" t="s">
        <v>276</v>
      </c>
      <c r="C55" s="60" t="s">
        <v>41</v>
      </c>
      <c r="D55" s="59" t="s">
        <v>122</v>
      </c>
      <c r="E55" s="60" t="s">
        <v>19</v>
      </c>
      <c r="F55" s="61">
        <v>108295</v>
      </c>
      <c r="G55" s="62"/>
      <c r="H55" s="67">
        <f t="shared" si="0"/>
        <v>45107</v>
      </c>
      <c r="I55" s="69">
        <f>COUNTIFS('Vendor Invoices'!B51:B250,'Payment HIstory'!D55)</f>
        <v>1</v>
      </c>
    </row>
    <row r="56" spans="2:9" ht="14.5" x14ac:dyDescent="0.35">
      <c r="B56" s="59" t="s">
        <v>267</v>
      </c>
      <c r="C56" s="60" t="s">
        <v>41</v>
      </c>
      <c r="D56" s="59" t="s">
        <v>123</v>
      </c>
      <c r="E56" s="60" t="s">
        <v>20</v>
      </c>
      <c r="F56" s="61">
        <v>90160.71</v>
      </c>
      <c r="G56" s="62"/>
      <c r="H56" s="67">
        <f t="shared" si="0"/>
        <v>45112</v>
      </c>
      <c r="I56" s="69">
        <f>COUNTIFS('Vendor Invoices'!B52:B251,'Payment HIstory'!D56)</f>
        <v>1</v>
      </c>
    </row>
    <row r="57" spans="2:9" ht="14.5" x14ac:dyDescent="0.35">
      <c r="B57" s="59" t="s">
        <v>268</v>
      </c>
      <c r="C57" s="60" t="s">
        <v>42</v>
      </c>
      <c r="D57" s="59" t="s">
        <v>124</v>
      </c>
      <c r="E57" s="60" t="s">
        <v>21</v>
      </c>
      <c r="F57" s="61">
        <v>85397</v>
      </c>
      <c r="G57" s="62"/>
      <c r="H57" s="67">
        <f t="shared" si="0"/>
        <v>45148</v>
      </c>
      <c r="I57" s="69">
        <f>COUNTIFS('Vendor Invoices'!B53:B252,'Payment HIstory'!D57)</f>
        <v>1</v>
      </c>
    </row>
    <row r="58" spans="2:9" ht="14.5" x14ac:dyDescent="0.35">
      <c r="B58" s="59" t="s">
        <v>269</v>
      </c>
      <c r="C58" s="60" t="s">
        <v>34</v>
      </c>
      <c r="D58" s="59" t="s">
        <v>125</v>
      </c>
      <c r="E58" s="60" t="s">
        <v>18</v>
      </c>
      <c r="F58" s="61">
        <v>65840</v>
      </c>
      <c r="G58" s="62"/>
      <c r="H58" s="67">
        <f t="shared" si="0"/>
        <v>45184</v>
      </c>
      <c r="I58" s="69">
        <f>COUNTIFS('Vendor Invoices'!B54:B253,'Payment HIstory'!D58)</f>
        <v>1</v>
      </c>
    </row>
    <row r="59" spans="2:9" ht="14.5" x14ac:dyDescent="0.35">
      <c r="B59" s="59" t="s">
        <v>274</v>
      </c>
      <c r="C59" s="60" t="s">
        <v>42</v>
      </c>
      <c r="D59" s="59" t="s">
        <v>126</v>
      </c>
      <c r="E59" s="60" t="s">
        <v>19</v>
      </c>
      <c r="F59" s="61">
        <v>72665</v>
      </c>
      <c r="G59" s="62"/>
      <c r="H59" s="67">
        <f t="shared" si="0"/>
        <v>45219</v>
      </c>
      <c r="I59" s="69">
        <f>COUNTIFS('Vendor Invoices'!B55:B254,'Payment HIstory'!D59)</f>
        <v>1</v>
      </c>
    </row>
    <row r="60" spans="2:9" ht="14.5" x14ac:dyDescent="0.35">
      <c r="B60" s="59" t="s">
        <v>270</v>
      </c>
      <c r="C60" s="60" t="s">
        <v>38</v>
      </c>
      <c r="D60" s="59" t="s">
        <v>127</v>
      </c>
      <c r="E60" s="60" t="s">
        <v>20</v>
      </c>
      <c r="F60" s="61">
        <v>86835.7</v>
      </c>
      <c r="G60" s="62"/>
      <c r="H60" s="67">
        <f t="shared" si="0"/>
        <v>45255</v>
      </c>
      <c r="I60" s="69">
        <f>COUNTIFS('Vendor Invoices'!B56:B255,'Payment HIstory'!D60)</f>
        <v>1</v>
      </c>
    </row>
    <row r="61" spans="2:9" ht="14.5" x14ac:dyDescent="0.35">
      <c r="B61" s="59" t="s">
        <v>271</v>
      </c>
      <c r="C61" s="60" t="s">
        <v>42</v>
      </c>
      <c r="D61" s="59" t="s">
        <v>128</v>
      </c>
      <c r="E61" s="60" t="s">
        <v>21</v>
      </c>
      <c r="F61" s="61">
        <v>53576</v>
      </c>
      <c r="G61" s="62"/>
      <c r="H61" s="67">
        <f t="shared" si="0"/>
        <v>45290</v>
      </c>
      <c r="I61" s="69">
        <f>COUNTIFS('Vendor Invoices'!B57:B256,'Payment HIstory'!D61)</f>
        <v>1</v>
      </c>
    </row>
    <row r="62" spans="2:9" ht="14.5" x14ac:dyDescent="0.35">
      <c r="B62" s="59" t="s">
        <v>283</v>
      </c>
      <c r="C62" s="60" t="s">
        <v>36</v>
      </c>
      <c r="D62" s="59" t="s">
        <v>129</v>
      </c>
      <c r="E62" s="60" t="s">
        <v>18</v>
      </c>
      <c r="F62" s="61">
        <v>102929.19</v>
      </c>
      <c r="G62" s="62"/>
      <c r="H62" s="67">
        <f t="shared" si="0"/>
        <v>44921</v>
      </c>
      <c r="I62" s="69">
        <f>COUNTIFS('Vendor Invoices'!B58:B257,'Payment HIstory'!D62)</f>
        <v>1</v>
      </c>
    </row>
    <row r="63" spans="2:9" ht="14.5" x14ac:dyDescent="0.35">
      <c r="B63" s="59" t="s">
        <v>284</v>
      </c>
      <c r="C63" s="60" t="s">
        <v>35</v>
      </c>
      <c r="D63" s="59" t="s">
        <v>133</v>
      </c>
      <c r="E63" s="60" t="s">
        <v>21</v>
      </c>
      <c r="F63" s="61">
        <v>89277</v>
      </c>
      <c r="G63" s="62"/>
      <c r="H63" s="67">
        <f t="shared" si="0"/>
        <v>45115</v>
      </c>
      <c r="I63" s="69">
        <f>COUNTIFS('Vendor Invoices'!B59:B258,'Payment HIstory'!D63)</f>
        <v>1</v>
      </c>
    </row>
    <row r="64" spans="2:9" ht="14.5" x14ac:dyDescent="0.35">
      <c r="B64" s="59" t="s">
        <v>285</v>
      </c>
      <c r="C64" s="60" t="s">
        <v>34</v>
      </c>
      <c r="D64" s="59" t="s">
        <v>135</v>
      </c>
      <c r="E64" s="60" t="s">
        <v>20</v>
      </c>
      <c r="F64" s="61">
        <v>86067</v>
      </c>
      <c r="G64" s="62"/>
      <c r="H64" s="67">
        <f t="shared" si="0"/>
        <v>45198</v>
      </c>
      <c r="I64" s="69">
        <f>COUNTIFS('Vendor Invoices'!B60:B259,'Payment HIstory'!D64)</f>
        <v>1</v>
      </c>
    </row>
    <row r="65" spans="2:9" ht="14.5" x14ac:dyDescent="0.35">
      <c r="B65" s="59" t="s">
        <v>286</v>
      </c>
      <c r="C65" s="60" t="s">
        <v>37</v>
      </c>
      <c r="D65" s="59" t="s">
        <v>136</v>
      </c>
      <c r="E65" s="60" t="s">
        <v>21</v>
      </c>
      <c r="F65" s="61">
        <v>33168.811199999996</v>
      </c>
      <c r="G65" s="62"/>
      <c r="H65" s="67">
        <f t="shared" si="0"/>
        <v>45001</v>
      </c>
      <c r="I65" s="69">
        <f>COUNTIFS('Vendor Invoices'!B61:B260,'Payment HIstory'!D65)</f>
        <v>1</v>
      </c>
    </row>
    <row r="66" spans="2:9" ht="14.5" x14ac:dyDescent="0.35">
      <c r="B66" s="59" t="s">
        <v>287</v>
      </c>
      <c r="C66" s="60" t="s">
        <v>42</v>
      </c>
      <c r="D66" s="59" t="s">
        <v>137</v>
      </c>
      <c r="E66" s="60" t="s">
        <v>19</v>
      </c>
      <c r="F66" s="61">
        <v>40585</v>
      </c>
      <c r="G66" s="62"/>
      <c r="H66" s="67">
        <f t="shared" si="0"/>
        <v>45225</v>
      </c>
      <c r="I66" s="69">
        <f>COUNTIFS('Vendor Invoices'!B62:B261,'Payment HIstory'!D66)</f>
        <v>1</v>
      </c>
    </row>
    <row r="67" spans="2:9" ht="14.5" x14ac:dyDescent="0.35">
      <c r="B67" s="59" t="s">
        <v>288</v>
      </c>
      <c r="C67" s="60" t="s">
        <v>37</v>
      </c>
      <c r="D67" s="59" t="s">
        <v>138</v>
      </c>
      <c r="E67" s="60" t="s">
        <v>20</v>
      </c>
      <c r="F67" s="61">
        <v>70642</v>
      </c>
      <c r="G67" s="62"/>
      <c r="H67" s="67">
        <f t="shared" si="0"/>
        <v>45135</v>
      </c>
      <c r="I67" s="69">
        <f>COUNTIFS('Vendor Invoices'!B63:B262,'Payment HIstory'!D67)</f>
        <v>1</v>
      </c>
    </row>
    <row r="68" spans="2:9" ht="14.5" x14ac:dyDescent="0.35">
      <c r="B68" s="59" t="s">
        <v>289</v>
      </c>
      <c r="C68" s="60" t="s">
        <v>37</v>
      </c>
      <c r="D68" s="59" t="s">
        <v>140</v>
      </c>
      <c r="E68" s="60" t="s">
        <v>18</v>
      </c>
      <c r="F68" s="61">
        <v>83273.830650000004</v>
      </c>
      <c r="G68" s="62"/>
      <c r="H68" s="67">
        <f t="shared" si="0"/>
        <v>45214</v>
      </c>
      <c r="I68" s="69">
        <f>COUNTIFS('Vendor Invoices'!B64:B263,'Payment HIstory'!D68)</f>
        <v>1</v>
      </c>
    </row>
    <row r="69" spans="2:9" ht="14.5" x14ac:dyDescent="0.35">
      <c r="B69" s="59" t="s">
        <v>277</v>
      </c>
      <c r="C69" s="60" t="s">
        <v>42</v>
      </c>
      <c r="D69" s="59" t="s">
        <v>141</v>
      </c>
      <c r="E69" s="60" t="s">
        <v>18</v>
      </c>
      <c r="F69" s="61">
        <v>62380</v>
      </c>
      <c r="G69" s="62"/>
      <c r="H69" s="67">
        <f t="shared" si="0"/>
        <v>45207</v>
      </c>
      <c r="I69" s="69">
        <f>COUNTIFS('Vendor Invoices'!B65:B264,'Payment HIstory'!D69)</f>
        <v>1</v>
      </c>
    </row>
    <row r="70" spans="2:9" ht="14.5" x14ac:dyDescent="0.35">
      <c r="B70" s="59" t="s">
        <v>290</v>
      </c>
      <c r="C70" s="60" t="s">
        <v>37</v>
      </c>
      <c r="D70" s="59" t="s">
        <v>143</v>
      </c>
      <c r="E70" s="60" t="s">
        <v>19</v>
      </c>
      <c r="F70" s="61">
        <v>43374</v>
      </c>
      <c r="G70" s="62"/>
      <c r="H70" s="67">
        <f t="shared" si="0"/>
        <v>45037</v>
      </c>
      <c r="I70" s="69">
        <f>COUNTIFS('Vendor Invoices'!B66:B265,'Payment HIstory'!D70)</f>
        <v>1</v>
      </c>
    </row>
    <row r="71" spans="2:9" ht="14.5" x14ac:dyDescent="0.35">
      <c r="B71" s="59" t="s">
        <v>291</v>
      </c>
      <c r="C71" s="60" t="s">
        <v>40</v>
      </c>
      <c r="D71" s="59" t="s">
        <v>145</v>
      </c>
      <c r="E71" s="60" t="s">
        <v>20</v>
      </c>
      <c r="F71" s="61">
        <v>88440.21</v>
      </c>
      <c r="G71" s="62"/>
      <c r="H71" s="67">
        <f t="shared" si="0"/>
        <v>44941</v>
      </c>
      <c r="I71" s="69">
        <f>COUNTIFS('Vendor Invoices'!B67:B266,'Payment HIstory'!D71)</f>
        <v>1</v>
      </c>
    </row>
    <row r="72" spans="2:9" ht="14.5" x14ac:dyDescent="0.35">
      <c r="B72" s="59" t="s">
        <v>292</v>
      </c>
      <c r="C72" s="60" t="s">
        <v>34</v>
      </c>
      <c r="D72" s="59" t="s">
        <v>146</v>
      </c>
      <c r="E72" s="60" t="s">
        <v>21</v>
      </c>
      <c r="F72" s="61">
        <v>87463</v>
      </c>
      <c r="G72" s="62"/>
      <c r="H72" s="67">
        <f t="shared" si="0"/>
        <v>45201</v>
      </c>
      <c r="I72" s="69">
        <f>COUNTIFS('Vendor Invoices'!B68:B267,'Payment HIstory'!D72)</f>
        <v>1</v>
      </c>
    </row>
    <row r="73" spans="2:9" ht="14.5" x14ac:dyDescent="0.35">
      <c r="B73" s="59" t="s">
        <v>293</v>
      </c>
      <c r="C73" s="60" t="s">
        <v>38</v>
      </c>
      <c r="D73" s="59" t="s">
        <v>148</v>
      </c>
      <c r="E73" s="60" t="s">
        <v>18</v>
      </c>
      <c r="F73" s="61">
        <v>91866.33</v>
      </c>
      <c r="G73" s="62"/>
      <c r="H73" s="67">
        <f t="shared" si="0"/>
        <v>45250</v>
      </c>
      <c r="I73" s="69">
        <f>COUNTIFS('Vendor Invoices'!B69:B268,'Payment HIstory'!D73)</f>
        <v>1</v>
      </c>
    </row>
    <row r="74" spans="2:9" ht="14.5" x14ac:dyDescent="0.35">
      <c r="B74" s="59" t="s">
        <v>294</v>
      </c>
      <c r="C74" s="60" t="s">
        <v>38</v>
      </c>
      <c r="D74" s="59" t="s">
        <v>149</v>
      </c>
      <c r="E74" s="60" t="s">
        <v>19</v>
      </c>
      <c r="F74" s="61">
        <v>61261.175125000002</v>
      </c>
      <c r="G74" s="62"/>
      <c r="H74" s="67">
        <f t="shared" si="0"/>
        <v>45230</v>
      </c>
      <c r="I74" s="69">
        <f>COUNTIFS('Vendor Invoices'!B70:B269,'Payment HIstory'!D74)</f>
        <v>1</v>
      </c>
    </row>
    <row r="75" spans="2:9" ht="14.5" x14ac:dyDescent="0.35">
      <c r="B75" s="59" t="s">
        <v>295</v>
      </c>
      <c r="C75" s="60" t="s">
        <v>37</v>
      </c>
      <c r="D75" s="59" t="s">
        <v>150</v>
      </c>
      <c r="E75" s="60" t="s">
        <v>18</v>
      </c>
      <c r="F75" s="61">
        <v>64377</v>
      </c>
      <c r="G75" s="62"/>
      <c r="H75" s="67">
        <f t="shared" ref="H75:H138" si="1">DATEVALUE(B75)</f>
        <v>45053</v>
      </c>
      <c r="I75" s="69">
        <f>COUNTIFS('Vendor Invoices'!B71:B270,'Payment HIstory'!D75)</f>
        <v>1</v>
      </c>
    </row>
    <row r="76" spans="2:9" ht="14.5" x14ac:dyDescent="0.35">
      <c r="B76" s="59" t="s">
        <v>296</v>
      </c>
      <c r="C76" s="60" t="s">
        <v>37</v>
      </c>
      <c r="D76" s="59" t="s">
        <v>152</v>
      </c>
      <c r="E76" s="60" t="s">
        <v>18</v>
      </c>
      <c r="F76" s="61">
        <v>80346</v>
      </c>
      <c r="G76" s="62"/>
      <c r="H76" s="67">
        <f t="shared" si="1"/>
        <v>45028</v>
      </c>
      <c r="I76" s="69">
        <f>COUNTIFS('Vendor Invoices'!B72:B271,'Payment HIstory'!D76)</f>
        <v>1</v>
      </c>
    </row>
    <row r="77" spans="2:9" ht="14.5" x14ac:dyDescent="0.35">
      <c r="B77" s="59" t="s">
        <v>297</v>
      </c>
      <c r="C77" s="60" t="s">
        <v>36</v>
      </c>
      <c r="D77" s="59" t="s">
        <v>153</v>
      </c>
      <c r="E77" s="60" t="s">
        <v>18</v>
      </c>
      <c r="F77" s="61">
        <v>53116</v>
      </c>
      <c r="G77" s="62"/>
      <c r="H77" s="67">
        <f t="shared" si="1"/>
        <v>45226</v>
      </c>
      <c r="I77" s="69">
        <f>COUNTIFS('Vendor Invoices'!B73:B272,'Payment HIstory'!D77)</f>
        <v>1</v>
      </c>
    </row>
    <row r="78" spans="2:9" ht="14.5" x14ac:dyDescent="0.35">
      <c r="B78" s="59" t="s">
        <v>288</v>
      </c>
      <c r="C78" s="60" t="s">
        <v>40</v>
      </c>
      <c r="D78" s="59" t="s">
        <v>154</v>
      </c>
      <c r="E78" s="60" t="s">
        <v>21</v>
      </c>
      <c r="F78" s="61">
        <v>87263</v>
      </c>
      <c r="G78" s="62"/>
      <c r="H78" s="67">
        <f t="shared" si="1"/>
        <v>45135</v>
      </c>
      <c r="I78" s="69">
        <f>COUNTIFS('Vendor Invoices'!B74:B273,'Payment HIstory'!D78)</f>
        <v>1</v>
      </c>
    </row>
    <row r="79" spans="2:9" ht="14.5" x14ac:dyDescent="0.35">
      <c r="B79" s="59" t="s">
        <v>298</v>
      </c>
      <c r="C79" s="60" t="s">
        <v>39</v>
      </c>
      <c r="D79" s="59" t="s">
        <v>155</v>
      </c>
      <c r="E79" s="60" t="s">
        <v>18</v>
      </c>
      <c r="F79" s="61">
        <v>41885</v>
      </c>
      <c r="G79" s="62"/>
      <c r="H79" s="67">
        <f t="shared" si="1"/>
        <v>45197</v>
      </c>
      <c r="I79" s="69">
        <f>COUNTIFS('Vendor Invoices'!B75:B274,'Payment HIstory'!D79)</f>
        <v>1</v>
      </c>
    </row>
    <row r="80" spans="2:9" ht="14.5" x14ac:dyDescent="0.35">
      <c r="B80" s="59" t="s">
        <v>299</v>
      </c>
      <c r="C80" s="60" t="s">
        <v>37</v>
      </c>
      <c r="D80" s="59" t="s">
        <v>156</v>
      </c>
      <c r="E80" s="60" t="s">
        <v>20</v>
      </c>
      <c r="F80" s="61">
        <v>117363</v>
      </c>
      <c r="G80" s="62"/>
      <c r="H80" s="67">
        <f t="shared" si="1"/>
        <v>45271</v>
      </c>
      <c r="I80" s="69">
        <f>COUNTIFS('Vendor Invoices'!B76:B275,'Payment HIstory'!D80)</f>
        <v>1</v>
      </c>
    </row>
    <row r="81" spans="2:9" ht="14.5" x14ac:dyDescent="0.35">
      <c r="B81" s="59" t="s">
        <v>300</v>
      </c>
      <c r="C81" s="60" t="s">
        <v>35</v>
      </c>
      <c r="D81" s="59" t="s">
        <v>157</v>
      </c>
      <c r="E81" s="60" t="s">
        <v>20</v>
      </c>
      <c r="F81" s="61">
        <v>101624</v>
      </c>
      <c r="G81" s="62"/>
      <c r="H81" s="67">
        <f t="shared" si="1"/>
        <v>45070</v>
      </c>
      <c r="I81" s="69">
        <f>COUNTIFS('Vendor Invoices'!B77:B276,'Payment HIstory'!D81)</f>
        <v>1</v>
      </c>
    </row>
    <row r="82" spans="2:9" ht="14.5" x14ac:dyDescent="0.35">
      <c r="B82" s="59" t="s">
        <v>301</v>
      </c>
      <c r="C82" s="60" t="s">
        <v>37</v>
      </c>
      <c r="D82" s="59" t="s">
        <v>158</v>
      </c>
      <c r="E82" s="60" t="s">
        <v>19</v>
      </c>
      <c r="F82" s="61">
        <v>47109.483</v>
      </c>
      <c r="G82" s="62"/>
      <c r="H82" s="67">
        <f t="shared" si="1"/>
        <v>45245</v>
      </c>
      <c r="I82" s="69">
        <f>COUNTIFS('Vendor Invoices'!B78:B277,'Payment HIstory'!D82)</f>
        <v>1</v>
      </c>
    </row>
    <row r="83" spans="2:9" ht="14.5" x14ac:dyDescent="0.35">
      <c r="B83" s="59" t="s">
        <v>290</v>
      </c>
      <c r="C83" s="60" t="s">
        <v>34</v>
      </c>
      <c r="D83" s="59" t="s">
        <v>159</v>
      </c>
      <c r="E83" s="60" t="s">
        <v>19</v>
      </c>
      <c r="F83" s="61">
        <v>51353.530599999998</v>
      </c>
      <c r="G83" s="62"/>
      <c r="H83" s="67">
        <f t="shared" si="1"/>
        <v>45037</v>
      </c>
      <c r="I83" s="69">
        <f>COUNTIFS('Vendor Invoices'!B79:B278,'Payment HIstory'!D83)</f>
        <v>1</v>
      </c>
    </row>
    <row r="84" spans="2:9" ht="14.5" x14ac:dyDescent="0.35">
      <c r="B84" s="59" t="s">
        <v>302</v>
      </c>
      <c r="C84" s="60" t="s">
        <v>41</v>
      </c>
      <c r="D84" s="59" t="s">
        <v>160</v>
      </c>
      <c r="E84" s="60" t="s">
        <v>19</v>
      </c>
      <c r="F84" s="61">
        <v>32563</v>
      </c>
      <c r="G84" s="62"/>
      <c r="H84" s="67">
        <f t="shared" si="1"/>
        <v>45126</v>
      </c>
      <c r="I84" s="69">
        <f>COUNTIFS('Vendor Invoices'!B80:B279,'Payment HIstory'!D84)</f>
        <v>1</v>
      </c>
    </row>
    <row r="85" spans="2:9" ht="14.5" x14ac:dyDescent="0.35">
      <c r="B85" s="59" t="s">
        <v>303</v>
      </c>
      <c r="C85" s="60" t="s">
        <v>40</v>
      </c>
      <c r="D85" s="59" t="s">
        <v>161</v>
      </c>
      <c r="E85" s="60" t="s">
        <v>18</v>
      </c>
      <c r="F85" s="61">
        <v>102281</v>
      </c>
      <c r="G85" s="62"/>
      <c r="H85" s="67">
        <f t="shared" si="1"/>
        <v>45143</v>
      </c>
      <c r="I85" s="69">
        <f>COUNTIFS('Vendor Invoices'!B81:B280,'Payment HIstory'!D85)</f>
        <v>1</v>
      </c>
    </row>
    <row r="86" spans="2:9" ht="14.5" x14ac:dyDescent="0.35">
      <c r="B86" s="59" t="s">
        <v>304</v>
      </c>
      <c r="C86" s="60" t="s">
        <v>36</v>
      </c>
      <c r="D86" s="59" t="s">
        <v>162</v>
      </c>
      <c r="E86" s="60" t="s">
        <v>19</v>
      </c>
      <c r="F86" s="61">
        <v>68491.240000000005</v>
      </c>
      <c r="G86" s="62"/>
      <c r="H86" s="67">
        <f t="shared" si="1"/>
        <v>44974</v>
      </c>
      <c r="I86" s="69">
        <f>COUNTIFS('Vendor Invoices'!B82:B281,'Payment HIstory'!D86)</f>
        <v>1</v>
      </c>
    </row>
    <row r="87" spans="2:9" ht="14.5" x14ac:dyDescent="0.35">
      <c r="B87" s="59" t="s">
        <v>305</v>
      </c>
      <c r="C87" s="60" t="s">
        <v>39</v>
      </c>
      <c r="D87" s="59" t="s">
        <v>163</v>
      </c>
      <c r="E87" s="60" t="s">
        <v>19</v>
      </c>
      <c r="F87" s="61">
        <v>63942</v>
      </c>
      <c r="G87" s="62"/>
      <c r="H87" s="67">
        <f t="shared" si="1"/>
        <v>45122</v>
      </c>
      <c r="I87" s="69">
        <f>COUNTIFS('Vendor Invoices'!B83:B282,'Payment HIstory'!D87)</f>
        <v>1</v>
      </c>
    </row>
    <row r="88" spans="2:9" ht="14.5" x14ac:dyDescent="0.35">
      <c r="B88" s="59" t="s">
        <v>268</v>
      </c>
      <c r="C88" s="60" t="s">
        <v>40</v>
      </c>
      <c r="D88" s="59" t="s">
        <v>165</v>
      </c>
      <c r="E88" s="60" t="s">
        <v>21</v>
      </c>
      <c r="F88" s="61">
        <v>41292</v>
      </c>
      <c r="G88" s="62"/>
      <c r="H88" s="67">
        <f t="shared" si="1"/>
        <v>45148</v>
      </c>
      <c r="I88" s="69">
        <f>COUNTIFS('Vendor Invoices'!B84:B283,'Payment HIstory'!D88)</f>
        <v>1</v>
      </c>
    </row>
    <row r="89" spans="2:9" ht="14.5" x14ac:dyDescent="0.35">
      <c r="B89" s="59" t="s">
        <v>306</v>
      </c>
      <c r="C89" s="60" t="s">
        <v>34</v>
      </c>
      <c r="D89" s="59" t="s">
        <v>166</v>
      </c>
      <c r="E89" s="60" t="s">
        <v>18</v>
      </c>
      <c r="F89" s="61">
        <v>95228</v>
      </c>
      <c r="G89" s="62"/>
      <c r="H89" s="67">
        <f t="shared" si="1"/>
        <v>45264</v>
      </c>
      <c r="I89" s="69">
        <f>COUNTIFS('Vendor Invoices'!B85:B284,'Payment HIstory'!D89)</f>
        <v>1</v>
      </c>
    </row>
    <row r="90" spans="2:9" ht="14.5" x14ac:dyDescent="0.35">
      <c r="B90" s="59" t="s">
        <v>307</v>
      </c>
      <c r="C90" s="60" t="s">
        <v>39</v>
      </c>
      <c r="D90" s="59" t="s">
        <v>170</v>
      </c>
      <c r="E90" s="60" t="s">
        <v>21</v>
      </c>
      <c r="F90" s="61">
        <v>91405</v>
      </c>
      <c r="G90" s="62"/>
      <c r="H90" s="67">
        <f t="shared" si="1"/>
        <v>45186</v>
      </c>
      <c r="I90" s="69">
        <f>COUNTIFS('Vendor Invoices'!B86:B285,'Payment HIstory'!D90)</f>
        <v>1</v>
      </c>
    </row>
    <row r="91" spans="2:9" ht="14.5" x14ac:dyDescent="0.35">
      <c r="B91" s="59" t="s">
        <v>299</v>
      </c>
      <c r="C91" s="60" t="s">
        <v>38</v>
      </c>
      <c r="D91" s="59" t="s">
        <v>171</v>
      </c>
      <c r="E91" s="60" t="s">
        <v>21</v>
      </c>
      <c r="F91" s="61">
        <v>63917</v>
      </c>
      <c r="G91" s="62"/>
      <c r="H91" s="67">
        <f t="shared" si="1"/>
        <v>45271</v>
      </c>
      <c r="I91" s="69">
        <f>COUNTIFS('Vendor Invoices'!B87:B286,'Payment HIstory'!D91)</f>
        <v>1</v>
      </c>
    </row>
    <row r="92" spans="2:9" ht="14.5" x14ac:dyDescent="0.35">
      <c r="B92" s="59" t="s">
        <v>308</v>
      </c>
      <c r="C92" s="60" t="s">
        <v>39</v>
      </c>
      <c r="D92" s="59" t="s">
        <v>172</v>
      </c>
      <c r="E92" s="60" t="s">
        <v>20</v>
      </c>
      <c r="F92" s="61">
        <v>72084</v>
      </c>
      <c r="G92" s="62"/>
      <c r="H92" s="67">
        <f t="shared" si="1"/>
        <v>45240</v>
      </c>
      <c r="I92" s="69">
        <f>COUNTIFS('Vendor Invoices'!B88:B287,'Payment HIstory'!D92)</f>
        <v>1</v>
      </c>
    </row>
    <row r="93" spans="2:9" ht="14.5" x14ac:dyDescent="0.35">
      <c r="B93" s="59" t="s">
        <v>309</v>
      </c>
      <c r="C93" s="60" t="s">
        <v>40</v>
      </c>
      <c r="D93" s="59" t="s">
        <v>173</v>
      </c>
      <c r="E93" s="60" t="s">
        <v>19</v>
      </c>
      <c r="F93" s="61">
        <v>84050.189599999998</v>
      </c>
      <c r="G93" s="62"/>
      <c r="H93" s="67">
        <f t="shared" si="1"/>
        <v>45064</v>
      </c>
      <c r="I93" s="69">
        <f>COUNTIFS('Vendor Invoices'!B89:B288,'Payment HIstory'!D93)</f>
        <v>1</v>
      </c>
    </row>
    <row r="94" spans="2:9" ht="14.5" x14ac:dyDescent="0.35">
      <c r="B94" s="59" t="s">
        <v>310</v>
      </c>
      <c r="C94" s="60" t="s">
        <v>41</v>
      </c>
      <c r="D94" s="59" t="s">
        <v>174</v>
      </c>
      <c r="E94" s="60" t="s">
        <v>18</v>
      </c>
      <c r="F94" s="61">
        <v>71316</v>
      </c>
      <c r="G94" s="62"/>
      <c r="H94" s="67">
        <f t="shared" si="1"/>
        <v>45223</v>
      </c>
      <c r="I94" s="69">
        <f>COUNTIFS('Vendor Invoices'!B90:B289,'Payment HIstory'!D94)</f>
        <v>1</v>
      </c>
    </row>
    <row r="95" spans="2:9" ht="14.5" x14ac:dyDescent="0.35">
      <c r="B95" s="59" t="s">
        <v>281</v>
      </c>
      <c r="C95" s="60" t="s">
        <v>42</v>
      </c>
      <c r="D95" s="59" t="s">
        <v>176</v>
      </c>
      <c r="E95" s="60" t="s">
        <v>20</v>
      </c>
      <c r="F95" s="61">
        <v>66123</v>
      </c>
      <c r="G95" s="62"/>
      <c r="H95" s="67">
        <f t="shared" si="1"/>
        <v>45139</v>
      </c>
      <c r="I95" s="69">
        <f>COUNTIFS('Vendor Invoices'!B91:B290,'Payment HIstory'!D95)</f>
        <v>1</v>
      </c>
    </row>
    <row r="96" spans="2:9" ht="14.5" x14ac:dyDescent="0.35">
      <c r="B96" s="59" t="s">
        <v>311</v>
      </c>
      <c r="C96" s="60" t="s">
        <v>34</v>
      </c>
      <c r="D96" s="59" t="s">
        <v>177</v>
      </c>
      <c r="E96" s="60" t="s">
        <v>18</v>
      </c>
      <c r="F96" s="61">
        <v>96583.498000000007</v>
      </c>
      <c r="G96" s="62"/>
      <c r="H96" s="67">
        <f t="shared" si="1"/>
        <v>45224</v>
      </c>
      <c r="I96" s="69">
        <f>COUNTIFS('Vendor Invoices'!B92:B291,'Payment HIstory'!D96)</f>
        <v>1</v>
      </c>
    </row>
    <row r="97" spans="2:9" ht="14.5" x14ac:dyDescent="0.35">
      <c r="B97" s="59" t="s">
        <v>312</v>
      </c>
      <c r="C97" s="60" t="s">
        <v>34</v>
      </c>
      <c r="D97" s="59" t="s">
        <v>178</v>
      </c>
      <c r="E97" s="60" t="s">
        <v>18</v>
      </c>
      <c r="F97" s="61">
        <v>60691</v>
      </c>
      <c r="G97" s="62"/>
      <c r="H97" s="67">
        <f t="shared" si="1"/>
        <v>44928</v>
      </c>
      <c r="I97" s="69">
        <f>COUNTIFS('Vendor Invoices'!B93:B292,'Payment HIstory'!D97)</f>
        <v>1</v>
      </c>
    </row>
    <row r="98" spans="2:9" ht="14.5" x14ac:dyDescent="0.35">
      <c r="B98" s="59" t="s">
        <v>313</v>
      </c>
      <c r="C98" s="60" t="s">
        <v>42</v>
      </c>
      <c r="D98" s="59" t="s">
        <v>179</v>
      </c>
      <c r="E98" s="60" t="s">
        <v>18</v>
      </c>
      <c r="F98" s="61">
        <v>106631</v>
      </c>
      <c r="G98" s="62"/>
      <c r="H98" s="67">
        <f t="shared" si="1"/>
        <v>45144</v>
      </c>
      <c r="I98" s="69">
        <f>COUNTIFS('Vendor Invoices'!B94:B293,'Payment HIstory'!D98)</f>
        <v>1</v>
      </c>
    </row>
    <row r="99" spans="2:9" ht="14.5" x14ac:dyDescent="0.35">
      <c r="B99" s="59" t="s">
        <v>314</v>
      </c>
      <c r="C99" s="60" t="s">
        <v>40</v>
      </c>
      <c r="D99" s="59" t="s">
        <v>180</v>
      </c>
      <c r="E99" s="60" t="s">
        <v>20</v>
      </c>
      <c r="F99" s="61">
        <v>41042.85</v>
      </c>
      <c r="G99" s="62"/>
      <c r="H99" s="67">
        <f t="shared" si="1"/>
        <v>44962</v>
      </c>
      <c r="I99" s="69">
        <f>COUNTIFS('Vendor Invoices'!B95:B294,'Payment HIstory'!D99)</f>
        <v>1</v>
      </c>
    </row>
    <row r="100" spans="2:9" ht="14.5" x14ac:dyDescent="0.35">
      <c r="B100" s="59" t="s">
        <v>315</v>
      </c>
      <c r="C100" s="60" t="s">
        <v>39</v>
      </c>
      <c r="D100" s="59" t="s">
        <v>183</v>
      </c>
      <c r="E100" s="60" t="s">
        <v>21</v>
      </c>
      <c r="F100" s="61">
        <v>49769</v>
      </c>
      <c r="G100" s="62"/>
      <c r="H100" s="67">
        <f t="shared" si="1"/>
        <v>44960</v>
      </c>
      <c r="I100" s="69">
        <f>COUNTIFS('Vendor Invoices'!B96:B295,'Payment HIstory'!D100)</f>
        <v>1</v>
      </c>
    </row>
    <row r="101" spans="2:9" ht="14.5" x14ac:dyDescent="0.35">
      <c r="B101" s="59" t="s">
        <v>316</v>
      </c>
      <c r="C101" s="60" t="s">
        <v>40</v>
      </c>
      <c r="D101" s="59" t="s">
        <v>184</v>
      </c>
      <c r="E101" s="60" t="s">
        <v>18</v>
      </c>
      <c r="F101" s="61">
        <v>44814.12</v>
      </c>
      <c r="G101" s="62"/>
      <c r="H101" s="67">
        <f t="shared" si="1"/>
        <v>45006</v>
      </c>
      <c r="I101" s="69">
        <f>COUNTIFS('Vendor Invoices'!B97:B296,'Payment HIstory'!D101)</f>
        <v>1</v>
      </c>
    </row>
    <row r="102" spans="2:9" ht="14.5" x14ac:dyDescent="0.35">
      <c r="B102" s="59" t="s">
        <v>272</v>
      </c>
      <c r="C102" s="60" t="s">
        <v>40</v>
      </c>
      <c r="D102" s="59" t="s">
        <v>185</v>
      </c>
      <c r="E102" s="60" t="s">
        <v>18</v>
      </c>
      <c r="F102" s="61">
        <v>56763</v>
      </c>
      <c r="G102" s="62"/>
      <c r="H102" s="67">
        <f t="shared" si="1"/>
        <v>45071</v>
      </c>
      <c r="I102" s="69">
        <f>COUNTIFS('Vendor Invoices'!B98:B297,'Payment HIstory'!D102)</f>
        <v>1</v>
      </c>
    </row>
    <row r="103" spans="2:9" ht="14.5" x14ac:dyDescent="0.35">
      <c r="B103" s="59" t="s">
        <v>317</v>
      </c>
      <c r="C103" s="60" t="s">
        <v>42</v>
      </c>
      <c r="D103" s="59" t="s">
        <v>186</v>
      </c>
      <c r="E103" s="60" t="s">
        <v>21</v>
      </c>
      <c r="F103" s="61">
        <v>43227</v>
      </c>
      <c r="G103" s="62"/>
      <c r="H103" s="67">
        <f t="shared" si="1"/>
        <v>45262</v>
      </c>
      <c r="I103" s="69">
        <f>COUNTIFS('Vendor Invoices'!B99:B298,'Payment HIstory'!D103)</f>
        <v>1</v>
      </c>
    </row>
    <row r="104" spans="2:9" ht="14.5" x14ac:dyDescent="0.35">
      <c r="B104" s="59" t="s">
        <v>318</v>
      </c>
      <c r="C104" s="60" t="s">
        <v>41</v>
      </c>
      <c r="D104" s="59" t="s">
        <v>187</v>
      </c>
      <c r="E104" s="60" t="s">
        <v>19</v>
      </c>
      <c r="F104" s="61">
        <v>104092.388764</v>
      </c>
      <c r="G104" s="62"/>
      <c r="H104" s="67">
        <f t="shared" si="1"/>
        <v>44982</v>
      </c>
      <c r="I104" s="69">
        <f>COUNTIFS('Vendor Invoices'!B100:B299,'Payment HIstory'!D104)</f>
        <v>1</v>
      </c>
    </row>
    <row r="105" spans="2:9" ht="14.5" x14ac:dyDescent="0.35">
      <c r="B105" s="59" t="s">
        <v>319</v>
      </c>
      <c r="C105" s="60" t="s">
        <v>39</v>
      </c>
      <c r="D105" s="59" t="s">
        <v>189</v>
      </c>
      <c r="E105" s="60" t="s">
        <v>20</v>
      </c>
      <c r="F105" s="61">
        <v>91947</v>
      </c>
      <c r="G105" s="62"/>
      <c r="H105" s="67">
        <f t="shared" si="1"/>
        <v>45205</v>
      </c>
      <c r="I105" s="69">
        <f>COUNTIFS('Vendor Invoices'!B101:B300,'Payment HIstory'!D105)</f>
        <v>1</v>
      </c>
    </row>
    <row r="106" spans="2:9" ht="14.5" x14ac:dyDescent="0.35">
      <c r="B106" s="59" t="s">
        <v>320</v>
      </c>
      <c r="C106" s="60" t="s">
        <v>35</v>
      </c>
      <c r="D106" s="59" t="s">
        <v>190</v>
      </c>
      <c r="E106" s="60" t="s">
        <v>18</v>
      </c>
      <c r="F106" s="61">
        <v>82933</v>
      </c>
      <c r="G106" s="62"/>
      <c r="H106" s="67">
        <f t="shared" si="1"/>
        <v>44970</v>
      </c>
      <c r="I106" s="69">
        <f>COUNTIFS('Vendor Invoices'!B102:B301,'Payment HIstory'!D106)</f>
        <v>1</v>
      </c>
    </row>
    <row r="107" spans="2:9" ht="14.5" x14ac:dyDescent="0.35">
      <c r="B107" s="59" t="s">
        <v>321</v>
      </c>
      <c r="C107" s="60" t="s">
        <v>35</v>
      </c>
      <c r="D107" s="59" t="s">
        <v>191</v>
      </c>
      <c r="E107" s="60" t="s">
        <v>21</v>
      </c>
      <c r="F107" s="61">
        <v>113841</v>
      </c>
      <c r="G107" s="62"/>
      <c r="H107" s="67">
        <f t="shared" si="1"/>
        <v>45218</v>
      </c>
      <c r="I107" s="69">
        <f>COUNTIFS('Vendor Invoices'!B103:B302,'Payment HIstory'!D107)</f>
        <v>1</v>
      </c>
    </row>
    <row r="108" spans="2:9" ht="14.5" x14ac:dyDescent="0.35">
      <c r="B108" s="59" t="s">
        <v>322</v>
      </c>
      <c r="C108" s="60" t="s">
        <v>34</v>
      </c>
      <c r="D108" s="59" t="s">
        <v>192</v>
      </c>
      <c r="E108" s="60" t="s">
        <v>20</v>
      </c>
      <c r="F108" s="61">
        <v>97282</v>
      </c>
      <c r="G108" s="62"/>
      <c r="H108" s="67">
        <f t="shared" si="1"/>
        <v>45265</v>
      </c>
      <c r="I108" s="69">
        <f>COUNTIFS('Vendor Invoices'!B104:B303,'Payment HIstory'!D108)</f>
        <v>1</v>
      </c>
    </row>
    <row r="109" spans="2:9" ht="14.5" x14ac:dyDescent="0.35">
      <c r="B109" s="59" t="s">
        <v>323</v>
      </c>
      <c r="C109" s="60" t="s">
        <v>40</v>
      </c>
      <c r="D109" s="59" t="s">
        <v>194</v>
      </c>
      <c r="E109" s="60" t="s">
        <v>18</v>
      </c>
      <c r="F109" s="61">
        <v>107312</v>
      </c>
      <c r="G109" s="62"/>
      <c r="H109" s="67">
        <f t="shared" si="1"/>
        <v>45005</v>
      </c>
      <c r="I109" s="69">
        <f>COUNTIFS('Vendor Invoices'!B105:B304,'Payment HIstory'!D109)</f>
        <v>1</v>
      </c>
    </row>
    <row r="110" spans="2:9" ht="14.5" x14ac:dyDescent="0.35">
      <c r="B110" s="59" t="s">
        <v>324</v>
      </c>
      <c r="C110" s="60" t="s">
        <v>42</v>
      </c>
      <c r="D110" s="59" t="s">
        <v>195</v>
      </c>
      <c r="E110" s="60" t="s">
        <v>21</v>
      </c>
      <c r="F110" s="61">
        <v>84178</v>
      </c>
      <c r="G110" s="62"/>
      <c r="H110" s="67">
        <f t="shared" si="1"/>
        <v>45248</v>
      </c>
      <c r="I110" s="69">
        <f>COUNTIFS('Vendor Invoices'!B106:B305,'Payment HIstory'!D110)</f>
        <v>1</v>
      </c>
    </row>
    <row r="111" spans="2:9" ht="14.5" x14ac:dyDescent="0.35">
      <c r="B111" s="59" t="s">
        <v>325</v>
      </c>
      <c r="C111" s="60" t="s">
        <v>41</v>
      </c>
      <c r="D111" s="59" t="s">
        <v>196</v>
      </c>
      <c r="E111" s="60" t="s">
        <v>21</v>
      </c>
      <c r="F111" s="61">
        <v>48199</v>
      </c>
      <c r="G111" s="62"/>
      <c r="H111" s="67">
        <f t="shared" si="1"/>
        <v>45099</v>
      </c>
      <c r="I111" s="69">
        <f>COUNTIFS('Vendor Invoices'!B107:B306,'Payment HIstory'!D111)</f>
        <v>1</v>
      </c>
    </row>
    <row r="112" spans="2:9" ht="14.5" x14ac:dyDescent="0.35">
      <c r="B112" s="59" t="s">
        <v>326</v>
      </c>
      <c r="C112" s="60" t="s">
        <v>36</v>
      </c>
      <c r="D112" s="59" t="s">
        <v>198</v>
      </c>
      <c r="E112" s="60" t="s">
        <v>19</v>
      </c>
      <c r="F112" s="61">
        <v>43470</v>
      </c>
      <c r="G112" s="62"/>
      <c r="H112" s="67">
        <f t="shared" si="1"/>
        <v>45211</v>
      </c>
      <c r="I112" s="69">
        <f>COUNTIFS('Vendor Invoices'!B108:B307,'Payment HIstory'!D112)</f>
        <v>1</v>
      </c>
    </row>
    <row r="113" spans="2:9" ht="14.5" x14ac:dyDescent="0.35">
      <c r="B113" s="59" t="s">
        <v>327</v>
      </c>
      <c r="C113" s="60" t="s">
        <v>38</v>
      </c>
      <c r="D113" s="59" t="s">
        <v>199</v>
      </c>
      <c r="E113" s="60" t="s">
        <v>19</v>
      </c>
      <c r="F113" s="61">
        <v>41825</v>
      </c>
      <c r="G113" s="62"/>
      <c r="H113" s="67">
        <f t="shared" si="1"/>
        <v>45098</v>
      </c>
      <c r="I113" s="69">
        <f>COUNTIFS('Vendor Invoices'!B109:B308,'Payment HIstory'!D113)</f>
        <v>1</v>
      </c>
    </row>
    <row r="114" spans="2:9" ht="14.5" x14ac:dyDescent="0.35">
      <c r="B114" s="59" t="s">
        <v>328</v>
      </c>
      <c r="C114" s="60" t="s">
        <v>36</v>
      </c>
      <c r="D114" s="59" t="s">
        <v>201</v>
      </c>
      <c r="E114" s="60" t="s">
        <v>19</v>
      </c>
      <c r="F114" s="61">
        <v>35855</v>
      </c>
      <c r="G114" s="62"/>
      <c r="H114" s="67">
        <f t="shared" si="1"/>
        <v>45241</v>
      </c>
      <c r="I114" s="69">
        <f>COUNTIFS('Vendor Invoices'!B110:B309,'Payment HIstory'!D114)</f>
        <v>1</v>
      </c>
    </row>
    <row r="115" spans="2:9" ht="14.5" x14ac:dyDescent="0.35">
      <c r="B115" s="59" t="s">
        <v>329</v>
      </c>
      <c r="C115" s="60" t="s">
        <v>36</v>
      </c>
      <c r="D115" s="59" t="s">
        <v>202</v>
      </c>
      <c r="E115" s="60" t="s">
        <v>20</v>
      </c>
      <c r="F115" s="61">
        <v>80723.56</v>
      </c>
      <c r="G115" s="62"/>
      <c r="H115" s="67">
        <f t="shared" si="1"/>
        <v>44955</v>
      </c>
      <c r="I115" s="69">
        <f>COUNTIFS('Vendor Invoices'!B111:B310,'Payment HIstory'!D115)</f>
        <v>1</v>
      </c>
    </row>
    <row r="116" spans="2:9" ht="14.5" x14ac:dyDescent="0.35">
      <c r="B116" s="59" t="s">
        <v>330</v>
      </c>
      <c r="C116" s="60" t="s">
        <v>34</v>
      </c>
      <c r="D116" s="59" t="s">
        <v>203</v>
      </c>
      <c r="E116" s="60" t="s">
        <v>20</v>
      </c>
      <c r="F116" s="61">
        <v>104936</v>
      </c>
      <c r="G116" s="62"/>
      <c r="H116" s="67">
        <f t="shared" si="1"/>
        <v>45111</v>
      </c>
      <c r="I116" s="69">
        <f>COUNTIFS('Vendor Invoices'!B112:B311,'Payment HIstory'!D116)</f>
        <v>1</v>
      </c>
    </row>
    <row r="117" spans="2:9" ht="14.5" x14ac:dyDescent="0.35">
      <c r="B117" s="59" t="s">
        <v>322</v>
      </c>
      <c r="C117" s="60" t="s">
        <v>41</v>
      </c>
      <c r="D117" s="59" t="s">
        <v>204</v>
      </c>
      <c r="E117" s="60" t="s">
        <v>20</v>
      </c>
      <c r="F117" s="61">
        <v>72006.180000000008</v>
      </c>
      <c r="G117" s="62"/>
      <c r="H117" s="67">
        <f t="shared" si="1"/>
        <v>45265</v>
      </c>
      <c r="I117" s="69">
        <f>COUNTIFS('Vendor Invoices'!B113:B312,'Payment HIstory'!D117)</f>
        <v>1</v>
      </c>
    </row>
    <row r="118" spans="2:9" ht="14.5" x14ac:dyDescent="0.35">
      <c r="B118" s="59" t="s">
        <v>331</v>
      </c>
      <c r="C118" s="60" t="s">
        <v>39</v>
      </c>
      <c r="D118" s="59" t="s">
        <v>207</v>
      </c>
      <c r="E118" s="60" t="s">
        <v>18</v>
      </c>
      <c r="F118" s="61">
        <v>47371</v>
      </c>
      <c r="G118" s="62"/>
      <c r="H118" s="67">
        <f t="shared" si="1"/>
        <v>45228</v>
      </c>
      <c r="I118" s="69">
        <f>COUNTIFS('Vendor Invoices'!B114:B313,'Payment HIstory'!D118)</f>
        <v>1</v>
      </c>
    </row>
    <row r="119" spans="2:9" ht="14.5" x14ac:dyDescent="0.35">
      <c r="B119" s="59" t="s">
        <v>332</v>
      </c>
      <c r="C119" s="60" t="s">
        <v>41</v>
      </c>
      <c r="D119" s="59" t="s">
        <v>208</v>
      </c>
      <c r="E119" s="60" t="s">
        <v>18</v>
      </c>
      <c r="F119" s="61">
        <v>85271</v>
      </c>
      <c r="G119" s="62"/>
      <c r="H119" s="67">
        <f t="shared" si="1"/>
        <v>45123</v>
      </c>
      <c r="I119" s="69">
        <f>COUNTIFS('Vendor Invoices'!B115:B314,'Payment HIstory'!D119)</f>
        <v>1</v>
      </c>
    </row>
    <row r="120" spans="2:9" ht="14.5" x14ac:dyDescent="0.35">
      <c r="B120" s="59" t="s">
        <v>333</v>
      </c>
      <c r="C120" s="60" t="s">
        <v>33</v>
      </c>
      <c r="D120" s="59" t="s">
        <v>209</v>
      </c>
      <c r="E120" s="60" t="s">
        <v>18</v>
      </c>
      <c r="F120" s="61">
        <v>73333</v>
      </c>
      <c r="G120" s="62"/>
      <c r="H120" s="67">
        <f t="shared" si="1"/>
        <v>45238</v>
      </c>
      <c r="I120" s="69">
        <f>COUNTIFS('Vendor Invoices'!B116:B315,'Payment HIstory'!D120)</f>
        <v>1</v>
      </c>
    </row>
    <row r="121" spans="2:9" ht="14.5" x14ac:dyDescent="0.35">
      <c r="B121" s="59" t="s">
        <v>334</v>
      </c>
      <c r="C121" s="60" t="s">
        <v>33</v>
      </c>
      <c r="D121" s="59" t="s">
        <v>211</v>
      </c>
      <c r="E121" s="60" t="s">
        <v>20</v>
      </c>
      <c r="F121" s="61">
        <v>30429</v>
      </c>
      <c r="G121" s="62"/>
      <c r="H121" s="67">
        <f t="shared" si="1"/>
        <v>45096</v>
      </c>
      <c r="I121" s="69">
        <f>COUNTIFS('Vendor Invoices'!B117:B316,'Payment HIstory'!D121)</f>
        <v>1</v>
      </c>
    </row>
    <row r="122" spans="2:9" ht="14.5" x14ac:dyDescent="0.35">
      <c r="B122" s="59" t="s">
        <v>335</v>
      </c>
      <c r="C122" s="60" t="s">
        <v>39</v>
      </c>
      <c r="D122" s="59" t="s">
        <v>214</v>
      </c>
      <c r="E122" s="60" t="s">
        <v>20</v>
      </c>
      <c r="F122" s="61">
        <v>75402</v>
      </c>
      <c r="G122" s="62"/>
      <c r="H122" s="67">
        <f t="shared" si="1"/>
        <v>45055</v>
      </c>
      <c r="I122" s="69">
        <f>COUNTIFS('Vendor Invoices'!B118:B317,'Payment HIstory'!D122)</f>
        <v>1</v>
      </c>
    </row>
    <row r="123" spans="2:9" ht="14.5" x14ac:dyDescent="0.35">
      <c r="B123" s="59" t="s">
        <v>336</v>
      </c>
      <c r="C123" s="60" t="s">
        <v>36</v>
      </c>
      <c r="D123" s="59" t="s">
        <v>215</v>
      </c>
      <c r="E123" s="60" t="s">
        <v>20</v>
      </c>
      <c r="F123" s="61">
        <v>42956</v>
      </c>
      <c r="G123" s="62"/>
      <c r="H123" s="67">
        <f t="shared" si="1"/>
        <v>45256</v>
      </c>
      <c r="I123" s="69">
        <f>COUNTIFS('Vendor Invoices'!B119:B318,'Payment HIstory'!D123)</f>
        <v>1</v>
      </c>
    </row>
    <row r="124" spans="2:9" ht="14.5" x14ac:dyDescent="0.35">
      <c r="B124" s="59" t="s">
        <v>337</v>
      </c>
      <c r="C124" s="60" t="s">
        <v>41</v>
      </c>
      <c r="D124" s="59" t="s">
        <v>216</v>
      </c>
      <c r="E124" s="60" t="s">
        <v>21</v>
      </c>
      <c r="F124" s="61">
        <v>96337</v>
      </c>
      <c r="G124" s="62"/>
      <c r="H124" s="67">
        <f t="shared" si="1"/>
        <v>45291</v>
      </c>
      <c r="I124" s="69">
        <f>COUNTIFS('Vendor Invoices'!B120:B319,'Payment HIstory'!D124)</f>
        <v>1</v>
      </c>
    </row>
    <row r="125" spans="2:9" ht="14.5" x14ac:dyDescent="0.35">
      <c r="B125" s="59" t="s">
        <v>338</v>
      </c>
      <c r="C125" s="60" t="s">
        <v>38</v>
      </c>
      <c r="D125" s="59" t="s">
        <v>217</v>
      </c>
      <c r="E125" s="60" t="s">
        <v>19</v>
      </c>
      <c r="F125" s="61">
        <v>95808</v>
      </c>
      <c r="G125" s="62"/>
      <c r="H125" s="67">
        <f t="shared" si="1"/>
        <v>45151</v>
      </c>
      <c r="I125" s="69">
        <f>COUNTIFS('Vendor Invoices'!B121:B320,'Payment HIstory'!D125)</f>
        <v>1</v>
      </c>
    </row>
    <row r="126" spans="2:9" ht="14.5" x14ac:dyDescent="0.35">
      <c r="B126" s="59" t="s">
        <v>339</v>
      </c>
      <c r="C126" s="60" t="s">
        <v>35</v>
      </c>
      <c r="D126" s="59" t="s">
        <v>218</v>
      </c>
      <c r="E126" s="60" t="s">
        <v>20</v>
      </c>
      <c r="F126" s="61">
        <v>54044</v>
      </c>
      <c r="G126" s="62"/>
      <c r="H126" s="67">
        <f t="shared" si="1"/>
        <v>44985</v>
      </c>
      <c r="I126" s="69">
        <f>COUNTIFS('Vendor Invoices'!B122:B321,'Payment HIstory'!D126)</f>
        <v>1</v>
      </c>
    </row>
    <row r="127" spans="2:9" ht="14.5" x14ac:dyDescent="0.35">
      <c r="B127" s="59" t="s">
        <v>340</v>
      </c>
      <c r="C127" s="60" t="s">
        <v>35</v>
      </c>
      <c r="D127" s="59" t="s">
        <v>219</v>
      </c>
      <c r="E127" s="60" t="s">
        <v>18</v>
      </c>
      <c r="F127" s="61">
        <v>57335</v>
      </c>
      <c r="G127" s="62"/>
      <c r="H127" s="67">
        <f t="shared" si="1"/>
        <v>44971</v>
      </c>
      <c r="I127" s="69">
        <f>COUNTIFS('Vendor Invoices'!B123:B322,'Payment HIstory'!D127)</f>
        <v>1</v>
      </c>
    </row>
    <row r="128" spans="2:9" ht="14.5" x14ac:dyDescent="0.35">
      <c r="B128" s="59" t="s">
        <v>341</v>
      </c>
      <c r="C128" s="60" t="s">
        <v>35</v>
      </c>
      <c r="D128" s="59" t="s">
        <v>220</v>
      </c>
      <c r="E128" s="60" t="s">
        <v>21</v>
      </c>
      <c r="F128" s="61">
        <v>77756</v>
      </c>
      <c r="G128" s="62"/>
      <c r="H128" s="67">
        <f t="shared" si="1"/>
        <v>45146</v>
      </c>
      <c r="I128" s="69">
        <f>COUNTIFS('Vendor Invoices'!B124:B323,'Payment HIstory'!D128)</f>
        <v>1</v>
      </c>
    </row>
    <row r="129" spans="2:9" ht="14.5" x14ac:dyDescent="0.35">
      <c r="B129" s="59" t="s">
        <v>342</v>
      </c>
      <c r="C129" s="60" t="s">
        <v>37</v>
      </c>
      <c r="D129" s="59" t="s">
        <v>221</v>
      </c>
      <c r="E129" s="60" t="s">
        <v>19</v>
      </c>
      <c r="F129" s="61">
        <v>91266.48000000001</v>
      </c>
      <c r="G129" s="62"/>
      <c r="H129" s="67">
        <f t="shared" si="1"/>
        <v>45188</v>
      </c>
      <c r="I129" s="69">
        <f>COUNTIFS('Vendor Invoices'!B125:B324,'Payment HIstory'!D129)</f>
        <v>1</v>
      </c>
    </row>
    <row r="130" spans="2:9" ht="14.5" x14ac:dyDescent="0.35">
      <c r="B130" s="59" t="s">
        <v>343</v>
      </c>
      <c r="C130" s="60" t="s">
        <v>36</v>
      </c>
      <c r="D130" s="59" t="s">
        <v>222</v>
      </c>
      <c r="E130" s="60" t="s">
        <v>21</v>
      </c>
      <c r="F130" s="61">
        <v>79468.479999999996</v>
      </c>
      <c r="G130" s="62"/>
      <c r="H130" s="67">
        <f t="shared" si="1"/>
        <v>45108</v>
      </c>
      <c r="I130" s="69">
        <f>COUNTIFS('Vendor Invoices'!B126:B325,'Payment HIstory'!D130)</f>
        <v>1</v>
      </c>
    </row>
    <row r="131" spans="2:9" ht="14.5" x14ac:dyDescent="0.35">
      <c r="B131" s="59" t="s">
        <v>344</v>
      </c>
      <c r="C131" s="60" t="s">
        <v>36</v>
      </c>
      <c r="D131" s="59" t="s">
        <v>224</v>
      </c>
      <c r="E131" s="60" t="s">
        <v>21</v>
      </c>
      <c r="F131" s="61">
        <v>43409.61</v>
      </c>
      <c r="G131" s="62"/>
      <c r="H131" s="67">
        <f t="shared" si="1"/>
        <v>45235</v>
      </c>
      <c r="I131" s="69">
        <f>COUNTIFS('Vendor Invoices'!B127:B326,'Payment HIstory'!D131)</f>
        <v>1</v>
      </c>
    </row>
    <row r="132" spans="2:9" ht="14.5" x14ac:dyDescent="0.35">
      <c r="B132" s="59" t="s">
        <v>345</v>
      </c>
      <c r="C132" s="60" t="s">
        <v>39</v>
      </c>
      <c r="D132" s="59" t="s">
        <v>225</v>
      </c>
      <c r="E132" s="60" t="s">
        <v>21</v>
      </c>
      <c r="F132" s="61">
        <v>90741.959999999992</v>
      </c>
      <c r="G132" s="62"/>
      <c r="H132" s="67">
        <f t="shared" si="1"/>
        <v>44927</v>
      </c>
      <c r="I132" s="69">
        <f>COUNTIFS('Vendor Invoices'!B128:B327,'Payment HIstory'!D132)</f>
        <v>1</v>
      </c>
    </row>
    <row r="133" spans="2:9" ht="14.5" x14ac:dyDescent="0.35">
      <c r="B133" s="59" t="s">
        <v>346</v>
      </c>
      <c r="C133" s="60" t="s">
        <v>34</v>
      </c>
      <c r="D133" s="59" t="s">
        <v>227</v>
      </c>
      <c r="E133" s="60" t="s">
        <v>19</v>
      </c>
      <c r="F133" s="61">
        <v>73027</v>
      </c>
      <c r="G133" s="62"/>
      <c r="H133" s="67">
        <f t="shared" si="1"/>
        <v>45065</v>
      </c>
      <c r="I133" s="69">
        <f>COUNTIFS('Vendor Invoices'!B129:B328,'Payment HIstory'!D133)</f>
        <v>1</v>
      </c>
    </row>
    <row r="134" spans="2:9" ht="14.5" x14ac:dyDescent="0.35">
      <c r="B134" s="59" t="s">
        <v>347</v>
      </c>
      <c r="C134" s="60" t="s">
        <v>40</v>
      </c>
      <c r="D134" s="59" t="s">
        <v>228</v>
      </c>
      <c r="E134" s="60" t="s">
        <v>21</v>
      </c>
      <c r="F134" s="61">
        <v>44680</v>
      </c>
      <c r="G134" s="62"/>
      <c r="H134" s="67">
        <f t="shared" si="1"/>
        <v>45270</v>
      </c>
      <c r="I134" s="69">
        <f>COUNTIFS('Vendor Invoices'!B130:B329,'Payment HIstory'!D134)</f>
        <v>1</v>
      </c>
    </row>
    <row r="135" spans="2:9" ht="14.5" x14ac:dyDescent="0.35">
      <c r="B135" s="59" t="s">
        <v>307</v>
      </c>
      <c r="C135" s="60" t="s">
        <v>33</v>
      </c>
      <c r="D135" s="59" t="s">
        <v>229</v>
      </c>
      <c r="E135" s="60" t="s">
        <v>18</v>
      </c>
      <c r="F135" s="61">
        <v>101192.058</v>
      </c>
      <c r="G135" s="62"/>
      <c r="H135" s="67">
        <f t="shared" si="1"/>
        <v>45186</v>
      </c>
      <c r="I135" s="69">
        <f>COUNTIFS('Vendor Invoices'!B131:B330,'Payment HIstory'!D135)</f>
        <v>1</v>
      </c>
    </row>
    <row r="136" spans="2:9" ht="14.5" x14ac:dyDescent="0.35">
      <c r="B136" s="59" t="s">
        <v>348</v>
      </c>
      <c r="C136" s="60" t="s">
        <v>33</v>
      </c>
      <c r="D136" s="59" t="s">
        <v>230</v>
      </c>
      <c r="E136" s="60" t="s">
        <v>18</v>
      </c>
      <c r="F136" s="61">
        <v>79977</v>
      </c>
      <c r="G136" s="62"/>
      <c r="H136" s="67">
        <f t="shared" si="1"/>
        <v>45034</v>
      </c>
      <c r="I136" s="69">
        <f>COUNTIFS('Vendor Invoices'!B132:B331,'Payment HIstory'!D136)</f>
        <v>1</v>
      </c>
    </row>
    <row r="137" spans="2:9" ht="14.5" x14ac:dyDescent="0.35">
      <c r="B137" s="59" t="s">
        <v>349</v>
      </c>
      <c r="C137" s="60" t="s">
        <v>37</v>
      </c>
      <c r="D137" s="59" t="s">
        <v>231</v>
      </c>
      <c r="E137" s="60" t="s">
        <v>21</v>
      </c>
      <c r="F137" s="61">
        <v>98710</v>
      </c>
      <c r="G137" s="62"/>
      <c r="H137" s="67">
        <f t="shared" si="1"/>
        <v>44990</v>
      </c>
      <c r="I137" s="69">
        <f>COUNTIFS('Vendor Invoices'!B133:B332,'Payment HIstory'!D137)</f>
        <v>1</v>
      </c>
    </row>
    <row r="138" spans="2:9" ht="14.5" x14ac:dyDescent="0.35">
      <c r="B138" s="59" t="s">
        <v>350</v>
      </c>
      <c r="C138" s="60" t="s">
        <v>33</v>
      </c>
      <c r="D138" s="59" t="s">
        <v>232</v>
      </c>
      <c r="E138" s="60" t="s">
        <v>18</v>
      </c>
      <c r="F138" s="61">
        <v>37512</v>
      </c>
      <c r="G138" s="62"/>
      <c r="H138" s="67">
        <f t="shared" si="1"/>
        <v>45110</v>
      </c>
      <c r="I138" s="69">
        <f>COUNTIFS('Vendor Invoices'!B134:B333,'Payment HIstory'!D138)</f>
        <v>1</v>
      </c>
    </row>
    <row r="139" spans="2:9" ht="14.5" x14ac:dyDescent="0.35">
      <c r="B139" s="59" t="s">
        <v>301</v>
      </c>
      <c r="C139" s="60" t="s">
        <v>36</v>
      </c>
      <c r="D139" s="59" t="s">
        <v>233</v>
      </c>
      <c r="E139" s="60" t="s">
        <v>20</v>
      </c>
      <c r="F139" s="61">
        <v>106914.66</v>
      </c>
      <c r="G139" s="62"/>
      <c r="H139" s="67">
        <f t="shared" ref="H139:H156" si="2">DATEVALUE(B139)</f>
        <v>45245</v>
      </c>
      <c r="I139" s="69">
        <f>COUNTIFS('Vendor Invoices'!B135:B334,'Payment HIstory'!D139)</f>
        <v>1</v>
      </c>
    </row>
    <row r="140" spans="2:9" ht="14.5" x14ac:dyDescent="0.35">
      <c r="B140" s="59" t="s">
        <v>351</v>
      </c>
      <c r="C140" s="60" t="s">
        <v>34</v>
      </c>
      <c r="D140" s="59" t="s">
        <v>234</v>
      </c>
      <c r="E140" s="60" t="s">
        <v>20</v>
      </c>
      <c r="F140" s="61">
        <v>87498</v>
      </c>
      <c r="G140" s="62"/>
      <c r="H140" s="67">
        <f t="shared" si="2"/>
        <v>45286</v>
      </c>
      <c r="I140" s="69">
        <f>COUNTIFS('Vendor Invoices'!B136:B335,'Payment HIstory'!D140)</f>
        <v>1</v>
      </c>
    </row>
    <row r="141" spans="2:9" ht="14.5" x14ac:dyDescent="0.35">
      <c r="B141" s="59" t="s">
        <v>280</v>
      </c>
      <c r="C141" s="60" t="s">
        <v>41</v>
      </c>
      <c r="D141" s="59" t="s">
        <v>235</v>
      </c>
      <c r="E141" s="60" t="s">
        <v>18</v>
      </c>
      <c r="F141" s="61">
        <v>72783</v>
      </c>
      <c r="G141" s="62"/>
      <c r="H141" s="67">
        <f t="shared" si="2"/>
        <v>44993</v>
      </c>
      <c r="I141" s="69">
        <f>COUNTIFS('Vendor Invoices'!B137:B336,'Payment HIstory'!D141)</f>
        <v>1</v>
      </c>
    </row>
    <row r="142" spans="2:9" ht="14.5" x14ac:dyDescent="0.35">
      <c r="B142" s="59" t="s">
        <v>352</v>
      </c>
      <c r="C142" s="60" t="s">
        <v>35</v>
      </c>
      <c r="D142" s="59" t="s">
        <v>237</v>
      </c>
      <c r="E142" s="60" t="s">
        <v>19</v>
      </c>
      <c r="F142" s="61">
        <v>114295</v>
      </c>
      <c r="G142" s="62"/>
      <c r="H142" s="67">
        <f t="shared" si="2"/>
        <v>44939</v>
      </c>
      <c r="I142" s="69">
        <f>COUNTIFS('Vendor Invoices'!B138:B337,'Payment HIstory'!D142)</f>
        <v>1</v>
      </c>
    </row>
    <row r="143" spans="2:9" ht="14.5" x14ac:dyDescent="0.35">
      <c r="B143" s="59" t="s">
        <v>353</v>
      </c>
      <c r="C143" s="60" t="s">
        <v>38</v>
      </c>
      <c r="D143" s="59" t="s">
        <v>238</v>
      </c>
      <c r="E143" s="60" t="s">
        <v>20</v>
      </c>
      <c r="F143" s="61">
        <v>89808</v>
      </c>
      <c r="G143" s="62"/>
      <c r="H143" s="67">
        <f t="shared" si="2"/>
        <v>45089</v>
      </c>
      <c r="I143" s="69">
        <f>COUNTIFS('Vendor Invoices'!B139:B338,'Payment HIstory'!D143)</f>
        <v>1</v>
      </c>
    </row>
    <row r="144" spans="2:9" ht="14.5" x14ac:dyDescent="0.35">
      <c r="B144" s="59" t="s">
        <v>354</v>
      </c>
      <c r="C144" s="60" t="s">
        <v>35</v>
      </c>
      <c r="D144" s="59" t="s">
        <v>239</v>
      </c>
      <c r="E144" s="60" t="s">
        <v>20</v>
      </c>
      <c r="F144" s="61">
        <v>37684</v>
      </c>
      <c r="G144" s="62"/>
      <c r="H144" s="67">
        <f t="shared" si="2"/>
        <v>45252</v>
      </c>
      <c r="I144" s="69">
        <f>COUNTIFS('Vendor Invoices'!B140:B339,'Payment HIstory'!D144)</f>
        <v>1</v>
      </c>
    </row>
    <row r="145" spans="2:9" ht="14.5" x14ac:dyDescent="0.35">
      <c r="B145" s="59" t="s">
        <v>302</v>
      </c>
      <c r="C145" s="60" t="s">
        <v>33</v>
      </c>
      <c r="D145" s="59" t="s">
        <v>240</v>
      </c>
      <c r="E145" s="60" t="s">
        <v>18</v>
      </c>
      <c r="F145" s="61">
        <v>66934.592999999993</v>
      </c>
      <c r="G145" s="62"/>
      <c r="H145" s="67">
        <f t="shared" si="2"/>
        <v>45126</v>
      </c>
      <c r="I145" s="69">
        <f>COUNTIFS('Vendor Invoices'!B141:B340,'Payment HIstory'!D145)</f>
        <v>1</v>
      </c>
    </row>
    <row r="146" spans="2:9" ht="14.5" x14ac:dyDescent="0.35">
      <c r="B146" s="59" t="s">
        <v>355</v>
      </c>
      <c r="C146" s="60" t="s">
        <v>39</v>
      </c>
      <c r="D146" s="59" t="s">
        <v>242</v>
      </c>
      <c r="E146" s="60" t="s">
        <v>21</v>
      </c>
      <c r="F146" s="61">
        <v>97860.400000000009</v>
      </c>
      <c r="G146" s="62"/>
      <c r="H146" s="67">
        <f t="shared" si="2"/>
        <v>45164</v>
      </c>
      <c r="I146" s="69">
        <f>COUNTIFS('Vendor Invoices'!B142:B341,'Payment HIstory'!D146)</f>
        <v>1</v>
      </c>
    </row>
    <row r="147" spans="2:9" ht="14.5" x14ac:dyDescent="0.35">
      <c r="B147" s="59" t="s">
        <v>356</v>
      </c>
      <c r="C147" s="60" t="s">
        <v>38</v>
      </c>
      <c r="D147" s="59" t="s">
        <v>244</v>
      </c>
      <c r="E147" s="60" t="s">
        <v>19</v>
      </c>
      <c r="F147" s="61">
        <v>74834</v>
      </c>
      <c r="G147" s="62"/>
      <c r="H147" s="67">
        <f t="shared" si="2"/>
        <v>44947</v>
      </c>
      <c r="I147" s="69">
        <f>COUNTIFS('Vendor Invoices'!B143:B342,'Payment HIstory'!D147)</f>
        <v>1</v>
      </c>
    </row>
    <row r="148" spans="2:9" ht="14.5" x14ac:dyDescent="0.35">
      <c r="B148" s="59" t="s">
        <v>356</v>
      </c>
      <c r="C148" s="60" t="s">
        <v>38</v>
      </c>
      <c r="D148" s="59" t="s">
        <v>245</v>
      </c>
      <c r="E148" s="60" t="s">
        <v>19</v>
      </c>
      <c r="F148" s="61">
        <v>38142</v>
      </c>
      <c r="G148" s="62"/>
      <c r="H148" s="67">
        <f t="shared" si="2"/>
        <v>44947</v>
      </c>
      <c r="I148" s="69">
        <f>COUNTIFS('Vendor Invoices'!B144:B343,'Payment HIstory'!D148)</f>
        <v>1</v>
      </c>
    </row>
    <row r="149" spans="2:9" ht="14.5" x14ac:dyDescent="0.35">
      <c r="B149" s="59" t="s">
        <v>357</v>
      </c>
      <c r="C149" s="60" t="s">
        <v>42</v>
      </c>
      <c r="D149" s="59" t="s">
        <v>246</v>
      </c>
      <c r="E149" s="60" t="s">
        <v>18</v>
      </c>
      <c r="F149" s="61">
        <v>104102</v>
      </c>
      <c r="G149" s="62"/>
      <c r="H149" s="67">
        <f t="shared" si="2"/>
        <v>45085</v>
      </c>
      <c r="I149" s="69">
        <f>COUNTIFS('Vendor Invoices'!B145:B344,'Payment HIstory'!D149)</f>
        <v>1</v>
      </c>
    </row>
    <row r="150" spans="2:9" ht="14.5" x14ac:dyDescent="0.35">
      <c r="B150" s="59" t="s">
        <v>349</v>
      </c>
      <c r="C150" s="60" t="s">
        <v>34</v>
      </c>
      <c r="D150" s="59" t="s">
        <v>248</v>
      </c>
      <c r="E150" s="60" t="s">
        <v>21</v>
      </c>
      <c r="F150" s="61">
        <v>54227</v>
      </c>
      <c r="G150" s="62"/>
      <c r="H150" s="67">
        <f t="shared" si="2"/>
        <v>44990</v>
      </c>
      <c r="I150" s="69">
        <f>COUNTIFS('Vendor Invoices'!B146:B345,'Payment HIstory'!D150)</f>
        <v>1</v>
      </c>
    </row>
    <row r="151" spans="2:9" ht="14.5" x14ac:dyDescent="0.35">
      <c r="B151" s="59" t="s">
        <v>358</v>
      </c>
      <c r="C151" s="60" t="s">
        <v>38</v>
      </c>
      <c r="D151" s="59" t="s">
        <v>249</v>
      </c>
      <c r="E151" s="60" t="s">
        <v>21</v>
      </c>
      <c r="F151" s="61">
        <v>50972.007599999997</v>
      </c>
      <c r="G151" s="62"/>
      <c r="H151" s="67">
        <f t="shared" si="2"/>
        <v>45025</v>
      </c>
      <c r="I151" s="69">
        <f>COUNTIFS('Vendor Invoices'!B147:B346,'Payment HIstory'!D151)</f>
        <v>1</v>
      </c>
    </row>
    <row r="152" spans="2:9" ht="14.5" x14ac:dyDescent="0.35">
      <c r="B152" s="59" t="s">
        <v>359</v>
      </c>
      <c r="C152" s="60" t="s">
        <v>37</v>
      </c>
      <c r="D152" s="59" t="s">
        <v>250</v>
      </c>
      <c r="E152" s="60" t="s">
        <v>20</v>
      </c>
      <c r="F152" s="61">
        <v>53376</v>
      </c>
      <c r="G152" s="62"/>
      <c r="H152" s="67">
        <f t="shared" si="2"/>
        <v>45196</v>
      </c>
      <c r="I152" s="69">
        <f>COUNTIFS('Vendor Invoices'!B148:B347,'Payment HIstory'!D152)</f>
        <v>1</v>
      </c>
    </row>
    <row r="153" spans="2:9" ht="14.5" x14ac:dyDescent="0.35">
      <c r="B153" s="59" t="s">
        <v>360</v>
      </c>
      <c r="C153" s="60" t="s">
        <v>41</v>
      </c>
      <c r="D153" s="59" t="s">
        <v>252</v>
      </c>
      <c r="E153" s="60" t="s">
        <v>21</v>
      </c>
      <c r="F153" s="61">
        <v>99061</v>
      </c>
      <c r="G153" s="62"/>
      <c r="H153" s="67">
        <f t="shared" si="2"/>
        <v>45258</v>
      </c>
      <c r="I153" s="69">
        <f>COUNTIFS('Vendor Invoices'!B149:B348,'Payment HIstory'!D153)</f>
        <v>1</v>
      </c>
    </row>
    <row r="154" spans="2:9" ht="14.5" x14ac:dyDescent="0.35">
      <c r="B154" s="59" t="s">
        <v>361</v>
      </c>
      <c r="C154" s="60" t="s">
        <v>41</v>
      </c>
      <c r="D154" s="59" t="s">
        <v>253</v>
      </c>
      <c r="E154" s="60" t="s">
        <v>18</v>
      </c>
      <c r="F154" s="61">
        <v>109206</v>
      </c>
      <c r="G154" s="62"/>
      <c r="H154" s="67">
        <f t="shared" si="2"/>
        <v>45266</v>
      </c>
      <c r="I154" s="69">
        <f>COUNTIFS('Vendor Invoices'!B150:B349,'Payment HIstory'!D154)</f>
        <v>1</v>
      </c>
    </row>
    <row r="155" spans="2:9" ht="14.5" x14ac:dyDescent="0.35">
      <c r="B155" s="59" t="s">
        <v>324</v>
      </c>
      <c r="C155" s="60" t="s">
        <v>42</v>
      </c>
      <c r="D155" s="59" t="s">
        <v>254</v>
      </c>
      <c r="E155" s="60" t="s">
        <v>19</v>
      </c>
      <c r="F155" s="61">
        <v>81426</v>
      </c>
      <c r="G155" s="62"/>
      <c r="H155" s="67">
        <f t="shared" si="2"/>
        <v>45248</v>
      </c>
      <c r="I155" s="69">
        <f>COUNTIFS('Vendor Invoices'!B151:B350,'Payment HIstory'!D155)</f>
        <v>1</v>
      </c>
    </row>
    <row r="156" spans="2:9" ht="14.5" x14ac:dyDescent="0.35">
      <c r="B156" s="59" t="s">
        <v>306</v>
      </c>
      <c r="C156" s="60" t="s">
        <v>39</v>
      </c>
      <c r="D156" s="59" t="s">
        <v>255</v>
      </c>
      <c r="E156" s="60" t="s">
        <v>19</v>
      </c>
      <c r="F156" s="61">
        <v>32558</v>
      </c>
      <c r="G156" s="62"/>
      <c r="H156" s="67">
        <f t="shared" si="2"/>
        <v>45264</v>
      </c>
      <c r="I156" s="69">
        <f>COUNTIFS('Vendor Invoices'!B152:B351,'Payment HIstory'!D156)</f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77FE-7A44-47C3-8D56-3B6B71AE065E}">
  <sheetPr>
    <tabColor theme="9" tint="-0.499984740745262"/>
  </sheetPr>
  <dimension ref="A1:H33"/>
  <sheetViews>
    <sheetView showGridLines="0" zoomScale="70" zoomScaleNormal="70" workbookViewId="0">
      <selection activeCell="H5" sqref="H5"/>
    </sheetView>
  </sheetViews>
  <sheetFormatPr defaultColWidth="9.1796875" defaultRowHeight="12.5" x14ac:dyDescent="0.25"/>
  <cols>
    <col min="1" max="1" width="1.7265625" style="1" customWidth="1"/>
    <col min="2" max="2" width="16.54296875" style="1" bestFit="1" customWidth="1"/>
    <col min="3" max="3" width="12.26953125" style="1" bestFit="1" customWidth="1"/>
    <col min="4" max="4" width="38.81640625" style="1" bestFit="1" customWidth="1"/>
    <col min="5" max="5" width="14.26953125" style="1" bestFit="1" customWidth="1"/>
    <col min="6" max="6" width="20" style="1" bestFit="1" customWidth="1"/>
    <col min="7" max="7" width="47.7265625" style="1" bestFit="1" customWidth="1"/>
    <col min="8" max="16384" width="9.1796875" style="1"/>
  </cols>
  <sheetData>
    <row r="1" spans="1:8" s="3" customFormat="1" ht="25" x14ac:dyDescent="0.5">
      <c r="A1" s="3" t="s">
        <v>5</v>
      </c>
    </row>
    <row r="2" spans="1:8" ht="5.15" customHeight="1" x14ac:dyDescent="0.25"/>
    <row r="3" spans="1:8" ht="13.5" thickBot="1" x14ac:dyDescent="0.35">
      <c r="B3" s="63" t="s">
        <v>25</v>
      </c>
      <c r="C3" s="63" t="s">
        <v>362</v>
      </c>
      <c r="D3" s="63" t="s">
        <v>26</v>
      </c>
      <c r="E3" s="64" t="s">
        <v>27</v>
      </c>
      <c r="F3" s="64" t="s">
        <v>363</v>
      </c>
      <c r="G3" s="64" t="s">
        <v>364</v>
      </c>
    </row>
    <row r="4" spans="1:8" x14ac:dyDescent="0.25">
      <c r="B4" s="1" t="s">
        <v>33</v>
      </c>
      <c r="C4" s="1" t="s">
        <v>365</v>
      </c>
      <c r="D4" s="1" t="s">
        <v>366</v>
      </c>
      <c r="E4" s="65" t="s">
        <v>367</v>
      </c>
      <c r="F4" s="66">
        <v>6.9999999999999999E-4</v>
      </c>
      <c r="G4" s="1" t="s">
        <v>368</v>
      </c>
      <c r="H4" s="1">
        <f>_xlfn.XLOOKUP(B4,$B$4:$B$33,$F$4:$F$33)</f>
        <v>6.9999999999999999E-4</v>
      </c>
    </row>
    <row r="5" spans="1:8" x14ac:dyDescent="0.25">
      <c r="B5" s="1" t="s">
        <v>34</v>
      </c>
      <c r="C5" s="1" t="s">
        <v>369</v>
      </c>
      <c r="D5" s="1" t="s">
        <v>370</v>
      </c>
      <c r="E5" s="65" t="s">
        <v>371</v>
      </c>
      <c r="F5" s="66">
        <v>0.02</v>
      </c>
      <c r="G5" s="1" t="s">
        <v>368</v>
      </c>
      <c r="H5" s="1">
        <f t="shared" ref="H5:H33" si="0">_xlfn.XLOOKUP(B5,$B$4:$B$33,$F$4:$F$33)</f>
        <v>0.02</v>
      </c>
    </row>
    <row r="6" spans="1:8" x14ac:dyDescent="0.25">
      <c r="B6" s="1" t="s">
        <v>35</v>
      </c>
      <c r="C6" s="1" t="s">
        <v>365</v>
      </c>
      <c r="D6" s="1" t="s">
        <v>372</v>
      </c>
      <c r="E6" s="65" t="s">
        <v>373</v>
      </c>
      <c r="F6" s="66">
        <v>4.5000000000000004E-4</v>
      </c>
      <c r="G6" s="1" t="s">
        <v>368</v>
      </c>
      <c r="H6" s="1">
        <f t="shared" si="0"/>
        <v>4.5000000000000004E-4</v>
      </c>
    </row>
    <row r="7" spans="1:8" x14ac:dyDescent="0.25">
      <c r="B7" s="1" t="s">
        <v>36</v>
      </c>
      <c r="C7" s="1" t="s">
        <v>369</v>
      </c>
      <c r="D7" s="1" t="s">
        <v>374</v>
      </c>
      <c r="E7" s="65" t="s">
        <v>375</v>
      </c>
      <c r="F7" s="66">
        <v>8.0000000000000004E-4</v>
      </c>
      <c r="G7" s="1" t="s">
        <v>368</v>
      </c>
      <c r="H7" s="1">
        <f t="shared" si="0"/>
        <v>8.0000000000000004E-4</v>
      </c>
    </row>
    <row r="8" spans="1:8" x14ac:dyDescent="0.25">
      <c r="B8" s="1" t="s">
        <v>37</v>
      </c>
      <c r="C8" s="1" t="s">
        <v>376</v>
      </c>
      <c r="D8" s="1" t="s">
        <v>377</v>
      </c>
      <c r="E8" s="65" t="s">
        <v>378</v>
      </c>
      <c r="F8" s="66">
        <v>5.4999999999999992E-4</v>
      </c>
      <c r="G8" s="1" t="s">
        <v>368</v>
      </c>
      <c r="H8" s="1">
        <f t="shared" si="0"/>
        <v>5.4999999999999992E-4</v>
      </c>
    </row>
    <row r="9" spans="1:8" x14ac:dyDescent="0.25">
      <c r="B9" s="1" t="s">
        <v>38</v>
      </c>
      <c r="C9" s="1" t="s">
        <v>365</v>
      </c>
      <c r="D9" s="1" t="s">
        <v>379</v>
      </c>
      <c r="E9" s="65" t="s">
        <v>380</v>
      </c>
      <c r="F9" s="66">
        <v>5.0000000000000002E-5</v>
      </c>
      <c r="G9" s="1" t="s">
        <v>368</v>
      </c>
      <c r="H9" s="1">
        <f t="shared" si="0"/>
        <v>5.0000000000000002E-5</v>
      </c>
    </row>
    <row r="10" spans="1:8" x14ac:dyDescent="0.25">
      <c r="B10" s="1" t="s">
        <v>39</v>
      </c>
      <c r="C10" s="1" t="s">
        <v>381</v>
      </c>
      <c r="D10" s="1" t="s">
        <v>382</v>
      </c>
      <c r="E10" s="65" t="s">
        <v>383</v>
      </c>
      <c r="F10" s="66">
        <v>5.4999999999999992E-4</v>
      </c>
      <c r="G10" s="1" t="s">
        <v>368</v>
      </c>
      <c r="H10" s="1">
        <f t="shared" si="0"/>
        <v>5.4999999999999992E-4</v>
      </c>
    </row>
    <row r="11" spans="1:8" x14ac:dyDescent="0.25">
      <c r="B11" s="1" t="s">
        <v>40</v>
      </c>
      <c r="C11" s="1" t="s">
        <v>381</v>
      </c>
      <c r="D11" s="1" t="s">
        <v>384</v>
      </c>
      <c r="E11" s="65" t="s">
        <v>385</v>
      </c>
      <c r="F11" s="66">
        <v>4.0000000000000002E-4</v>
      </c>
      <c r="G11" s="1" t="s">
        <v>368</v>
      </c>
      <c r="H11" s="1">
        <f t="shared" si="0"/>
        <v>4.0000000000000002E-4</v>
      </c>
    </row>
    <row r="12" spans="1:8" x14ac:dyDescent="0.25">
      <c r="B12" s="1" t="s">
        <v>41</v>
      </c>
      <c r="C12" s="1" t="s">
        <v>376</v>
      </c>
      <c r="D12" s="1" t="s">
        <v>386</v>
      </c>
      <c r="E12" s="65" t="s">
        <v>387</v>
      </c>
      <c r="F12" s="66">
        <v>5.4999999999999992E-4</v>
      </c>
      <c r="G12" s="1" t="s">
        <v>368</v>
      </c>
      <c r="H12" s="1">
        <f t="shared" si="0"/>
        <v>5.4999999999999992E-4</v>
      </c>
    </row>
    <row r="13" spans="1:8" x14ac:dyDescent="0.25">
      <c r="B13" s="1" t="s">
        <v>42</v>
      </c>
      <c r="C13" s="1" t="s">
        <v>365</v>
      </c>
      <c r="D13" s="1" t="s">
        <v>388</v>
      </c>
      <c r="E13" s="65" t="s">
        <v>389</v>
      </c>
      <c r="F13" s="66">
        <v>3.0000000000000003E-4</v>
      </c>
      <c r="G13" s="1" t="s">
        <v>368</v>
      </c>
      <c r="H13" s="1">
        <f t="shared" si="0"/>
        <v>3.0000000000000003E-4</v>
      </c>
    </row>
    <row r="14" spans="1:8" x14ac:dyDescent="0.25">
      <c r="B14" s="1" t="s">
        <v>390</v>
      </c>
      <c r="C14" s="1" t="s">
        <v>381</v>
      </c>
      <c r="D14" s="1" t="s">
        <v>391</v>
      </c>
      <c r="E14" s="65" t="s">
        <v>392</v>
      </c>
      <c r="F14" s="66">
        <v>3.5E-4</v>
      </c>
      <c r="G14" s="1" t="s">
        <v>368</v>
      </c>
      <c r="H14" s="1">
        <f t="shared" si="0"/>
        <v>3.5E-4</v>
      </c>
    </row>
    <row r="15" spans="1:8" x14ac:dyDescent="0.25">
      <c r="B15" s="1" t="s">
        <v>393</v>
      </c>
      <c r="C15" s="1" t="s">
        <v>376</v>
      </c>
      <c r="D15" s="1" t="s">
        <v>394</v>
      </c>
      <c r="E15" s="65" t="s">
        <v>395</v>
      </c>
      <c r="F15" s="66">
        <v>4.5000000000000004E-4</v>
      </c>
      <c r="G15" s="1" t="s">
        <v>368</v>
      </c>
      <c r="H15" s="1">
        <f t="shared" si="0"/>
        <v>4.5000000000000004E-4</v>
      </c>
    </row>
    <row r="16" spans="1:8" x14ac:dyDescent="0.25">
      <c r="B16" s="1" t="s">
        <v>396</v>
      </c>
      <c r="C16" s="1" t="s">
        <v>376</v>
      </c>
      <c r="D16" s="1" t="s">
        <v>397</v>
      </c>
      <c r="E16" s="65" t="s">
        <v>398</v>
      </c>
      <c r="F16" s="66">
        <v>1E-4</v>
      </c>
      <c r="G16" s="1" t="s">
        <v>368</v>
      </c>
      <c r="H16" s="1">
        <f t="shared" si="0"/>
        <v>1E-4</v>
      </c>
    </row>
    <row r="17" spans="2:8" x14ac:dyDescent="0.25">
      <c r="B17" s="1" t="s">
        <v>399</v>
      </c>
      <c r="C17" s="1" t="s">
        <v>376</v>
      </c>
      <c r="D17" s="1" t="s">
        <v>400</v>
      </c>
      <c r="E17" s="65" t="s">
        <v>401</v>
      </c>
      <c r="F17" s="66">
        <v>9.5E-4</v>
      </c>
      <c r="G17" s="1" t="s">
        <v>368</v>
      </c>
      <c r="H17" s="1">
        <f t="shared" si="0"/>
        <v>9.5E-4</v>
      </c>
    </row>
    <row r="18" spans="2:8" x14ac:dyDescent="0.25">
      <c r="B18" s="1" t="s">
        <v>402</v>
      </c>
      <c r="C18" s="1" t="s">
        <v>376</v>
      </c>
      <c r="D18" s="1" t="s">
        <v>403</v>
      </c>
      <c r="E18" s="65" t="s">
        <v>404</v>
      </c>
      <c r="F18" s="66">
        <v>9.5E-4</v>
      </c>
      <c r="G18" s="1" t="s">
        <v>368</v>
      </c>
      <c r="H18" s="1">
        <f t="shared" si="0"/>
        <v>9.5E-4</v>
      </c>
    </row>
    <row r="19" spans="2:8" x14ac:dyDescent="0.25">
      <c r="B19" s="1" t="s">
        <v>405</v>
      </c>
      <c r="C19" s="1" t="s">
        <v>376</v>
      </c>
      <c r="D19" s="1" t="s">
        <v>406</v>
      </c>
      <c r="E19" s="65" t="s">
        <v>407</v>
      </c>
      <c r="F19" s="66">
        <v>5.0000000000000002E-5</v>
      </c>
      <c r="G19" s="1" t="s">
        <v>368</v>
      </c>
      <c r="H19" s="1">
        <f t="shared" si="0"/>
        <v>5.0000000000000002E-5</v>
      </c>
    </row>
    <row r="20" spans="2:8" x14ac:dyDescent="0.25">
      <c r="B20" s="1" t="s">
        <v>408</v>
      </c>
      <c r="C20" s="1" t="s">
        <v>369</v>
      </c>
      <c r="D20" s="1" t="s">
        <v>409</v>
      </c>
      <c r="E20" s="65" t="s">
        <v>410</v>
      </c>
      <c r="F20" s="66">
        <v>5.0000000000000002E-5</v>
      </c>
      <c r="G20" s="1" t="s">
        <v>368</v>
      </c>
      <c r="H20" s="1">
        <f t="shared" si="0"/>
        <v>5.0000000000000002E-5</v>
      </c>
    </row>
    <row r="21" spans="2:8" x14ac:dyDescent="0.25">
      <c r="B21" s="1" t="s">
        <v>411</v>
      </c>
      <c r="C21" s="1" t="s">
        <v>376</v>
      </c>
      <c r="D21" s="1" t="s">
        <v>412</v>
      </c>
      <c r="E21" s="65" t="s">
        <v>413</v>
      </c>
      <c r="F21" s="66">
        <v>9.5E-4</v>
      </c>
      <c r="G21" s="1" t="s">
        <v>368</v>
      </c>
      <c r="H21" s="1">
        <f t="shared" si="0"/>
        <v>9.5E-4</v>
      </c>
    </row>
    <row r="22" spans="2:8" x14ac:dyDescent="0.25">
      <c r="B22" s="1" t="s">
        <v>414</v>
      </c>
      <c r="C22" s="1" t="s">
        <v>369</v>
      </c>
      <c r="D22" s="1" t="s">
        <v>415</v>
      </c>
      <c r="E22" s="65" t="s">
        <v>416</v>
      </c>
      <c r="F22" s="66">
        <v>4.5000000000000004E-4</v>
      </c>
      <c r="G22" s="1" t="s">
        <v>368</v>
      </c>
      <c r="H22" s="1">
        <f t="shared" si="0"/>
        <v>4.5000000000000004E-4</v>
      </c>
    </row>
    <row r="23" spans="2:8" x14ac:dyDescent="0.25">
      <c r="B23" s="1" t="s">
        <v>417</v>
      </c>
      <c r="C23" s="1" t="s">
        <v>369</v>
      </c>
      <c r="D23" s="1" t="s">
        <v>418</v>
      </c>
      <c r="E23" s="65" t="s">
        <v>419</v>
      </c>
      <c r="F23" s="66">
        <v>4.0000000000000002E-4</v>
      </c>
      <c r="G23" s="1" t="s">
        <v>368</v>
      </c>
      <c r="H23" s="1">
        <f t="shared" si="0"/>
        <v>4.0000000000000002E-4</v>
      </c>
    </row>
    <row r="24" spans="2:8" x14ac:dyDescent="0.25">
      <c r="B24" s="1" t="s">
        <v>420</v>
      </c>
      <c r="C24" s="1" t="s">
        <v>381</v>
      </c>
      <c r="D24" s="1" t="s">
        <v>421</v>
      </c>
      <c r="E24" s="65" t="s">
        <v>422</v>
      </c>
      <c r="F24" s="66">
        <v>6.0000000000000006E-4</v>
      </c>
      <c r="G24" s="1" t="s">
        <v>368</v>
      </c>
      <c r="H24" s="1">
        <f t="shared" si="0"/>
        <v>6.0000000000000006E-4</v>
      </c>
    </row>
    <row r="25" spans="2:8" x14ac:dyDescent="0.25">
      <c r="B25" s="1" t="s">
        <v>423</v>
      </c>
      <c r="C25" s="1" t="s">
        <v>369</v>
      </c>
      <c r="D25" s="1" t="s">
        <v>424</v>
      </c>
      <c r="E25" s="65" t="s">
        <v>425</v>
      </c>
      <c r="F25" s="66">
        <v>8.5000000000000006E-4</v>
      </c>
      <c r="G25" s="1" t="s">
        <v>368</v>
      </c>
      <c r="H25" s="1">
        <f t="shared" si="0"/>
        <v>8.5000000000000006E-4</v>
      </c>
    </row>
    <row r="26" spans="2:8" x14ac:dyDescent="0.25">
      <c r="B26" s="1" t="s">
        <v>426</v>
      </c>
      <c r="C26" s="1" t="s">
        <v>376</v>
      </c>
      <c r="D26" s="1" t="s">
        <v>427</v>
      </c>
      <c r="E26" s="65" t="s">
        <v>428</v>
      </c>
      <c r="F26" s="66">
        <v>5.0000000000000002E-5</v>
      </c>
      <c r="G26" s="1" t="s">
        <v>368</v>
      </c>
      <c r="H26" s="1">
        <f t="shared" si="0"/>
        <v>5.0000000000000002E-5</v>
      </c>
    </row>
    <row r="27" spans="2:8" x14ac:dyDescent="0.25">
      <c r="B27" s="1" t="s">
        <v>429</v>
      </c>
      <c r="C27" s="1" t="s">
        <v>365</v>
      </c>
      <c r="D27" s="1" t="s">
        <v>430</v>
      </c>
      <c r="E27" s="65" t="s">
        <v>431</v>
      </c>
      <c r="F27" s="66">
        <v>8.5000000000000006E-4</v>
      </c>
      <c r="G27" s="1" t="s">
        <v>368</v>
      </c>
      <c r="H27" s="1">
        <f t="shared" si="0"/>
        <v>8.5000000000000006E-4</v>
      </c>
    </row>
    <row r="28" spans="2:8" x14ac:dyDescent="0.25">
      <c r="B28" s="1" t="s">
        <v>432</v>
      </c>
      <c r="C28" s="1" t="s">
        <v>381</v>
      </c>
      <c r="D28" s="1" t="s">
        <v>433</v>
      </c>
      <c r="E28" s="65" t="s">
        <v>434</v>
      </c>
      <c r="F28" s="66">
        <v>3.5E-4</v>
      </c>
      <c r="G28" s="1" t="s">
        <v>368</v>
      </c>
      <c r="H28" s="1">
        <f t="shared" si="0"/>
        <v>3.5E-4</v>
      </c>
    </row>
    <row r="29" spans="2:8" x14ac:dyDescent="0.25">
      <c r="B29" s="1" t="s">
        <v>435</v>
      </c>
      <c r="C29" s="1" t="s">
        <v>381</v>
      </c>
      <c r="D29" s="1" t="s">
        <v>436</v>
      </c>
      <c r="E29" s="65" t="s">
        <v>437</v>
      </c>
      <c r="F29" s="66">
        <v>2.5000000000000001E-4</v>
      </c>
      <c r="G29" s="1" t="s">
        <v>368</v>
      </c>
      <c r="H29" s="1">
        <f t="shared" si="0"/>
        <v>2.5000000000000001E-4</v>
      </c>
    </row>
    <row r="30" spans="2:8" x14ac:dyDescent="0.25">
      <c r="B30" s="1" t="s">
        <v>438</v>
      </c>
      <c r="C30" s="1" t="s">
        <v>365</v>
      </c>
      <c r="D30" s="1" t="s">
        <v>439</v>
      </c>
      <c r="E30" s="65" t="s">
        <v>440</v>
      </c>
      <c r="F30" s="66">
        <v>2.0000000000000001E-4</v>
      </c>
      <c r="G30" s="1" t="s">
        <v>368</v>
      </c>
      <c r="H30" s="1">
        <f t="shared" si="0"/>
        <v>2.0000000000000001E-4</v>
      </c>
    </row>
    <row r="31" spans="2:8" x14ac:dyDescent="0.25">
      <c r="B31" s="1" t="s">
        <v>441</v>
      </c>
      <c r="C31" s="1" t="s">
        <v>365</v>
      </c>
      <c r="D31" s="1" t="s">
        <v>442</v>
      </c>
      <c r="E31" s="65" t="s">
        <v>443</v>
      </c>
      <c r="F31" s="66">
        <v>4.0000000000000002E-4</v>
      </c>
      <c r="G31" s="1" t="s">
        <v>368</v>
      </c>
      <c r="H31" s="1">
        <f t="shared" si="0"/>
        <v>4.0000000000000002E-4</v>
      </c>
    </row>
    <row r="32" spans="2:8" x14ac:dyDescent="0.25">
      <c r="B32" s="1" t="s">
        <v>444</v>
      </c>
      <c r="C32" s="1" t="s">
        <v>381</v>
      </c>
      <c r="D32" s="1" t="s">
        <v>445</v>
      </c>
      <c r="E32" s="65" t="s">
        <v>446</v>
      </c>
      <c r="F32" s="66">
        <v>5.4999999999999992E-4</v>
      </c>
      <c r="G32" s="1" t="s">
        <v>368</v>
      </c>
      <c r="H32" s="1">
        <f t="shared" si="0"/>
        <v>5.4999999999999992E-4</v>
      </c>
    </row>
    <row r="33" spans="2:8" x14ac:dyDescent="0.25">
      <c r="B33" s="1" t="s">
        <v>447</v>
      </c>
      <c r="C33" s="1" t="s">
        <v>369</v>
      </c>
      <c r="D33" s="1" t="s">
        <v>448</v>
      </c>
      <c r="E33" s="65" t="s">
        <v>449</v>
      </c>
      <c r="F33" s="66">
        <v>5.0000000000000001E-4</v>
      </c>
      <c r="G33" s="1" t="s">
        <v>368</v>
      </c>
      <c r="H33" s="1">
        <f t="shared" si="0"/>
        <v>5.0000000000000001E-4</v>
      </c>
    </row>
  </sheetData>
  <autoFilter ref="B3:G33" xr:uid="{9D2C77FE-7A44-47C3-8D56-3B6B71AE065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Analysis &gt; &gt;</vt:lpstr>
      <vt:lpstr>Division Performance</vt:lpstr>
      <vt:lpstr>Payment Sheet</vt:lpstr>
      <vt:lpstr>Aging Schedule</vt:lpstr>
      <vt:lpstr>Source &gt; &gt;</vt:lpstr>
      <vt:lpstr>Vendor Invoices</vt:lpstr>
      <vt:lpstr>Payment HIstory</vt:lpstr>
      <vt:lpstr>Vendor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Liang</dc:creator>
  <cp:lastModifiedBy>Shazia Mohammad</cp:lastModifiedBy>
  <dcterms:created xsi:type="dcterms:W3CDTF">2015-06-05T18:17:20Z</dcterms:created>
  <dcterms:modified xsi:type="dcterms:W3CDTF">2024-07-23T12:44:57Z</dcterms:modified>
</cp:coreProperties>
</file>