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865" yWindow="7065" windowWidth="19440" windowHeight="1170" tabRatio="955" activeTab="5"/>
  </bookViews>
  <sheets>
    <sheet name="MYMASTER MBA" sheetId="25" r:id="rId1"/>
    <sheet name="MYMASTER MBA FEB 2016" sheetId="40" r:id="rId2"/>
    <sheet name="MYMASTER RESEARCH" sheetId="2" r:id="rId3"/>
    <sheet name="MYMASTER RESEARCH FEB 2016" sheetId="39" r:id="rId4"/>
    <sheet name="MYMASTER RESEARCH NOV 2016" sheetId="46" r:id="rId5"/>
    <sheet name="MYPHD" sheetId="4" r:id="rId6"/>
    <sheet name="MYPHD FEB 2016" sheetId="41" r:id="rId7"/>
    <sheet name="MYPHD NOV 2016" sheetId="45" r:id="rId8"/>
    <sheet name="HLP - CYBERJAYA" sheetId="5" r:id="rId9"/>
    <sheet name="HLP (PUTRAJAYA)" sheetId="43" r:id="rId10"/>
    <sheet name="JPA" sheetId="8" r:id="rId11"/>
    <sheet name="MTDC" sheetId="9" r:id="rId12"/>
    <sheet name="SLAI" sheetId="10" r:id="rId13"/>
    <sheet name="SLAB" sheetId="48" r:id="rId14"/>
    <sheet name="MARA" sheetId="11" r:id="rId15"/>
    <sheet name="TATIUC" sheetId="12" r:id="rId16"/>
    <sheet name="RISDA" sheetId="13" r:id="rId17"/>
    <sheet name="KPM-YPSSM" sheetId="14" r:id="rId18"/>
    <sheet name="YAYASAN SARAWAK" sheetId="18" r:id="rId19"/>
    <sheet name="PNS" sheetId="15" r:id="rId20"/>
    <sheet name="PTPTN" sheetId="19" r:id="rId21"/>
    <sheet name="EMBASSY" sheetId="20" r:id="rId22"/>
    <sheet name="PELADANG" sheetId="21" r:id="rId23"/>
    <sheet name="MKM" sheetId="23" r:id="rId24"/>
    <sheet name="MARDI" sheetId="17" r:id="rId25"/>
    <sheet name="TAKAFUL" sheetId="29" r:id="rId26"/>
    <sheet name="KIAS" sheetId="33" r:id="rId27"/>
    <sheet name="YAYASAN ANGKASA (YA)" sheetId="38" r:id="rId28"/>
    <sheet name="MIS" sheetId="24" r:id="rId29"/>
    <sheet name="IDB" sheetId="42" r:id="rId30"/>
    <sheet name="KPM-OKU" sheetId="44" r:id="rId31"/>
    <sheet name="MAYBANK" sheetId="16" r:id="rId32"/>
    <sheet name="STAFF" sheetId="26" r:id="rId33"/>
    <sheet name="BIASISWA UMK" sheetId="47" r:id="rId34"/>
    <sheet name="YAYASAN NEGERI SEMBILAN" sheetId="27" r:id="rId35"/>
    <sheet name="YPJ" sheetId="35" r:id="rId36"/>
    <sheet name="GTA" sheetId="34" r:id="rId37"/>
    <sheet name="GRA" sheetId="31" r:id="rId38"/>
    <sheet name="SIS" sheetId="37" r:id="rId39"/>
  </sheets>
  <definedNames>
    <definedName name="_xlnm._FilterDatabase" localSheetId="1" hidden="1">'MYMASTER MBA FEB 2016'!$B$4:$H$23</definedName>
    <definedName name="_xlnm._FilterDatabase" localSheetId="6" hidden="1">'MYPHD FEB 2016'!$A$4:$AI$21</definedName>
    <definedName name="_xlnm._FilterDatabase" localSheetId="7" hidden="1">'MYPHD NOV 2016'!$A$4:$AI$5</definedName>
    <definedName name="_xlnm.Print_Area" localSheetId="21">EMBASSY!$A$1:$J$24</definedName>
    <definedName name="_xlnm.Print_Area" localSheetId="37">GRA!$A$1:$F$19</definedName>
    <definedName name="_xlnm.Print_Area" localSheetId="36">GTA!$A$1:$H$35</definedName>
    <definedName name="_xlnm.Print_Area" localSheetId="8">'HLP - CYBERJAYA'!$A$1:$K$22</definedName>
    <definedName name="_xlnm.Print_Area" localSheetId="9">'HLP (PUTRAJAYA)'!$A$1:$K$11</definedName>
    <definedName name="_xlnm.Print_Area" localSheetId="10">JPA!$A$1:$J$34</definedName>
    <definedName name="_xlnm.Print_Area" localSheetId="26">KIAS!$A$1:$H$9</definedName>
    <definedName name="_xlnm.Print_Area" localSheetId="17">'KPM-YPSSM'!$A$1:$J$27</definedName>
    <definedName name="_xlnm.Print_Area" localSheetId="14">MARA!$A$1:$J$20</definedName>
    <definedName name="_xlnm.Print_Area" localSheetId="24">MARDI!$A$1:$J$15</definedName>
    <definedName name="_xlnm.Print_Area" localSheetId="23">MKM!$A$1:$I$15</definedName>
    <definedName name="_xlnm.Print_Area" localSheetId="0">'MYMASTER MBA'!$A$1:$H$127</definedName>
    <definedName name="_xlnm.Print_Area" localSheetId="1">'MYMASTER MBA FEB 2016'!$A$1:$H$29</definedName>
    <definedName name="_xlnm.Print_Area" localSheetId="2">'MYMASTER RESEARCH'!$A$1:$I$132</definedName>
    <definedName name="_xlnm.Print_Area" localSheetId="3">'MYMASTER RESEARCH FEB 2016'!$A$1:$I$18</definedName>
    <definedName name="_xlnm.Print_Area" localSheetId="4">'MYMASTER RESEARCH NOV 2016'!$A$1:$J$23</definedName>
    <definedName name="_xlnm.Print_Area" localSheetId="5">MYPHD!$A$1:$J$70</definedName>
    <definedName name="_xlnm.Print_Area" localSheetId="6">'MYPHD FEB 2016'!$A$1:$J$25</definedName>
    <definedName name="_xlnm.Print_Area" localSheetId="7">'MYPHD NOV 2016'!$A$1:$J$19</definedName>
    <definedName name="_xlnm.Print_Area" localSheetId="22">PELADANG!$A$1:$I$14</definedName>
    <definedName name="_xlnm.Print_Area" localSheetId="19">PNS!$A$1:$K$19</definedName>
    <definedName name="_xlnm.Print_Area" localSheetId="16">RISDA!$A$1:$H$25</definedName>
    <definedName name="_xlnm.Print_Area" localSheetId="13">SLAB!$A$1:$I$17</definedName>
    <definedName name="_xlnm.Print_Area" localSheetId="12">SLAI!$A$1:$J$25</definedName>
    <definedName name="_xlnm.Print_Area" localSheetId="25">TAKAFUL!$A$1:$H$7</definedName>
    <definedName name="_xlnm.Print_Area" localSheetId="15">TATIUC!$A$1:$H$6</definedName>
    <definedName name="_xlnm.Print_Area" localSheetId="27">'YAYASAN ANGKASA (YA)'!$A$1:$I$19</definedName>
    <definedName name="_xlnm.Print_Area" localSheetId="18">'YAYASAN SARAWAK'!$A$1:$I$29</definedName>
    <definedName name="_xlnm.Print_Titles" localSheetId="37">GRA!$1:$4</definedName>
  </definedNames>
  <calcPr calcId="145621"/>
</workbook>
</file>

<file path=xl/calcChain.xml><?xml version="1.0" encoding="utf-8"?>
<calcChain xmlns="http://schemas.openxmlformats.org/spreadsheetml/2006/main">
  <c r="Z5" i="17" l="1"/>
  <c r="W76" i="25" l="1"/>
  <c r="W84" i="25" l="1"/>
  <c r="K111" i="2"/>
  <c r="N111" i="2"/>
  <c r="O111" i="2"/>
  <c r="AA111" i="2" s="1"/>
  <c r="Z111" i="2"/>
  <c r="N110" i="2"/>
  <c r="Z110" i="2" s="1"/>
  <c r="O110" i="2"/>
  <c r="AA110" i="2" s="1"/>
  <c r="O82" i="25"/>
  <c r="N82" i="25"/>
  <c r="N81" i="25"/>
  <c r="W75" i="25"/>
  <c r="U70" i="25"/>
  <c r="W69" i="25"/>
  <c r="W64" i="25"/>
  <c r="W59" i="25"/>
  <c r="Y111" i="2" l="1"/>
  <c r="Y110" i="2"/>
  <c r="W57" i="25" l="1"/>
  <c r="W55" i="25"/>
  <c r="R50" i="25" l="1"/>
  <c r="Q50" i="25"/>
  <c r="W48" i="25"/>
  <c r="W47" i="25" l="1"/>
  <c r="W39" i="25" l="1"/>
  <c r="W32" i="25"/>
  <c r="W31" i="25"/>
  <c r="U28" i="25"/>
  <c r="O27" i="25"/>
  <c r="W38" i="25" l="1"/>
  <c r="W17" i="25" l="1"/>
  <c r="N109" i="2"/>
  <c r="O109" i="2"/>
  <c r="Y109" i="2" s="1"/>
  <c r="W109" i="2"/>
  <c r="AA109" i="2" l="1"/>
  <c r="Z109" i="2"/>
  <c r="V109" i="2"/>
  <c r="W10" i="25"/>
  <c r="AB53" i="4" l="1"/>
  <c r="Q51" i="4"/>
  <c r="P51" i="4"/>
  <c r="T48" i="4"/>
  <c r="S48" i="4"/>
  <c r="Q48" i="4"/>
  <c r="P48" i="4"/>
  <c r="AC44" i="4" l="1"/>
  <c r="AC42" i="4"/>
  <c r="AC41" i="4"/>
  <c r="AC38" i="4"/>
  <c r="AC37" i="4"/>
  <c r="AC34" i="4"/>
  <c r="AC28" i="4" l="1"/>
  <c r="AC27" i="4" l="1"/>
  <c r="AC25" i="4"/>
  <c r="AL49" i="4"/>
  <c r="AL51" i="4"/>
  <c r="AL52" i="4"/>
  <c r="AL54" i="4"/>
  <c r="AL55" i="4"/>
  <c r="AL56" i="4"/>
  <c r="AL48" i="4"/>
  <c r="AL36" i="4"/>
  <c r="AL37" i="4"/>
  <c r="AL38" i="4"/>
  <c r="AL43" i="4"/>
  <c r="AL44" i="4"/>
  <c r="AL46" i="4"/>
  <c r="AL47" i="4"/>
  <c r="AL33" i="4"/>
  <c r="AL8" i="4"/>
  <c r="AL10" i="4"/>
  <c r="AL11" i="4"/>
  <c r="AL12" i="4"/>
  <c r="AL14" i="4"/>
  <c r="AL18" i="4"/>
  <c r="AL20" i="4"/>
  <c r="AL21" i="4"/>
  <c r="AL22" i="4"/>
  <c r="AL23" i="4"/>
  <c r="AL24" i="4"/>
  <c r="AL25" i="4"/>
  <c r="AL27" i="4"/>
  <c r="AL29" i="4"/>
  <c r="AL31" i="4"/>
  <c r="AL32" i="4"/>
  <c r="AK49" i="4"/>
  <c r="AK51" i="4"/>
  <c r="AK53" i="4"/>
  <c r="AK54" i="4"/>
  <c r="AK55" i="4"/>
  <c r="AK56" i="4"/>
  <c r="AK48" i="4"/>
  <c r="AK36" i="4"/>
  <c r="AK46" i="4"/>
  <c r="AK47" i="4"/>
  <c r="AK33" i="4"/>
  <c r="AK20" i="4"/>
  <c r="AK21" i="4"/>
  <c r="AK22" i="4"/>
  <c r="AK23" i="4"/>
  <c r="AK24" i="4"/>
  <c r="AK29" i="4"/>
  <c r="AK32" i="4"/>
  <c r="AJ49" i="4"/>
  <c r="AJ51" i="4"/>
  <c r="AJ52" i="4"/>
  <c r="AJ54" i="4"/>
  <c r="AJ55" i="4"/>
  <c r="AJ56" i="4"/>
  <c r="AJ48" i="4"/>
  <c r="AJ36" i="4"/>
  <c r="AJ37" i="4"/>
  <c r="AJ38" i="4"/>
  <c r="AJ43" i="4"/>
  <c r="AJ44" i="4"/>
  <c r="AJ46" i="4"/>
  <c r="AJ47" i="4"/>
  <c r="AJ33" i="4"/>
  <c r="AJ8" i="4"/>
  <c r="AJ10" i="4"/>
  <c r="AJ11" i="4"/>
  <c r="AJ12" i="4"/>
  <c r="AJ14" i="4"/>
  <c r="AJ18" i="4"/>
  <c r="AJ20" i="4"/>
  <c r="AJ21" i="4"/>
  <c r="AJ22" i="4"/>
  <c r="AJ23" i="4"/>
  <c r="AJ24" i="4"/>
  <c r="AJ25" i="4"/>
  <c r="AJ27" i="4"/>
  <c r="AJ29" i="4"/>
  <c r="AJ31" i="4"/>
  <c r="AJ32" i="4"/>
  <c r="AB16" i="4"/>
  <c r="AK16" i="4" s="1"/>
  <c r="AC15" i="4" l="1"/>
  <c r="AB14" i="4"/>
  <c r="AK14" i="4" s="1"/>
  <c r="AB13" i="4"/>
  <c r="AB11" i="4"/>
  <c r="AB10" i="4"/>
  <c r="AK10" i="4" s="1"/>
  <c r="AB8" i="4" l="1"/>
  <c r="AK8" i="4" s="1"/>
  <c r="AC7" i="4"/>
  <c r="AB7" i="4"/>
  <c r="AK7" i="4" s="1"/>
  <c r="AL7" i="4" l="1"/>
  <c r="AJ7" i="4"/>
  <c r="M23" i="40"/>
  <c r="M7" i="40"/>
  <c r="M8" i="40"/>
  <c r="M9" i="40"/>
  <c r="M10" i="40"/>
  <c r="M11" i="40"/>
  <c r="M12" i="40"/>
  <c r="M13" i="40"/>
  <c r="M14" i="40"/>
  <c r="M15" i="40"/>
  <c r="M16" i="40"/>
  <c r="M17" i="40"/>
  <c r="M18" i="40"/>
  <c r="M19" i="40"/>
  <c r="M20" i="40"/>
  <c r="M21" i="40"/>
  <c r="M22" i="40"/>
  <c r="M6" i="40"/>
  <c r="N6" i="39" l="1"/>
  <c r="N7" i="39"/>
  <c r="N8" i="39"/>
  <c r="N9" i="39"/>
  <c r="N10" i="39"/>
  <c r="N11" i="39"/>
  <c r="N12" i="39"/>
  <c r="N13" i="39"/>
  <c r="N14" i="39"/>
  <c r="N15" i="39"/>
  <c r="P5" i="39"/>
  <c r="N5" i="39"/>
  <c r="M21" i="41" l="1"/>
  <c r="N21" i="41"/>
  <c r="AB6" i="4" l="1"/>
  <c r="AK6" i="4" s="1"/>
  <c r="AC6" i="4"/>
  <c r="AL6" i="4" l="1"/>
  <c r="AJ6" i="4"/>
  <c r="AB39" i="4"/>
  <c r="AC16" i="4" l="1"/>
  <c r="AL16" i="4" l="1"/>
  <c r="AJ16" i="4"/>
  <c r="W21" i="25"/>
  <c r="U21" i="25"/>
  <c r="Y21" i="25" s="1"/>
  <c r="Y67" i="2"/>
  <c r="U61" i="25" l="1"/>
  <c r="W61" i="25"/>
  <c r="Y89" i="2"/>
  <c r="U71" i="25" l="1"/>
  <c r="U85" i="25" l="1"/>
  <c r="U52" i="25" l="1"/>
  <c r="U101" i="25"/>
  <c r="U22" i="25"/>
  <c r="W63" i="25" l="1"/>
  <c r="U63" i="25"/>
  <c r="U67" i="25" l="1"/>
  <c r="U35" i="25"/>
  <c r="U16" i="25"/>
  <c r="Y6" i="2"/>
  <c r="U90" i="25" l="1"/>
  <c r="U30" i="25" l="1"/>
  <c r="U7" i="25"/>
  <c r="U15" i="25" l="1"/>
  <c r="Y34" i="2" l="1"/>
  <c r="Y86" i="2" l="1"/>
  <c r="AC5" i="4" l="1"/>
  <c r="AC53" i="4"/>
  <c r="AL53" i="4" l="1"/>
  <c r="AJ53" i="4"/>
  <c r="Y62" i="2"/>
  <c r="U96" i="25"/>
  <c r="AA105" i="2"/>
  <c r="U60" i="25" l="1"/>
  <c r="AA48" i="2" l="1"/>
  <c r="AA46" i="2" l="1"/>
  <c r="Y60" i="2" l="1"/>
  <c r="Y25" i="2" l="1"/>
  <c r="AE39" i="2" l="1"/>
  <c r="AC39" i="2"/>
  <c r="AA39" i="2"/>
  <c r="AD39" i="2" s="1"/>
  <c r="Y106" i="2" l="1"/>
  <c r="Y66" i="2"/>
  <c r="W37" i="25"/>
  <c r="Y105" i="2" l="1"/>
  <c r="W88" i="25" l="1"/>
  <c r="U26" i="25" l="1"/>
  <c r="T25" i="25"/>
  <c r="U34" i="25" l="1"/>
  <c r="Y88" i="2" l="1"/>
  <c r="AC50" i="2" l="1"/>
  <c r="AE46" i="2"/>
  <c r="AE48" i="2"/>
  <c r="AE49" i="2"/>
  <c r="AE50" i="2"/>
  <c r="AE51" i="2"/>
  <c r="AE52" i="2"/>
  <c r="AE54" i="2"/>
  <c r="AE59" i="2"/>
  <c r="AE66" i="2"/>
  <c r="AE67" i="2"/>
  <c r="AE68" i="2"/>
  <c r="AE70" i="2"/>
  <c r="AE72" i="2"/>
  <c r="AE73" i="2"/>
  <c r="AE74" i="2"/>
  <c r="AE75" i="2"/>
  <c r="AE76" i="2"/>
  <c r="AE77" i="2"/>
  <c r="AE78" i="2"/>
  <c r="AE79" i="2"/>
  <c r="AE82" i="2"/>
  <c r="AE84" i="2"/>
  <c r="AE86" i="2"/>
  <c r="AE87" i="2"/>
  <c r="AE88" i="2"/>
  <c r="AE89" i="2"/>
  <c r="AE91" i="2"/>
  <c r="AE92" i="2"/>
  <c r="AE98" i="2"/>
  <c r="AE101" i="2"/>
  <c r="AE104" i="2"/>
  <c r="AE105" i="2"/>
  <c r="AE106" i="2"/>
  <c r="AE107" i="2"/>
  <c r="AE108" i="2"/>
  <c r="AE16" i="2"/>
  <c r="AE17" i="2"/>
  <c r="AE20" i="2"/>
  <c r="AE21" i="2"/>
  <c r="AE22" i="2"/>
  <c r="AE25" i="2"/>
  <c r="AE26" i="2"/>
  <c r="AE27" i="2"/>
  <c r="AE28" i="2"/>
  <c r="AE29" i="2"/>
  <c r="AE30" i="2"/>
  <c r="AE31" i="2"/>
  <c r="AE33" i="2"/>
  <c r="AE34" i="2"/>
  <c r="AE37" i="2"/>
  <c r="AE40" i="2"/>
  <c r="AE41" i="2"/>
  <c r="AE10" i="2"/>
  <c r="AE12" i="2"/>
  <c r="AE7" i="2"/>
  <c r="AE8" i="2"/>
  <c r="AD16" i="2"/>
  <c r="AD17" i="2"/>
  <c r="AD20" i="2"/>
  <c r="AD21" i="2"/>
  <c r="AD22" i="2"/>
  <c r="AD26" i="2"/>
  <c r="AD27" i="2"/>
  <c r="AD28" i="2"/>
  <c r="AD31" i="2"/>
  <c r="AD33" i="2"/>
  <c r="AD37" i="2"/>
  <c r="AD40" i="2"/>
  <c r="AD41" i="2"/>
  <c r="AD44" i="2"/>
  <c r="AD46" i="2"/>
  <c r="AD48" i="2"/>
  <c r="AD49" i="2"/>
  <c r="AD52" i="2"/>
  <c r="AD54" i="2"/>
  <c r="AD59" i="2"/>
  <c r="AD70" i="2"/>
  <c r="AD72" i="2"/>
  <c r="AD73" i="2"/>
  <c r="AD74" i="2"/>
  <c r="AD75" i="2"/>
  <c r="AD76" i="2"/>
  <c r="AD77" i="2"/>
  <c r="AD78" i="2"/>
  <c r="AD79" i="2"/>
  <c r="AD84" i="2"/>
  <c r="AD87" i="2"/>
  <c r="AD91" i="2"/>
  <c r="AD92" i="2"/>
  <c r="AD98" i="2"/>
  <c r="AD101" i="2"/>
  <c r="AD104" i="2"/>
  <c r="AD107" i="2"/>
  <c r="AD108" i="2"/>
  <c r="AD10" i="2"/>
  <c r="AD12" i="2"/>
  <c r="AD7" i="2"/>
  <c r="AD8" i="2"/>
  <c r="AC16" i="2"/>
  <c r="AC17" i="2"/>
  <c r="AC20" i="2"/>
  <c r="AC21" i="2"/>
  <c r="AC22" i="2"/>
  <c r="AC25" i="2"/>
  <c r="AC26" i="2"/>
  <c r="AC27" i="2"/>
  <c r="AC28" i="2"/>
  <c r="AC29" i="2"/>
  <c r="AC30" i="2"/>
  <c r="AC31" i="2"/>
  <c r="AC33" i="2"/>
  <c r="AC34" i="2"/>
  <c r="AC37" i="2"/>
  <c r="AC40" i="2"/>
  <c r="AC41" i="2"/>
  <c r="AC46" i="2"/>
  <c r="AC48" i="2"/>
  <c r="AC49" i="2"/>
  <c r="AC51" i="2"/>
  <c r="AC52" i="2"/>
  <c r="AC54" i="2"/>
  <c r="AC59" i="2"/>
  <c r="AC66" i="2"/>
  <c r="AC67" i="2"/>
  <c r="AC68" i="2"/>
  <c r="AC70" i="2"/>
  <c r="AC72" i="2"/>
  <c r="AC73" i="2"/>
  <c r="AC74" i="2"/>
  <c r="AC75" i="2"/>
  <c r="AC76" i="2"/>
  <c r="AC77" i="2"/>
  <c r="AC78" i="2"/>
  <c r="AC79" i="2"/>
  <c r="AC82" i="2"/>
  <c r="AC84" i="2"/>
  <c r="AC86" i="2"/>
  <c r="AC87" i="2"/>
  <c r="AC88" i="2"/>
  <c r="AC89" i="2"/>
  <c r="AC91" i="2"/>
  <c r="AC92" i="2"/>
  <c r="AC98" i="2"/>
  <c r="AC101" i="2"/>
  <c r="AC104" i="2"/>
  <c r="AC105" i="2"/>
  <c r="AC106" i="2"/>
  <c r="AC107" i="2"/>
  <c r="AC108" i="2"/>
  <c r="AC10" i="2"/>
  <c r="AC12" i="2"/>
  <c r="AC7" i="2"/>
  <c r="AC8" i="2"/>
  <c r="AA50" i="2"/>
  <c r="AD50" i="2" s="1"/>
  <c r="AA29" i="2" l="1"/>
  <c r="AD29" i="2" s="1"/>
  <c r="AB6" i="8" l="1"/>
  <c r="AB12" i="8"/>
  <c r="AB18" i="8"/>
  <c r="Y10" i="8"/>
  <c r="Y8" i="8"/>
  <c r="X8" i="8"/>
  <c r="X10" i="8" l="1"/>
  <c r="AA51" i="2" l="1"/>
  <c r="AD51" i="2" s="1"/>
  <c r="W40" i="25" l="1"/>
  <c r="X17" i="8" l="1"/>
  <c r="AA7" i="25" l="1"/>
  <c r="AA10" i="25"/>
  <c r="AA15" i="25"/>
  <c r="AA16" i="25"/>
  <c r="AA17" i="25"/>
  <c r="AA19" i="25"/>
  <c r="AA21" i="25"/>
  <c r="AA22" i="25"/>
  <c r="AA23" i="25"/>
  <c r="AA26" i="25"/>
  <c r="AA28" i="25"/>
  <c r="AA30" i="25"/>
  <c r="AA31" i="25"/>
  <c r="AA32" i="25"/>
  <c r="AA34" i="25"/>
  <c r="AA35" i="25"/>
  <c r="AA36" i="25"/>
  <c r="AA37" i="25"/>
  <c r="AA38" i="25"/>
  <c r="AA39" i="25"/>
  <c r="AA43" i="25"/>
  <c r="AA47" i="25"/>
  <c r="AA48" i="25"/>
  <c r="AA51" i="25"/>
  <c r="AA52" i="25"/>
  <c r="AA55" i="25"/>
  <c r="AA57" i="25"/>
  <c r="AA59" i="25"/>
  <c r="AA60" i="25"/>
  <c r="AA61" i="25"/>
  <c r="AA62" i="25"/>
  <c r="AA63" i="25"/>
  <c r="AA64" i="25"/>
  <c r="AA66" i="25"/>
  <c r="AA67" i="25"/>
  <c r="AA68" i="25"/>
  <c r="AA69" i="25"/>
  <c r="AA70" i="25"/>
  <c r="AA72" i="25"/>
  <c r="AA75" i="25"/>
  <c r="AA76" i="25"/>
  <c r="AA84" i="25"/>
  <c r="AA85" i="25"/>
  <c r="AA87" i="25"/>
  <c r="AA88" i="25"/>
  <c r="AA90" i="25"/>
  <c r="AA96" i="25"/>
  <c r="AA98" i="25"/>
  <c r="AA99" i="25"/>
  <c r="AA101" i="25"/>
  <c r="AA105" i="25"/>
  <c r="Z10" i="25"/>
  <c r="Z17" i="25"/>
  <c r="Z19" i="25"/>
  <c r="Z23" i="25"/>
  <c r="Z25" i="25"/>
  <c r="Z31" i="25"/>
  <c r="Z32" i="25"/>
  <c r="Z35" i="25"/>
  <c r="Z36" i="25"/>
  <c r="Z37" i="25"/>
  <c r="Z38" i="25"/>
  <c r="Z39" i="25"/>
  <c r="Z47" i="25"/>
  <c r="Z48" i="25"/>
  <c r="Z51" i="25"/>
  <c r="Z55" i="25"/>
  <c r="Z57" i="25"/>
  <c r="Z59" i="25"/>
  <c r="Z64" i="25"/>
  <c r="Z66" i="25"/>
  <c r="Z67" i="25"/>
  <c r="Z68" i="25"/>
  <c r="Z69" i="25"/>
  <c r="Z72" i="25"/>
  <c r="Z75" i="25"/>
  <c r="Z76" i="25"/>
  <c r="Z84" i="25"/>
  <c r="Z87" i="25"/>
  <c r="Z88" i="25"/>
  <c r="Z98" i="25"/>
  <c r="Z99" i="25"/>
  <c r="Z105" i="25"/>
  <c r="Y7" i="25"/>
  <c r="Y10" i="25"/>
  <c r="Y15" i="25"/>
  <c r="Y16" i="25"/>
  <c r="Y17" i="25"/>
  <c r="Y19" i="25"/>
  <c r="Y22" i="25"/>
  <c r="Y23" i="25"/>
  <c r="Y26" i="25"/>
  <c r="Y28" i="25"/>
  <c r="Y30" i="25"/>
  <c r="Y31" i="25"/>
  <c r="Y32" i="25"/>
  <c r="Y34" i="25"/>
  <c r="Y35" i="25"/>
  <c r="Y36" i="25"/>
  <c r="Y37" i="25"/>
  <c r="Y38" i="25"/>
  <c r="Y39" i="25"/>
  <c r="Y43" i="25"/>
  <c r="Y47" i="25"/>
  <c r="Y48" i="25"/>
  <c r="Y51" i="25"/>
  <c r="Y52" i="25"/>
  <c r="Y55" i="25"/>
  <c r="Y57" i="25"/>
  <c r="Y59" i="25"/>
  <c r="Y60" i="25"/>
  <c r="Y61" i="25"/>
  <c r="Y62" i="25"/>
  <c r="Y63" i="25"/>
  <c r="Y64" i="25"/>
  <c r="Y66" i="25"/>
  <c r="Y67" i="25"/>
  <c r="Y68" i="25"/>
  <c r="Y69" i="25"/>
  <c r="Y70" i="25"/>
  <c r="Y72" i="25"/>
  <c r="Y75" i="25"/>
  <c r="Y76" i="25"/>
  <c r="Y84" i="25"/>
  <c r="Y85" i="25"/>
  <c r="Y87" i="25"/>
  <c r="Y88" i="25"/>
  <c r="Y90" i="25"/>
  <c r="Y96" i="25"/>
  <c r="Y98" i="25"/>
  <c r="Y99" i="25"/>
  <c r="Y101" i="25"/>
  <c r="Y105" i="25"/>
  <c r="W62" i="25"/>
  <c r="Z62" i="25" s="1"/>
  <c r="Y50" i="25" l="1"/>
  <c r="AA50" i="25"/>
  <c r="S17" i="8"/>
  <c r="R10" i="8" l="1"/>
  <c r="W5" i="14" l="1"/>
  <c r="O14" i="14" l="1"/>
  <c r="O13" i="14"/>
  <c r="O12" i="14"/>
  <c r="O11" i="14"/>
  <c r="Z9" i="4" l="1"/>
  <c r="AL9" i="4" l="1"/>
  <c r="AJ9" i="4"/>
  <c r="P95" i="2"/>
  <c r="O95" i="2"/>
  <c r="AD95" i="2" s="1"/>
  <c r="S94" i="2"/>
  <c r="R94" i="2"/>
  <c r="P94" i="2"/>
  <c r="O94" i="2"/>
  <c r="P81" i="2"/>
  <c r="O81" i="2"/>
  <c r="AD81" i="2" s="1"/>
  <c r="P80" i="2"/>
  <c r="O80" i="2"/>
  <c r="AD80" i="2" s="1"/>
  <c r="L79" i="2"/>
  <c r="P58" i="2"/>
  <c r="O58" i="2"/>
  <c r="AD58" i="2" s="1"/>
  <c r="P57" i="2"/>
  <c r="O57" i="2"/>
  <c r="AD57" i="2" s="1"/>
  <c r="AE58" i="2" l="1"/>
  <c r="AC58" i="2"/>
  <c r="AC81" i="2"/>
  <c r="AE81" i="2"/>
  <c r="AD94" i="2"/>
  <c r="AC57" i="2"/>
  <c r="AE57" i="2"/>
  <c r="AC80" i="2"/>
  <c r="AE80" i="2"/>
  <c r="AE94" i="2"/>
  <c r="AC94" i="2"/>
  <c r="AE95" i="2"/>
  <c r="AC95" i="2"/>
  <c r="P56" i="2"/>
  <c r="O56" i="2"/>
  <c r="AD56" i="2" s="1"/>
  <c r="P55" i="2"/>
  <c r="O55" i="2"/>
  <c r="AD55" i="2" s="1"/>
  <c r="P44" i="2"/>
  <c r="S43" i="2"/>
  <c r="R43" i="2"/>
  <c r="AD43" i="2" s="1"/>
  <c r="S13" i="2"/>
  <c r="R13" i="2"/>
  <c r="P13" i="2"/>
  <c r="O13" i="2"/>
  <c r="S11" i="2"/>
  <c r="R11" i="2"/>
  <c r="P11" i="2"/>
  <c r="O11" i="2"/>
  <c r="S9" i="2"/>
  <c r="R9" i="2"/>
  <c r="P9" i="2"/>
  <c r="O9" i="2"/>
  <c r="AD9" i="2" l="1"/>
  <c r="AD11" i="2"/>
  <c r="AD13" i="2"/>
  <c r="AE55" i="2"/>
  <c r="AC55" i="2"/>
  <c r="AC11" i="2"/>
  <c r="AE11" i="2"/>
  <c r="AC13" i="2"/>
  <c r="AE13" i="2"/>
  <c r="AE43" i="2"/>
  <c r="AC43" i="2"/>
  <c r="AC44" i="2"/>
  <c r="AE44" i="2"/>
  <c r="AC56" i="2"/>
  <c r="AE56" i="2"/>
  <c r="AC9" i="2"/>
  <c r="AE9" i="2"/>
  <c r="AG93" i="2"/>
  <c r="AG103" i="2"/>
  <c r="AG83" i="2"/>
  <c r="AG34" i="2"/>
  <c r="AG54" i="2"/>
  <c r="AG98" i="2"/>
  <c r="AG77" i="2"/>
  <c r="AG8" i="2"/>
  <c r="AG76" i="2"/>
  <c r="AG82" i="2"/>
  <c r="AG74" i="2"/>
  <c r="AG73" i="2"/>
  <c r="AG72" i="2"/>
  <c r="AG22" i="2"/>
  <c r="AG78" i="2"/>
  <c r="AG92" i="2"/>
  <c r="AG52" i="2"/>
  <c r="AG91" i="2"/>
  <c r="AG75" i="2"/>
  <c r="AG7" i="2"/>
  <c r="AG33" i="2"/>
  <c r="AG90" i="2"/>
  <c r="AG42" i="2"/>
  <c r="AG53" i="2"/>
  <c r="AG32" i="2"/>
  <c r="AG31" i="2"/>
  <c r="AG71" i="2"/>
  <c r="AG89" i="2"/>
  <c r="AG66" i="2"/>
  <c r="AG30" i="2"/>
  <c r="AG36" i="2"/>
  <c r="AG35" i="2"/>
  <c r="AG28" i="2"/>
  <c r="AG50" i="2"/>
  <c r="AG49" i="2"/>
  <c r="AG106" i="2"/>
  <c r="AG102" i="2"/>
  <c r="AG101" i="2"/>
  <c r="AG100" i="2"/>
  <c r="AG99" i="2"/>
  <c r="AG97" i="2"/>
  <c r="AG96" i="2"/>
  <c r="AG88" i="2"/>
  <c r="AG86" i="2"/>
  <c r="AG85" i="2"/>
  <c r="AG84" i="2"/>
  <c r="AG70" i="2"/>
  <c r="AG69" i="2"/>
  <c r="AG68" i="2"/>
  <c r="AG67" i="2"/>
  <c r="AG65" i="2"/>
  <c r="AG64" i="2"/>
  <c r="AG63" i="2"/>
  <c r="AG62" i="2"/>
  <c r="AG61" i="2"/>
  <c r="AG60" i="2"/>
  <c r="AG48" i="2"/>
  <c r="AG47" i="2"/>
  <c r="AG46" i="2"/>
  <c r="AG45" i="2"/>
  <c r="AG41" i="2"/>
  <c r="AG40" i="2"/>
  <c r="AG38" i="2"/>
  <c r="AG37" i="2"/>
  <c r="AG27" i="2"/>
  <c r="AG26" i="2"/>
  <c r="AG25" i="2"/>
  <c r="AG24" i="2"/>
  <c r="AG23" i="2"/>
  <c r="AG21" i="2"/>
  <c r="AG20" i="2"/>
  <c r="AG19" i="2"/>
  <c r="AG18" i="2"/>
  <c r="AG17" i="2"/>
  <c r="AG16" i="2"/>
  <c r="AG15" i="2"/>
  <c r="AG14" i="2"/>
  <c r="AG6" i="2"/>
  <c r="O103" i="25" l="1"/>
  <c r="N103" i="25"/>
  <c r="Z103" i="25" s="1"/>
  <c r="O102" i="25"/>
  <c r="N102" i="25"/>
  <c r="O95" i="25"/>
  <c r="N95" i="25"/>
  <c r="Z95" i="25" s="1"/>
  <c r="V94" i="25"/>
  <c r="O94" i="25"/>
  <c r="N94" i="25"/>
  <c r="O93" i="25"/>
  <c r="N93" i="25"/>
  <c r="Z82" i="25"/>
  <c r="O81" i="25"/>
  <c r="Z81" i="25"/>
  <c r="O80" i="25"/>
  <c r="N80" i="25"/>
  <c r="O79" i="25"/>
  <c r="N79" i="25"/>
  <c r="V78" i="25"/>
  <c r="O78" i="25"/>
  <c r="O77" i="25"/>
  <c r="N77" i="25"/>
  <c r="V77" i="25" s="1"/>
  <c r="O46" i="25"/>
  <c r="N46" i="25"/>
  <c r="Z46" i="25" s="1"/>
  <c r="O45" i="25"/>
  <c r="N45" i="25"/>
  <c r="L45" i="25"/>
  <c r="K45" i="25"/>
  <c r="O44" i="25"/>
  <c r="N44" i="25"/>
  <c r="W43" i="25"/>
  <c r="Z43" i="25" s="1"/>
  <c r="V43" i="25"/>
  <c r="O42" i="25"/>
  <c r="N42" i="25"/>
  <c r="O14" i="25"/>
  <c r="N14" i="25"/>
  <c r="Z14" i="25" s="1"/>
  <c r="O12" i="25"/>
  <c r="N12" i="25"/>
  <c r="O11" i="25"/>
  <c r="N11" i="25"/>
  <c r="AA45" i="25" l="1"/>
  <c r="Y45" i="25"/>
  <c r="Y46" i="25"/>
  <c r="AA46" i="25"/>
  <c r="X78" i="25"/>
  <c r="AA78" i="25" s="1"/>
  <c r="V80" i="25"/>
  <c r="AA12" i="25"/>
  <c r="Y12" i="25"/>
  <c r="W42" i="25"/>
  <c r="Z42" i="25" s="1"/>
  <c r="Y42" i="25"/>
  <c r="AA42" i="25"/>
  <c r="W44" i="25"/>
  <c r="Z44" i="25" s="1"/>
  <c r="Y44" i="25"/>
  <c r="AA44" i="25"/>
  <c r="X77" i="25"/>
  <c r="AA77" i="25" s="1"/>
  <c r="V79" i="25"/>
  <c r="Y94" i="25"/>
  <c r="AA94" i="25"/>
  <c r="V102" i="25"/>
  <c r="V11" i="25"/>
  <c r="V45" i="25"/>
  <c r="X79" i="25"/>
  <c r="Y79" i="25" s="1"/>
  <c r="AC81" i="25"/>
  <c r="AA81" i="25"/>
  <c r="Y81" i="25"/>
  <c r="V93" i="25"/>
  <c r="Y102" i="25"/>
  <c r="AA102" i="25"/>
  <c r="AA11" i="25"/>
  <c r="Y11" i="25"/>
  <c r="AA14" i="25"/>
  <c r="Y14" i="25"/>
  <c r="W93" i="25"/>
  <c r="Z93" i="25" s="1"/>
  <c r="AA93" i="25"/>
  <c r="Y93" i="25"/>
  <c r="V12" i="25"/>
  <c r="V42" i="25"/>
  <c r="V44" i="25"/>
  <c r="W80" i="25"/>
  <c r="Z80" i="25" s="1"/>
  <c r="Y82" i="25"/>
  <c r="AA82" i="25"/>
  <c r="AA95" i="25"/>
  <c r="Y95" i="25"/>
  <c r="AA103" i="25"/>
  <c r="Y103" i="25"/>
  <c r="X80" i="25"/>
  <c r="AA80" i="25" s="1"/>
  <c r="W11" i="25"/>
  <c r="Z11" i="25" s="1"/>
  <c r="W77" i="25"/>
  <c r="Z77" i="25" s="1"/>
  <c r="W78" i="25"/>
  <c r="Z78" i="25" s="1"/>
  <c r="W94" i="25"/>
  <c r="Z94" i="25" s="1"/>
  <c r="W102" i="25"/>
  <c r="Z102" i="25" s="1"/>
  <c r="AB93" i="25"/>
  <c r="AC80" i="25"/>
  <c r="W79" i="25"/>
  <c r="Z79" i="25" s="1"/>
  <c r="W45" i="25"/>
  <c r="Z45" i="25" s="1"/>
  <c r="W12" i="25"/>
  <c r="Z12" i="25" s="1"/>
  <c r="O6" i="25"/>
  <c r="AC76" i="25"/>
  <c r="AC64" i="25"/>
  <c r="AC23" i="25"/>
  <c r="AC55" i="25"/>
  <c r="AC37" i="25"/>
  <c r="AC75" i="25"/>
  <c r="AC101" i="25"/>
  <c r="AC63" i="25"/>
  <c r="AC74" i="25"/>
  <c r="AC73" i="25"/>
  <c r="AC100" i="25"/>
  <c r="AC84" i="25"/>
  <c r="AC96" i="25"/>
  <c r="AC29" i="25"/>
  <c r="AC104" i="25"/>
  <c r="AC92" i="25"/>
  <c r="AC36" i="25"/>
  <c r="AC62" i="25"/>
  <c r="AC61" i="25"/>
  <c r="AC99" i="25"/>
  <c r="AC88" i="25"/>
  <c r="AC87" i="25"/>
  <c r="AC86" i="25"/>
  <c r="AC85" i="25"/>
  <c r="AC72" i="25"/>
  <c r="AC71" i="25"/>
  <c r="AC70" i="25"/>
  <c r="AC69" i="25"/>
  <c r="AC68" i="25"/>
  <c r="AC67" i="25"/>
  <c r="AC66" i="25"/>
  <c r="Y78" i="25" l="1"/>
  <c r="AA79" i="25"/>
  <c r="Y80" i="25"/>
  <c r="Y6" i="25"/>
  <c r="AA6" i="25"/>
  <c r="Y77" i="25"/>
  <c r="AC60" i="25"/>
  <c r="AC59" i="25"/>
  <c r="AC52" i="25"/>
  <c r="AC51" i="25"/>
  <c r="AC50" i="25"/>
  <c r="AC47" i="25"/>
  <c r="AC40" i="25"/>
  <c r="AC39" i="25"/>
  <c r="AC38" i="25"/>
  <c r="AC35" i="25"/>
  <c r="AC32" i="25"/>
  <c r="AC31" i="25"/>
  <c r="AC30" i="25"/>
  <c r="AC27" i="25"/>
  <c r="AC26" i="25"/>
  <c r="AC25" i="25"/>
  <c r="AC22" i="25"/>
  <c r="AC21" i="25"/>
  <c r="AC19" i="25"/>
  <c r="AC7" i="25"/>
  <c r="AA27" i="25" l="1"/>
  <c r="Y27" i="25"/>
  <c r="E19" i="37"/>
  <c r="S7" i="8" l="1"/>
  <c r="AB7" i="8" s="1"/>
  <c r="R7" i="8"/>
  <c r="O7" i="8"/>
  <c r="V8" i="8"/>
  <c r="AB8" i="8" s="1"/>
  <c r="U8" i="8"/>
  <c r="R18" i="8"/>
  <c r="V17" i="8"/>
  <c r="AB17" i="8" s="1"/>
  <c r="U17" i="8"/>
  <c r="R17" i="8"/>
  <c r="P16" i="8" l="1"/>
  <c r="O16" i="8"/>
  <c r="M16" i="8"/>
  <c r="AB16" i="8" s="1"/>
  <c r="L16" i="8"/>
  <c r="S15" i="8"/>
  <c r="AB15" i="8" s="1"/>
  <c r="R15" i="8"/>
  <c r="S14" i="8"/>
  <c r="AB14" i="8" s="1"/>
  <c r="R14" i="8"/>
  <c r="S13" i="8"/>
  <c r="AB13" i="8" s="1"/>
  <c r="R13" i="8"/>
  <c r="R12" i="8"/>
  <c r="R11" i="8"/>
  <c r="P11" i="8"/>
  <c r="AB11" i="8" s="1"/>
  <c r="O11" i="8"/>
  <c r="S10" i="8"/>
  <c r="AB10" i="8" s="1"/>
  <c r="S5" i="8" l="1"/>
  <c r="R5" i="8"/>
  <c r="P5" i="8"/>
  <c r="AB5" i="8" s="1"/>
  <c r="O5" i="8"/>
  <c r="AN54" i="4" l="1"/>
  <c r="AB52" i="4"/>
  <c r="T40" i="4"/>
  <c r="S40" i="4"/>
  <c r="AK40" i="4" s="1"/>
  <c r="AN20" i="4"/>
  <c r="T17" i="4"/>
  <c r="S17" i="4"/>
  <c r="AK17" i="4" s="1"/>
  <c r="AN40" i="4" l="1"/>
  <c r="AL40" i="4"/>
  <c r="AJ40" i="4"/>
  <c r="AN17" i="4"/>
  <c r="AL17" i="4"/>
  <c r="AJ17" i="4"/>
  <c r="AN52" i="4"/>
  <c r="AK52" i="4"/>
  <c r="AN29" i="4"/>
  <c r="AN36" i="4"/>
  <c r="AN49" i="4"/>
  <c r="AN32" i="4"/>
  <c r="AN14" i="4"/>
  <c r="AN10" i="4"/>
  <c r="AN23" i="4"/>
  <c r="AN22" i="4"/>
  <c r="AN46" i="4"/>
  <c r="AN21" i="4"/>
  <c r="AN56" i="4"/>
  <c r="AN8" i="4"/>
  <c r="T28" i="4"/>
  <c r="T15" i="4"/>
  <c r="AN6" i="4"/>
  <c r="Y43" i="4"/>
  <c r="AN43" i="4" l="1"/>
  <c r="AK43" i="4"/>
  <c r="AL15" i="4"/>
  <c r="AJ15" i="4"/>
  <c r="AL28" i="4"/>
  <c r="AJ28" i="4"/>
  <c r="AN47" i="4"/>
  <c r="T45" i="4"/>
  <c r="Q45" i="4"/>
  <c r="M45" i="4"/>
  <c r="AB44" i="4"/>
  <c r="Y11" i="4"/>
  <c r="Y50" i="4"/>
  <c r="T42" i="4"/>
  <c r="T41" i="4"/>
  <c r="T39" i="4"/>
  <c r="AL42" i="4" l="1"/>
  <c r="AJ42" i="4"/>
  <c r="AN39" i="4"/>
  <c r="AL39" i="4"/>
  <c r="AJ39" i="4"/>
  <c r="AN11" i="4"/>
  <c r="AK11" i="4"/>
  <c r="AL41" i="4"/>
  <c r="AJ41" i="4"/>
  <c r="AN44" i="4"/>
  <c r="AK44" i="4"/>
  <c r="AL45" i="4"/>
  <c r="AJ45" i="4"/>
  <c r="W34" i="4"/>
  <c r="Z30" i="4"/>
  <c r="Y30" i="4"/>
  <c r="Z26" i="4"/>
  <c r="T19" i="4"/>
  <c r="AL34" i="4" l="1"/>
  <c r="AJ34" i="4"/>
  <c r="AL19" i="4"/>
  <c r="AJ19" i="4"/>
  <c r="AL30" i="4"/>
  <c r="AJ30" i="4"/>
  <c r="AN30" i="4"/>
  <c r="AK30" i="4"/>
  <c r="Y13" i="4"/>
  <c r="AN13" i="4" l="1"/>
  <c r="AK13" i="4"/>
  <c r="X60" i="2"/>
  <c r="T34" i="25" l="1"/>
  <c r="Z34" i="25" s="1"/>
  <c r="S93" i="2" l="1"/>
  <c r="R93" i="2"/>
  <c r="P93" i="2"/>
  <c r="O93" i="2"/>
  <c r="AD93" i="2" s="1"/>
  <c r="X34" i="2"/>
  <c r="AD34" i="2" s="1"/>
  <c r="S90" i="2"/>
  <c r="R90" i="2"/>
  <c r="AD90" i="2" s="1"/>
  <c r="S53" i="2"/>
  <c r="R53" i="2"/>
  <c r="AD53" i="2" s="1"/>
  <c r="S71" i="2"/>
  <c r="R71" i="2"/>
  <c r="AD71" i="2" s="1"/>
  <c r="X89" i="2"/>
  <c r="AD89" i="2" s="1"/>
  <c r="X66" i="2"/>
  <c r="AD66" i="2" s="1"/>
  <c r="X30" i="2"/>
  <c r="AD30" i="2" s="1"/>
  <c r="X35" i="2"/>
  <c r="AD35" i="2" s="1"/>
  <c r="X106" i="2"/>
  <c r="AD106" i="2" s="1"/>
  <c r="S102" i="2"/>
  <c r="R102" i="2"/>
  <c r="AD102" i="2" s="1"/>
  <c r="X100" i="2"/>
  <c r="AD100" i="2" s="1"/>
  <c r="X88" i="2"/>
  <c r="AD88" i="2" s="1"/>
  <c r="X86" i="2"/>
  <c r="AD86" i="2" s="1"/>
  <c r="V65" i="2"/>
  <c r="U65" i="2"/>
  <c r="AD65" i="2" s="1"/>
  <c r="P64" i="2"/>
  <c r="O64" i="2"/>
  <c r="AD64" i="2" s="1"/>
  <c r="X63" i="2"/>
  <c r="X62" i="2"/>
  <c r="AC93" i="2" l="1"/>
  <c r="AE93" i="2"/>
  <c r="AC65" i="2"/>
  <c r="AE65" i="2"/>
  <c r="AE71" i="2"/>
  <c r="AC71" i="2"/>
  <c r="AE90" i="2"/>
  <c r="AC90" i="2"/>
  <c r="AC64" i="2"/>
  <c r="AE64" i="2"/>
  <c r="AC53" i="2"/>
  <c r="AE53" i="2"/>
  <c r="AE102" i="2"/>
  <c r="AC102" i="2"/>
  <c r="S61" i="2"/>
  <c r="R61" i="2"/>
  <c r="AD61" i="2" s="1"/>
  <c r="S47" i="2"/>
  <c r="R47" i="2"/>
  <c r="AD47" i="2" s="1"/>
  <c r="S38" i="2"/>
  <c r="R38" i="2"/>
  <c r="P38" i="2"/>
  <c r="O38" i="2"/>
  <c r="X25" i="2"/>
  <c r="AD25" i="2" s="1"/>
  <c r="P24" i="2"/>
  <c r="O24" i="2"/>
  <c r="AD24" i="2" s="1"/>
  <c r="S23" i="2"/>
  <c r="R23" i="2"/>
  <c r="AD23" i="2" s="1"/>
  <c r="S18" i="2"/>
  <c r="R18" i="2"/>
  <c r="P18" i="2"/>
  <c r="O18" i="2"/>
  <c r="AD18" i="2" s="1"/>
  <c r="X15" i="2"/>
  <c r="S15" i="2"/>
  <c r="P14" i="2"/>
  <c r="V14" i="2"/>
  <c r="U14" i="2"/>
  <c r="AD14" i="2" s="1"/>
  <c r="T101" i="25"/>
  <c r="Z101" i="25" s="1"/>
  <c r="T63" i="25"/>
  <c r="Z63" i="25" s="1"/>
  <c r="T96" i="25"/>
  <c r="Z96" i="25" s="1"/>
  <c r="T61" i="25"/>
  <c r="Z61" i="25" s="1"/>
  <c r="T90" i="25"/>
  <c r="Z90" i="25" s="1"/>
  <c r="T71" i="25"/>
  <c r="AE24" i="2" l="1"/>
  <c r="AC24" i="2"/>
  <c r="AC61" i="2"/>
  <c r="AE61" i="2"/>
  <c r="AC14" i="2"/>
  <c r="AE14" i="2"/>
  <c r="AE18" i="2"/>
  <c r="AC18" i="2"/>
  <c r="AE23" i="2"/>
  <c r="AC23" i="2"/>
  <c r="AD38" i="2"/>
  <c r="AE15" i="2"/>
  <c r="AC15" i="2"/>
  <c r="AE38" i="2"/>
  <c r="AC38" i="2"/>
  <c r="AE47" i="2"/>
  <c r="AC47" i="2"/>
  <c r="T70" i="25"/>
  <c r="Z70" i="25" s="1"/>
  <c r="T60" i="25"/>
  <c r="Z60" i="25" s="1"/>
  <c r="AC57" i="25"/>
  <c r="T52" i="25"/>
  <c r="Z52" i="25" s="1"/>
  <c r="Z50" i="25" l="1"/>
  <c r="AC48" i="25"/>
  <c r="T30" i="25"/>
  <c r="Z30" i="25" s="1"/>
  <c r="U25" i="25"/>
  <c r="T22" i="25"/>
  <c r="Z22" i="25" s="1"/>
  <c r="AA25" i="25" l="1"/>
  <c r="Y25" i="25"/>
  <c r="S32" i="2"/>
  <c r="R32" i="2"/>
  <c r="AD32" i="2" s="1"/>
  <c r="S96" i="2"/>
  <c r="R96" i="2"/>
  <c r="AD96" i="2" s="1"/>
  <c r="AE96" i="2" l="1"/>
  <c r="AC96" i="2"/>
  <c r="AE32" i="2"/>
  <c r="AC32" i="2"/>
  <c r="O18" i="25"/>
  <c r="N18" i="25"/>
  <c r="Z18" i="25" s="1"/>
  <c r="AA18" i="25" l="1"/>
  <c r="Y18" i="25"/>
  <c r="O58" i="25"/>
  <c r="N58" i="25"/>
  <c r="Z58" i="25" s="1"/>
  <c r="O49" i="25"/>
  <c r="N49" i="25"/>
  <c r="Z49" i="25" s="1"/>
  <c r="O97" i="25"/>
  <c r="N97" i="25"/>
  <c r="Z97" i="25" s="1"/>
  <c r="O83" i="25"/>
  <c r="N83" i="25"/>
  <c r="Z83" i="25" s="1"/>
  <c r="O56" i="25"/>
  <c r="N56" i="25"/>
  <c r="Z56" i="25" s="1"/>
  <c r="AA83" i="25" l="1"/>
  <c r="Y83" i="25"/>
  <c r="AA49" i="25"/>
  <c r="Y49" i="25"/>
  <c r="Y56" i="25"/>
  <c r="AA56" i="25"/>
  <c r="AA97" i="25"/>
  <c r="Y97" i="25"/>
  <c r="Y58" i="25"/>
  <c r="AA58" i="25"/>
  <c r="AB5" i="4"/>
  <c r="AB18" i="4"/>
  <c r="AB34" i="4"/>
  <c r="AN34" i="4" s="1"/>
  <c r="V34" i="4"/>
  <c r="AK34" i="4" s="1"/>
  <c r="AN18" i="4" l="1"/>
  <c r="AK18" i="4"/>
  <c r="AN7" i="4"/>
  <c r="AB27" i="4"/>
  <c r="AN27" i="4" l="1"/>
  <c r="AK27" i="4"/>
  <c r="S39" i="4"/>
  <c r="P39" i="4"/>
  <c r="AK39" i="4" s="1"/>
  <c r="AN16" i="4" l="1"/>
  <c r="AB31" i="4" l="1"/>
  <c r="AN31" i="4" l="1"/>
  <c r="AK31" i="4"/>
  <c r="AN53" i="4"/>
  <c r="AB25" i="4" l="1"/>
  <c r="AN25" i="4" l="1"/>
  <c r="AK25" i="4"/>
  <c r="AB38" i="4"/>
  <c r="AN38" i="4" l="1"/>
  <c r="AK38" i="4"/>
  <c r="S45" i="4"/>
  <c r="P45" i="4"/>
  <c r="AK45" i="4" s="1"/>
  <c r="AB15" i="4" l="1"/>
  <c r="AN15" i="4" s="1"/>
  <c r="S15" i="4"/>
  <c r="AK15" i="4" s="1"/>
  <c r="AB19" i="4"/>
  <c r="AN19" i="4" s="1"/>
  <c r="S19" i="4"/>
  <c r="AK19" i="4" s="1"/>
  <c r="AB42" i="4" l="1"/>
  <c r="AN42" i="4" s="1"/>
  <c r="S42" i="4"/>
  <c r="AK42" i="4" s="1"/>
  <c r="AB41" i="4"/>
  <c r="AN41" i="4" s="1"/>
  <c r="S41" i="4" l="1"/>
  <c r="AK41" i="4" s="1"/>
  <c r="S28" i="4" l="1"/>
  <c r="AK28" i="4" s="1"/>
  <c r="AB28" i="4"/>
  <c r="AN28" i="4" s="1"/>
  <c r="AB37" i="4"/>
  <c r="AK37" i="4" s="1"/>
  <c r="X105" i="2"/>
  <c r="AD105" i="2" s="1"/>
  <c r="AN37" i="4" l="1"/>
  <c r="Y26" i="4"/>
  <c r="Y12" i="4"/>
  <c r="AK12" i="4" s="1"/>
  <c r="AN12" i="4" l="1"/>
  <c r="T26" i="25"/>
  <c r="Z26" i="25" s="1"/>
  <c r="N27" i="25" l="1"/>
  <c r="Z27" i="25" s="1"/>
  <c r="T21" i="25"/>
  <c r="Z21" i="25" s="1"/>
  <c r="T16" i="25" l="1"/>
  <c r="Z16" i="25" s="1"/>
  <c r="T7" i="25" l="1"/>
  <c r="Z7" i="25" s="1"/>
  <c r="T15" i="25"/>
  <c r="Z15" i="25" s="1"/>
  <c r="Y9" i="4" l="1"/>
  <c r="AK9" i="4" s="1"/>
  <c r="AN9" i="4" l="1"/>
  <c r="U20" i="25"/>
  <c r="T20" i="25"/>
  <c r="Z20" i="25" s="1"/>
  <c r="AA20" i="25" l="1"/>
  <c r="Y20" i="25"/>
  <c r="R15" i="2"/>
  <c r="AD15" i="2" s="1"/>
  <c r="T9" i="25" l="1"/>
  <c r="Z9" i="25" s="1"/>
  <c r="U9" i="25"/>
  <c r="AA9" i="25" l="1"/>
  <c r="Y9" i="25"/>
  <c r="T85" i="25"/>
  <c r="Z85" i="25" s="1"/>
  <c r="X68" i="2" l="1"/>
  <c r="AD68" i="2" s="1"/>
  <c r="X67" i="2" l="1"/>
  <c r="AD67" i="2" s="1"/>
  <c r="O9" i="35" l="1"/>
  <c r="L9" i="35"/>
  <c r="X97" i="2" l="1"/>
  <c r="V45" i="2" l="1"/>
  <c r="U45" i="2"/>
  <c r="AD45" i="2" s="1"/>
  <c r="AE45" i="2" l="1"/>
  <c r="AC45" i="2"/>
  <c r="Y99" i="2"/>
  <c r="AE99" i="2" l="1"/>
  <c r="AC99" i="2"/>
  <c r="X6" i="2"/>
  <c r="U40" i="25" l="1"/>
  <c r="T40" i="25"/>
  <c r="Z40" i="25" s="1"/>
  <c r="Y40" i="25" l="1"/>
  <c r="AA40" i="25"/>
  <c r="S9" i="8"/>
  <c r="AB9" i="8" s="1"/>
  <c r="R9" i="8"/>
  <c r="U73" i="25" l="1"/>
  <c r="U89" i="25"/>
  <c r="T89" i="25"/>
  <c r="Z89" i="25" s="1"/>
  <c r="U54" i="25"/>
  <c r="T54" i="25"/>
  <c r="Z54" i="25" s="1"/>
  <c r="U100" i="25"/>
  <c r="U29" i="25"/>
  <c r="U8" i="25"/>
  <c r="U104" i="25"/>
  <c r="U92" i="25"/>
  <c r="U53" i="25"/>
  <c r="Y92" i="25" l="1"/>
  <c r="AA92" i="25"/>
  <c r="Y100" i="25"/>
  <c r="AA100" i="25"/>
  <c r="AA8" i="25"/>
  <c r="Y8" i="25"/>
  <c r="Y54" i="25"/>
  <c r="AA54" i="25"/>
  <c r="AA53" i="25"/>
  <c r="Y53" i="25"/>
  <c r="AA29" i="25"/>
  <c r="Y29" i="25"/>
  <c r="AA89" i="25"/>
  <c r="Y89" i="25"/>
  <c r="Y104" i="25"/>
  <c r="AA104" i="25"/>
  <c r="AA73" i="25"/>
  <c r="Y73" i="25"/>
  <c r="Y35" i="2"/>
  <c r="AE35" i="2" l="1"/>
  <c r="AC35" i="2"/>
  <c r="U74" i="25"/>
  <c r="Y74" i="25" l="1"/>
  <c r="AA74" i="25"/>
  <c r="Z35" i="4"/>
  <c r="H12" i="13" l="1"/>
  <c r="O6" i="13"/>
  <c r="I13" i="9"/>
  <c r="G13" i="9"/>
  <c r="U91" i="25" l="1"/>
  <c r="T91" i="25"/>
  <c r="Z91" i="25" s="1"/>
  <c r="AA91" i="25" l="1"/>
  <c r="Y91" i="25"/>
  <c r="W6" i="14"/>
  <c r="W7" i="14"/>
  <c r="W8" i="14"/>
  <c r="R103" i="2" l="1"/>
  <c r="AD103" i="2" s="1"/>
  <c r="S103" i="2"/>
  <c r="AE103" i="2" l="1"/>
  <c r="AC103" i="2"/>
  <c r="X82" i="2"/>
  <c r="AD82" i="2" s="1"/>
  <c r="T74" i="25" l="1"/>
  <c r="Z74" i="25" s="1"/>
  <c r="T73" i="25"/>
  <c r="Z73" i="25" s="1"/>
  <c r="T92" i="25"/>
  <c r="Z92" i="25" s="1"/>
  <c r="T104" i="25"/>
  <c r="Z104" i="25" s="1"/>
  <c r="X99" i="2" l="1"/>
  <c r="AD99" i="2" s="1"/>
  <c r="O13" i="25" l="1"/>
  <c r="N13" i="25"/>
  <c r="Z13" i="25" s="1"/>
  <c r="T8" i="25"/>
  <c r="Z8" i="25" s="1"/>
  <c r="AA13" i="25" l="1"/>
  <c r="Y13" i="25"/>
  <c r="T100" i="25"/>
  <c r="Z100" i="25" s="1"/>
  <c r="V5" i="2" l="1"/>
  <c r="U5" i="2"/>
  <c r="AD5" i="2" s="1"/>
  <c r="AC5" i="2" l="1"/>
  <c r="AE5" i="2"/>
  <c r="S60" i="2"/>
  <c r="R60" i="2"/>
  <c r="AD60" i="2" s="1"/>
  <c r="V62" i="2"/>
  <c r="U62" i="2"/>
  <c r="AD62" i="2" s="1"/>
  <c r="AE62" i="2" l="1"/>
  <c r="AC62" i="2"/>
  <c r="AE60" i="2"/>
  <c r="AC60" i="2"/>
  <c r="T29" i="25"/>
  <c r="Z29" i="25" s="1"/>
  <c r="O71" i="25" l="1"/>
  <c r="N71" i="25"/>
  <c r="Z71" i="25" s="1"/>
  <c r="AA71" i="25" l="1"/>
  <c r="Y71" i="25"/>
  <c r="T50" i="4"/>
  <c r="S50" i="4"/>
  <c r="AK50" i="4" s="1"/>
  <c r="AL50" i="4" l="1"/>
  <c r="AJ50" i="4"/>
  <c r="S42" i="2"/>
  <c r="R42" i="2"/>
  <c r="AD42" i="2" s="1"/>
  <c r="AE42" i="2" l="1"/>
  <c r="AC42" i="2"/>
  <c r="S69" i="2"/>
  <c r="P69" i="2"/>
  <c r="AC69" i="2" l="1"/>
  <c r="AE69" i="2"/>
  <c r="T53" i="25"/>
  <c r="Z53" i="25" s="1"/>
  <c r="S83" i="2" l="1"/>
  <c r="R83" i="2"/>
  <c r="AD83" i="2" s="1"/>
  <c r="AE83" i="2" l="1"/>
  <c r="AC83" i="2"/>
  <c r="S85" i="2"/>
  <c r="R85" i="2"/>
  <c r="AD85" i="2" s="1"/>
  <c r="R69" i="2"/>
  <c r="O69" i="2"/>
  <c r="AD69" i="2" s="1"/>
  <c r="AC85" i="2" l="1"/>
  <c r="AE85" i="2"/>
  <c r="V6" i="2"/>
  <c r="U6" i="2"/>
  <c r="AD6" i="2" s="1"/>
  <c r="T28" i="25"/>
  <c r="Z28" i="25" s="1"/>
  <c r="AE6" i="2" l="1"/>
  <c r="AC6" i="2"/>
  <c r="Z13" i="4"/>
  <c r="AL13" i="4" l="1"/>
  <c r="AJ13" i="4"/>
  <c r="S63" i="2"/>
  <c r="R63" i="2"/>
  <c r="AD63" i="2" s="1"/>
  <c r="AE63" i="2" l="1"/>
  <c r="AC63" i="2"/>
  <c r="S97" i="2"/>
  <c r="R97" i="2"/>
  <c r="AD97" i="2" s="1"/>
  <c r="AC97" i="2" l="1"/>
  <c r="AE97" i="2"/>
  <c r="T26" i="4"/>
  <c r="S26" i="4"/>
  <c r="AK26" i="4" s="1"/>
  <c r="AL26" i="4" l="1"/>
  <c r="AJ26" i="4"/>
  <c r="AN26" i="4"/>
  <c r="V19" i="2"/>
  <c r="U19" i="2"/>
  <c r="AD19" i="2" s="1"/>
  <c r="AE19" i="2" l="1"/>
  <c r="AC19" i="2"/>
  <c r="O33" i="25"/>
  <c r="N33" i="25"/>
  <c r="Z33" i="25" s="1"/>
  <c r="AA33" i="25" l="1"/>
  <c r="Y33" i="25"/>
  <c r="N65" i="25"/>
  <c r="Z65" i="25" s="1"/>
  <c r="O41" i="25" l="1"/>
  <c r="N41" i="25"/>
  <c r="Z41" i="25" s="1"/>
  <c r="AA41" i="25" l="1"/>
  <c r="Y41" i="25"/>
  <c r="R24" i="25"/>
  <c r="Q24" i="25"/>
  <c r="Z24" i="25" s="1"/>
  <c r="Y24" i="25" l="1"/>
  <c r="AA24" i="25"/>
  <c r="R86" i="25"/>
  <c r="Q86" i="25"/>
  <c r="Z86" i="25" s="1"/>
  <c r="Y36" i="2"/>
  <c r="T5" i="4"/>
  <c r="S5" i="4"/>
  <c r="Q5" i="4"/>
  <c r="P5" i="4"/>
  <c r="AK5" i="4" s="1"/>
  <c r="AL5" i="4" l="1"/>
  <c r="AJ5" i="4"/>
  <c r="Y86" i="25"/>
  <c r="AA86" i="25"/>
  <c r="AE36" i="2"/>
  <c r="AC36" i="2"/>
  <c r="S35" i="4"/>
  <c r="T35" i="4"/>
  <c r="Q35" i="4"/>
  <c r="P35" i="4"/>
  <c r="AK35" i="4" s="1"/>
  <c r="Y35" i="4"/>
  <c r="X36" i="2"/>
  <c r="AD36" i="2" s="1"/>
  <c r="AL35" i="4" l="1"/>
  <c r="AJ35" i="4"/>
  <c r="AN35" i="4"/>
  <c r="N6" i="25"/>
  <c r="Z6" i="25" s="1"/>
  <c r="Y100" i="2" l="1"/>
  <c r="AC100" i="2" l="1"/>
  <c r="AE100" i="2"/>
  <c r="O65" i="25"/>
  <c r="AA65" i="25" l="1"/>
  <c r="Y65" i="25"/>
</calcChain>
</file>

<file path=xl/sharedStrings.xml><?xml version="1.0" encoding="utf-8"?>
<sst xmlns="http://schemas.openxmlformats.org/spreadsheetml/2006/main" count="5676" uniqueCount="3040">
  <si>
    <t>UNIVERSITI MALAYSIA KELANTAN</t>
  </si>
  <si>
    <t>BIL.</t>
  </si>
  <si>
    <t>NAMA</t>
  </si>
  <si>
    <t>NO. I/C</t>
  </si>
  <si>
    <t>TAJAAN</t>
  </si>
  <si>
    <t>PROGRAM</t>
  </si>
  <si>
    <t>TEMPOH</t>
  </si>
  <si>
    <t>KPT</t>
  </si>
  <si>
    <t>MyMaster</t>
  </si>
  <si>
    <t>2 JUL 2012 - 1 JUL 2015 (36 BULAN)</t>
  </si>
  <si>
    <t>900711115298</t>
  </si>
  <si>
    <t>2 SEP 2014- 1 MAR 2016 (18 BULAN)</t>
  </si>
  <si>
    <t>730802035649</t>
  </si>
  <si>
    <t>1 JUN 2012- 31 MAY 2015 (36 BULAN)</t>
  </si>
  <si>
    <t>880105355261</t>
  </si>
  <si>
    <t>1 JUL 2013 - 31 DEC 2014 (18 BULAN)</t>
  </si>
  <si>
    <t>880218035408</t>
  </si>
  <si>
    <t>2 SEP 2013- 1 MAR 2015 (18 BULAN)</t>
  </si>
  <si>
    <t>841109015000</t>
  </si>
  <si>
    <t>850813035878</t>
  </si>
  <si>
    <t>1 FEB 2013- 31 JAN 2015 (24 BULAN)</t>
  </si>
  <si>
    <t>850206025424</t>
  </si>
  <si>
    <t>700807035157</t>
  </si>
  <si>
    <t>3 FEB 2014- 2 AUG 2016 (30 BULAN)</t>
  </si>
  <si>
    <t>880301035767</t>
  </si>
  <si>
    <t>3 MAR 2014- 2 MAR 2016 (24 BULAN)</t>
  </si>
  <si>
    <t>870115085681</t>
  </si>
  <si>
    <t>2 JUL 2012- 1 JUL 2015 (36 BULAN)</t>
  </si>
  <si>
    <t>870327035379</t>
  </si>
  <si>
    <t>890121045529</t>
  </si>
  <si>
    <t>890513035637</t>
  </si>
  <si>
    <t>880427295177</t>
  </si>
  <si>
    <t>3 SEP 2012- 2 MAR 2015 (30 BULAN)</t>
  </si>
  <si>
    <t>890317035736</t>
  </si>
  <si>
    <t>760823145617</t>
  </si>
  <si>
    <t>890219035652</t>
  </si>
  <si>
    <t>711016035226</t>
  </si>
  <si>
    <t>850111025106</t>
  </si>
  <si>
    <t>840427065076</t>
  </si>
  <si>
    <t>890408035870</t>
  </si>
  <si>
    <t>831204035457</t>
  </si>
  <si>
    <t>860902295574</t>
  </si>
  <si>
    <t>830918036086</t>
  </si>
  <si>
    <t>SENARAI PELAJAR TAJAAN-PASCASISWAZAH</t>
  </si>
  <si>
    <t>881027035768</t>
  </si>
  <si>
    <t>880417035750</t>
  </si>
  <si>
    <t>880208035404</t>
  </si>
  <si>
    <t>901121036308</t>
  </si>
  <si>
    <t>1 AUG 2013- 31 JUL 2015 (24 BULAN)</t>
  </si>
  <si>
    <t>880920355436</t>
  </si>
  <si>
    <t>860214295490</t>
  </si>
  <si>
    <t>750916035987</t>
  </si>
  <si>
    <t>900906115378</t>
  </si>
  <si>
    <t>860218385864</t>
  </si>
  <si>
    <t>870310065694</t>
  </si>
  <si>
    <t>3 FEB 2014- 2 FEB 2015 (12 BULAN)</t>
  </si>
  <si>
    <t>AHMAD HAFIZI BIN ABDUL NASIR</t>
  </si>
  <si>
    <t>870624035519</t>
  </si>
  <si>
    <t>2 SEP 2013- 1 SEP 2014 (12 BULAN)</t>
  </si>
  <si>
    <t>AHMAD YUSUF BIN MOHD KAMIL</t>
  </si>
  <si>
    <t>2 SEP 2013- 1 SEP 2015 (24 BULAN)</t>
  </si>
  <si>
    <t>FAZNIRA BINTI ABU KHALIFAH @ ZAKARIA</t>
  </si>
  <si>
    <t>881027035274</t>
  </si>
  <si>
    <t>ILFAH HUSNA BINTI ABDULLAH RIPAIN</t>
  </si>
  <si>
    <t>900501137640</t>
  </si>
  <si>
    <t>INTAN SOFIENAZ BINTI AHMAD FUAD</t>
  </si>
  <si>
    <t>890515036377</t>
  </si>
  <si>
    <t>3 FEB 2014- 2 AUG 2015 (18 BULAN)</t>
  </si>
  <si>
    <t>KUMARAGURU A/L SIVAGEAHNAM</t>
  </si>
  <si>
    <t>890509025559</t>
  </si>
  <si>
    <t>MAISARAH BINTI AWANG</t>
  </si>
  <si>
    <t>860416465216</t>
  </si>
  <si>
    <t>3 SEP 2012- 2 MAR 2016 (42 BULAN)</t>
  </si>
  <si>
    <t>MOHD ABDUL AZIZ BIN AHMAD</t>
  </si>
  <si>
    <t>870731295105</t>
  </si>
  <si>
    <t>MOHD SHAFIQ BIN SHAMSUDDIN</t>
  </si>
  <si>
    <t>900412035319</t>
  </si>
  <si>
    <t>MUHAMMAD MUSTAQIM BIN MD. TUJUDIN</t>
  </si>
  <si>
    <t>NASRUL HAKIM BIN SALLEH</t>
  </si>
  <si>
    <t>830915035547</t>
  </si>
  <si>
    <t>NIK MOHD AIMAN BIN NEK ABD RAHMAN</t>
  </si>
  <si>
    <t>881204035217</t>
  </si>
  <si>
    <t>NIK NUR HUSNEENA BINTI KAMARUDDIN</t>
  </si>
  <si>
    <t>900513036134</t>
  </si>
  <si>
    <t>NOOR ASMA' BT MOHD ANUAR MUSHODDAD</t>
  </si>
  <si>
    <t>900123036024</t>
  </si>
  <si>
    <t>NORMAYUNI BINTI MAT ZAIN</t>
  </si>
  <si>
    <t>860518465364</t>
  </si>
  <si>
    <t>3 SEP 2012- 2 SEP 2014 (24 BULAN)</t>
  </si>
  <si>
    <t>NUR BAHIAH BINTI GHANI</t>
  </si>
  <si>
    <t>870923115252</t>
  </si>
  <si>
    <t>NUR FADIAH BINTI MOHD ZAWAWI</t>
  </si>
  <si>
    <t>850317035510</t>
  </si>
  <si>
    <t>NUR FAIZAH BINTI MAT ZAIN</t>
  </si>
  <si>
    <t>890725035858</t>
  </si>
  <si>
    <t>NUR FARISYA BINTI MOHD SAUFI</t>
  </si>
  <si>
    <t>910417036336</t>
  </si>
  <si>
    <t>NUR SABRINA ENDERA BINTI ABDULLAH</t>
  </si>
  <si>
    <t>800707135968</t>
  </si>
  <si>
    <t>NURUL AFIQAH BINTI MAHADI</t>
  </si>
  <si>
    <t>890709035284</t>
  </si>
  <si>
    <t>SITI FATIMAH ZAHRAH BT MAT ALI</t>
  </si>
  <si>
    <t>SITI MASITAH HAJDRAH BINTI ABDULLAH</t>
  </si>
  <si>
    <t>900709035504</t>
  </si>
  <si>
    <t>SUAINI BINTI CHE AHMAD</t>
  </si>
  <si>
    <t>880605035184</t>
  </si>
  <si>
    <t>SUHAILY SUHANA BT MOHD YUSOFF</t>
  </si>
  <si>
    <t>860623295440</t>
  </si>
  <si>
    <t>WAN MUHAMMAD BIN WAN ABDUL AZIZ</t>
  </si>
  <si>
    <t>WAN NURDIYANA BINTI WAN AMARINA</t>
  </si>
  <si>
    <t>880602035058</t>
  </si>
  <si>
    <t>WAN SOFIRA ELIZA BT HJ WAN YUSOF</t>
  </si>
  <si>
    <t>MyPhD</t>
  </si>
  <si>
    <t>KPM</t>
  </si>
  <si>
    <t>3 FEB 2014 - 2 FEB 2017 (36BULAN)</t>
  </si>
  <si>
    <t>1 MAR 2013 - 29 FEB 2016 (36 BULAN)</t>
  </si>
  <si>
    <t>3 FEB 2014 - 2 AUG 2016 (30 BULAN)</t>
  </si>
  <si>
    <t>3 MAR 2014 - 2 MAR 2017 (36 BULAN)</t>
  </si>
  <si>
    <t>2 SEP 2013 - 1 SEP 2016 (36 BULAN)</t>
  </si>
  <si>
    <t>1 MAR 2013 - 29 FEB 2016 ( 36 BULAN)</t>
  </si>
  <si>
    <t>3 MAR 2014 - 2 MAR 2017 (36 BULAN )</t>
  </si>
  <si>
    <t>1 FEB 2013 - 31 JUL 2015 (30 BULAN )</t>
  </si>
  <si>
    <t>1 OCT 2012- 30 SEPT 2015 (36BULAN)</t>
  </si>
  <si>
    <t>2 MAR 2013 - 1 MAR 2014 (30 BULAN )</t>
  </si>
  <si>
    <t>781018035178</t>
  </si>
  <si>
    <t>881216035118</t>
  </si>
  <si>
    <t>NOREDAYU BINTI MUHAMMAD</t>
  </si>
  <si>
    <t>W NOOR AIDA BINTI W MUHAMAD</t>
  </si>
  <si>
    <t>910122035942</t>
  </si>
  <si>
    <t>880608295176</t>
  </si>
  <si>
    <t>2 SEP 2014- 1 SEP 2017 (36 BULAN)</t>
  </si>
  <si>
    <t>AZAHA BIN IBRAHIM</t>
  </si>
  <si>
    <t>700721035121</t>
  </si>
  <si>
    <t>08 SEPT 2011- 07 SEPT 2015</t>
  </si>
  <si>
    <t>770517036788</t>
  </si>
  <si>
    <t>MTDC</t>
  </si>
  <si>
    <t>AZIZAH BINTI HUSSIN</t>
  </si>
  <si>
    <t>710317035102</t>
  </si>
  <si>
    <t>MOHD FADHIL BIN NAWI</t>
  </si>
  <si>
    <t>780522035009</t>
  </si>
  <si>
    <t>851014035235</t>
  </si>
  <si>
    <t>JPA</t>
  </si>
  <si>
    <t>09 SEPT 2013- 08 FEB 2016</t>
  </si>
  <si>
    <t>730223035409</t>
  </si>
  <si>
    <t>811008035734</t>
  </si>
  <si>
    <t>801120035399</t>
  </si>
  <si>
    <t>781013035208</t>
  </si>
  <si>
    <t>770911036452</t>
  </si>
  <si>
    <t>09 SEPT 2013- 08 SEPT 2015 (24 BULAN)</t>
  </si>
  <si>
    <t>700617035287</t>
  </si>
  <si>
    <t>800229035224</t>
  </si>
  <si>
    <t>A1668829</t>
  </si>
  <si>
    <t>820412065454</t>
  </si>
  <si>
    <t>720129035374</t>
  </si>
  <si>
    <t>700914-03-5689</t>
  </si>
  <si>
    <t>19 FEB 2012- 18 AUG 2016 (54 BULAN)</t>
  </si>
  <si>
    <t>FAUZILAH BINTI SALLEH</t>
  </si>
  <si>
    <t>660213035746</t>
  </si>
  <si>
    <t>08 SEPT 2011- 07 SEPT 2014 (36 BULAN)</t>
  </si>
  <si>
    <t>670502-03-5151</t>
  </si>
  <si>
    <t>MOHAMAD ZULKIFLI BIN ABDUL RAHIM</t>
  </si>
  <si>
    <t>710725115275</t>
  </si>
  <si>
    <t>01 SEPT 2012- 07 MEI 2017 (56 BULAN 7 HARI)</t>
  </si>
  <si>
    <t>670106-03-5707</t>
  </si>
  <si>
    <t>NIK AHMAD RIZAL BIN WAN ISMAIL</t>
  </si>
  <si>
    <t>710729035205</t>
  </si>
  <si>
    <t>23 SEPT 2013- 22 SEPT 2016 (36 BULAN)</t>
  </si>
  <si>
    <t>NURSALIZAH BINTI MUSLIM</t>
  </si>
  <si>
    <t>770913055702</t>
  </si>
  <si>
    <t>04 APRIL 2014- 03 APRIL 2016 (24 BULAN)</t>
  </si>
  <si>
    <t>MOHD SANUSI BIN DERAMAN</t>
  </si>
  <si>
    <t>730731035341</t>
  </si>
  <si>
    <t>01 SEPT 2012- 09 JULAI 2014 (24 BULAN 7 HARI)</t>
  </si>
  <si>
    <t>AFFENDI BIN ISMAIL</t>
  </si>
  <si>
    <t>670622035017</t>
  </si>
  <si>
    <t>04 JAN 2011- 03 JAN 2014 (36 BULAN)</t>
  </si>
  <si>
    <t>ROHAYU BINTI DAUD</t>
  </si>
  <si>
    <t>MARA</t>
  </si>
  <si>
    <t>ISKANDAR HASAN TAN BIN ABDULLAH</t>
  </si>
  <si>
    <t>770307035808</t>
  </si>
  <si>
    <t>MD KHAIRIL HAFIZI BIN MUHAMAD</t>
  </si>
  <si>
    <t>TATIUC</t>
  </si>
  <si>
    <t>730412075135</t>
  </si>
  <si>
    <t>DEC 2009- JUN 2013</t>
  </si>
  <si>
    <t>03 SEPT 2009- 30 SEPT 2014</t>
  </si>
  <si>
    <t>NUR HANISAH BINTI MOHAMED ARIF</t>
  </si>
  <si>
    <t>871010295070</t>
  </si>
  <si>
    <t>ISKANDAR BIN ALI</t>
  </si>
  <si>
    <t>860317295151</t>
  </si>
  <si>
    <t>SITI MARIAM BINTI MAT NOR</t>
  </si>
  <si>
    <t>870921035304</t>
  </si>
  <si>
    <t>NURUL AIN BINTI MAZNI</t>
  </si>
  <si>
    <t>880720295176</t>
  </si>
  <si>
    <t>FATIMAH BINTI MUHD SHUKRI</t>
  </si>
  <si>
    <t>880209085630</t>
  </si>
  <si>
    <t>NASIHAH BINTI MOKHTAR</t>
  </si>
  <si>
    <t>880207035656</t>
  </si>
  <si>
    <t>MARDHIAH HAYATI BT MOHAMMAD</t>
  </si>
  <si>
    <t>880419115092</t>
  </si>
  <si>
    <t>01 FEB 2012- 28 FEB 2014</t>
  </si>
  <si>
    <t>09 SEPT 2012- 08 SEPT 2015 (36 BULAN)</t>
  </si>
  <si>
    <t>05 JAN 2013- 01 APR 2016 (36 BULAN)</t>
  </si>
  <si>
    <t>09 SEPT 2013- 08 MAC 2017 (42 BULAN)</t>
  </si>
  <si>
    <t>06 JAN 2009- 05 JAN 2014 (60 BULAN)</t>
  </si>
  <si>
    <t>21 OKT 2013- 20 OKT 2016 (36 BULAN)</t>
  </si>
  <si>
    <t>850531036135</t>
  </si>
  <si>
    <t>NORMAZZALIANA BINTI IBRAHIM</t>
  </si>
  <si>
    <t>SITI SYAZA AIMAN BINTI SEH WALI</t>
  </si>
  <si>
    <t>AHMAD MARWAN BIN AZIZAN</t>
  </si>
  <si>
    <t>AISYAH BAHIAH BINTI AIDUL BAHREIN</t>
  </si>
  <si>
    <t>BURHANUDDIN BIN BAHARUDDIN</t>
  </si>
  <si>
    <t>FAYROSE SYAAFEERAH BINTI IZHAR</t>
  </si>
  <si>
    <t>GOBINATH A/L NADARAJAH</t>
  </si>
  <si>
    <t>HANIS ALYANI BINTI HISHAM</t>
  </si>
  <si>
    <t>HANISAH BINTI RAHIN</t>
  </si>
  <si>
    <t>HAZNINA AINI BINTI HASSAN</t>
  </si>
  <si>
    <t>HULAIMIAH BINTI MOHD  NAIN</t>
  </si>
  <si>
    <t>INTAN NUR DIYANA BINTI CHE BAKAR</t>
  </si>
  <si>
    <t>LIM WAN YI</t>
  </si>
  <si>
    <t>MIE CHIEAN A/P BON HIN @ YAN BON HIN</t>
  </si>
  <si>
    <t>MOHD AZALI PUTERA BIN ISMAIL</t>
  </si>
  <si>
    <t>MOHD HAFIZI BIN AB AZIZ</t>
  </si>
  <si>
    <t>MOHD HAFIZUDDIN HIEW BIN ABDULLAH</t>
  </si>
  <si>
    <t>MOHD SUHAIRI BIN SUHAIMIN</t>
  </si>
  <si>
    <t>MOHD ZAIDIZAEN BIN MOHAMED</t>
  </si>
  <si>
    <t>MUHAMAD SHAH RIZAL BIN SENAN</t>
  </si>
  <si>
    <t>MUHAMMAD DHIYAUDDIN HILMAN BIN WI</t>
  </si>
  <si>
    <t>MUHD HAZIM BIN SHUKRI</t>
  </si>
  <si>
    <t>NADIAH BT ABDUL KADIR</t>
  </si>
  <si>
    <t>NADRAH SHAHIRAH BINTI PERWAIZ AHMAD</t>
  </si>
  <si>
    <t>NASRUL BIN NOH</t>
  </si>
  <si>
    <t>NASUHA IZATI BINTI NAJIR MOHD</t>
  </si>
  <si>
    <t>NIK ANIS NADIA NIK MARZUKI</t>
  </si>
  <si>
    <t>NIK MOHD REDZUAN BIN MOHD NOOR</t>
  </si>
  <si>
    <t>NOOR AZIDA BINTI AZIZAN</t>
  </si>
  <si>
    <t>NOR AIZUDIN ZAIN BIN ALUI</t>
  </si>
  <si>
    <t>NOR ALISMA BT CHE ALIAS</t>
  </si>
  <si>
    <t>NORAIN BINTI HAMDAN</t>
  </si>
  <si>
    <t>NUR AZIAH BINTI MOHD AROF</t>
  </si>
  <si>
    <t>NUR EZDIANI BINTI ROSELI</t>
  </si>
  <si>
    <t xml:space="preserve">NUR IZZATI HUSNA BINTI ABD RAHMAN </t>
  </si>
  <si>
    <t>NUR MASTURINA BINTI OMAR</t>
  </si>
  <si>
    <t>NURUL AISYA BINTI ZAINUDDIN</t>
  </si>
  <si>
    <t>NURUL IFFAH BINTI AHMAD</t>
  </si>
  <si>
    <t>PUVIYAN THEVAR A/L THIAGARAJAN</t>
  </si>
  <si>
    <t>ROSMAWATI BINTI MOHAMED</t>
  </si>
  <si>
    <t>RUZILMAN BIN MOHD FAUZI</t>
  </si>
  <si>
    <t>SITI AMINAH BINTI MOHD NAIM @ MHD ZUKI</t>
  </si>
  <si>
    <t>SITI NORASYIKIN BINTI ABDUL RAHMAN</t>
  </si>
  <si>
    <t>SITI SYAKIRAH BINTI YUSOH</t>
  </si>
  <si>
    <t>VANAJA A/P SUBRAMANY</t>
  </si>
  <si>
    <t>WAN MAISARAH BINTI WAN NASIR</t>
  </si>
  <si>
    <t>WAN NURUL ILLIANA BINTI ZULKAFLI</t>
  </si>
  <si>
    <t>AHMAD FIRDAUSE BIN MD FADZIL</t>
  </si>
  <si>
    <t>ARIS PAZILAH BIN HARUN</t>
  </si>
  <si>
    <t>FATIN NORSYAFAWATI BINTI MOHD SABRI</t>
  </si>
  <si>
    <t>GHZALI BIN ISMAIL</t>
  </si>
  <si>
    <t>KARTINI BINTI KADIR</t>
  </si>
  <si>
    <t>LEE JENN YUAN</t>
  </si>
  <si>
    <t>MOHAMMAD MAHDI BIN ABAS</t>
  </si>
  <si>
    <t>MOHD TAUFIQ MAT JALIL</t>
  </si>
  <si>
    <t>NIK ANNUAR FATHI BIN NIK HASSAN</t>
  </si>
  <si>
    <t>NIK FAZLI BIN SAPIAN</t>
  </si>
  <si>
    <t>NIK NURUL ANIESHA BINTI NIK ZAINI</t>
  </si>
  <si>
    <t>NIK ZIRWATUL FATIHAH BINTI ISMAIL</t>
  </si>
  <si>
    <t>NOORMARIANA BINTI MOHD DIN</t>
  </si>
  <si>
    <t>NORLI BINTI ISMAIL</t>
  </si>
  <si>
    <t>NUR FARAHIAH BINTI ZAKARIA</t>
  </si>
  <si>
    <t>RAMLEE BIN ABDUL MANAF</t>
  </si>
  <si>
    <t>SHAHRIL BIN ABDUL HALIM</t>
  </si>
  <si>
    <t>SITI AISAH BT YUSOFF</t>
  </si>
  <si>
    <t>SITI AMALIYA BINTI MOHD RADYI</t>
  </si>
  <si>
    <t>SITI NURULAINI BT AZMI</t>
  </si>
  <si>
    <t>WAN HASNI BIN WAN AHMAD</t>
  </si>
  <si>
    <t>WAN KHAIRY BIN WAN IBRAHIM</t>
  </si>
  <si>
    <t>WAN NUR FADILLA BINTI WAN HAMAD</t>
  </si>
  <si>
    <t>WAN NURSAFIAH BINTI WAN IBRAHIM</t>
  </si>
  <si>
    <t>ZAINON BT CHE MAT</t>
  </si>
  <si>
    <t>ZALINA BT AWANG</t>
  </si>
  <si>
    <t>AKRAM BIN HASAN</t>
  </si>
  <si>
    <t>HAFIZA MARINA BINTI RAMLI</t>
  </si>
  <si>
    <t>HASIMI BIN SALLEHUDIN</t>
  </si>
  <si>
    <t>LAILA NAZURA NAWI</t>
  </si>
  <si>
    <t>MASKHARIAH BINTI SAMSUDIN</t>
  </si>
  <si>
    <t>MOHAMED SAFARUDDIN BIN ISMAIL</t>
  </si>
  <si>
    <t>NORISHAH BINTI SHAMSHIR KHAN</t>
  </si>
  <si>
    <t>SITI NORITA BINTI MOHAMAD</t>
  </si>
  <si>
    <t>SUHAIZAI BINTI IDERIS</t>
  </si>
  <si>
    <t>SAMIHAH BINTI AHMED</t>
  </si>
  <si>
    <t>SITI NAZHIRAH BINTI ISMAIL</t>
  </si>
  <si>
    <t>NURUL SYAHIDA BINTI MOHD NASIR</t>
  </si>
  <si>
    <t>1 FEB 2012- 31 JUL 2013 (18 BULAN)</t>
  </si>
  <si>
    <t>1 SEPT 2011- 31 AUG 2013 (24 BULAN)</t>
  </si>
  <si>
    <t>1 SEPT 2011- 28 FEB 2013 (18 BULAN)</t>
  </si>
  <si>
    <t>RUSLEE BIN ISMAIL</t>
  </si>
  <si>
    <t>660420035351</t>
  </si>
  <si>
    <t>RISDA</t>
  </si>
  <si>
    <t>AHMAD MUJAHIDEEN BIN HAJI YUSOFF</t>
  </si>
  <si>
    <t>750524115267</t>
  </si>
  <si>
    <t>HLP</t>
  </si>
  <si>
    <t>PhD</t>
  </si>
  <si>
    <t>Master</t>
  </si>
  <si>
    <t>MBA</t>
  </si>
  <si>
    <t>MUHAMMAD NURULFAIZAL BIN KUSAIRI</t>
  </si>
  <si>
    <t>811225135109</t>
  </si>
  <si>
    <t>NORALIZA BINTI MOHD ROFI</t>
  </si>
  <si>
    <t>850923036046</t>
  </si>
  <si>
    <t>760928035174</t>
  </si>
  <si>
    <t>YURAN PENGAJIAN SECARA SEPARUH MASA/SAMBILAN KEPADA PENJAWAT AWAM</t>
  </si>
  <si>
    <t>NURSABATI BINTI MOHD PAUZI</t>
  </si>
  <si>
    <t>880823295232</t>
  </si>
  <si>
    <t>MASZURA BINTI CHE MAT</t>
  </si>
  <si>
    <t>NURSHAZREN BINTI FAUZI</t>
  </si>
  <si>
    <t>NUR HAFIZAH BINTI RAMLE</t>
  </si>
  <si>
    <t>1 NOV 2012 - 31 AUG 2015 (34 BULAN)</t>
  </si>
  <si>
    <t>LEE MING YIE</t>
  </si>
  <si>
    <t>881015035859</t>
  </si>
  <si>
    <t>MOHAMAD NORISHAM BIN MOHAMD ROSLI</t>
  </si>
  <si>
    <t>881006036163</t>
  </si>
  <si>
    <t>KARUNAKARAN A / L THARMADURAI</t>
  </si>
  <si>
    <t>LIANA DAHIYAH DIRKHAN BT AB KADIR</t>
  </si>
  <si>
    <t>890408036240</t>
  </si>
  <si>
    <t>2 SEP 2014 - 1 SEP 2015 (12 BULAN)</t>
  </si>
  <si>
    <t>NUR NADIAH BINTI JOHAN</t>
  </si>
  <si>
    <t>2 SEP 2014 - 1 MAR 2016 (18 BULAN)</t>
  </si>
  <si>
    <t>890102145532</t>
  </si>
  <si>
    <t>2 SEP 2014 - 1 MAR 2015 (6 BULAN)</t>
  </si>
  <si>
    <t>MUHAMMAD HAZIZI BIN ISMAIL</t>
  </si>
  <si>
    <t>3 MAR 2014 - 2 MAR 2016 (24 BULAN)</t>
  </si>
  <si>
    <t>SAMAT HARON BIN JOLL</t>
  </si>
  <si>
    <t>651020135383</t>
  </si>
  <si>
    <t>2 SEP 2014 - 1 SEP 2016 (24 BULAN)</t>
  </si>
  <si>
    <t>MUHAMMAD AFIQ BIN RAHIM</t>
  </si>
  <si>
    <t>PNS</t>
  </si>
  <si>
    <t>2 TAHUN 6 BULAN</t>
  </si>
  <si>
    <t>JUMLAH</t>
  </si>
  <si>
    <t>MAYBANK</t>
  </si>
  <si>
    <t>CLAIM SELEPAS MYBRAIN HABIS</t>
  </si>
  <si>
    <t>SYARIFAH HANIS BINTI SYED MOHD</t>
  </si>
  <si>
    <t>881230035368</t>
  </si>
  <si>
    <t>NORHAYATI BINTI ZAINI</t>
  </si>
  <si>
    <t>ZAIRAH BINTI ABDUL KADIR</t>
  </si>
  <si>
    <t>YAYASAN SARAWAK</t>
  </si>
  <si>
    <t>JOLLY BIN MARIKAN</t>
  </si>
  <si>
    <t>COMMENCING OCTOBER 2014</t>
  </si>
  <si>
    <t>DAYANG ADELINA BT ABANG MUAN</t>
  </si>
  <si>
    <t>710911135130</t>
  </si>
  <si>
    <t>12 FEB 2014 - 11 AUG 2016 (30 BULAN)</t>
  </si>
  <si>
    <t>PERBADANAN NASIONAL BERHAD (PNS)</t>
  </si>
  <si>
    <t>NORSYAMIRA BINTI MOHD ALIJABA</t>
  </si>
  <si>
    <t>2 FEB 2015 - 1 AUG 2016 (18 BULAN)</t>
  </si>
  <si>
    <t>AMIRAH BINTI RASID</t>
  </si>
  <si>
    <t>PTPTN</t>
  </si>
  <si>
    <t>NORHISHAM BIN MOHD KASIM</t>
  </si>
  <si>
    <t>DOKTOR FALSAFAH KEUSAHAWANAN</t>
  </si>
  <si>
    <t>5 SEMESTER</t>
  </si>
  <si>
    <t>EMBASSY</t>
  </si>
  <si>
    <t>MOHAMMED ALMAHDI IBRAHIM BASHA</t>
  </si>
  <si>
    <t>PASSPORT NO.</t>
  </si>
  <si>
    <t>EMBASSY OF LIBYA</t>
  </si>
  <si>
    <t>MASTER OF SCIENCE</t>
  </si>
  <si>
    <t>MARCH 2015 - FEBRUARY 2016</t>
  </si>
  <si>
    <t>-</t>
  </si>
  <si>
    <t>NOOR LIYANA BINTI ROSDIN</t>
  </si>
  <si>
    <t>880515035199</t>
  </si>
  <si>
    <t>LEMBAGA PERTUBUHAN PELADANG</t>
  </si>
  <si>
    <t>SARJANA PENGURUSAN PERNIAGAAN / KEWANGAN</t>
  </si>
  <si>
    <t xml:space="preserve">TIDAK MELEBIHI TEMPOH 3 TAHUN </t>
  </si>
  <si>
    <t>TARIKH SURAT</t>
  </si>
  <si>
    <t>AZYANEE BINTI LUQMAN</t>
  </si>
  <si>
    <t>790416035282</t>
  </si>
  <si>
    <t>JENIS TAJAAN</t>
  </si>
  <si>
    <t>SLAI</t>
  </si>
  <si>
    <t>SLAB</t>
  </si>
  <si>
    <t>AZLINI BINTI CHE HASSAN @ HASSAN</t>
  </si>
  <si>
    <t>800409035838</t>
  </si>
  <si>
    <t>*PELAJAR MENAMATKAN PENGAJIAN 10/04/2014</t>
  </si>
  <si>
    <t>1 OCT 2014 - 30 SEP 2017 (36 BULAN)</t>
  </si>
  <si>
    <t>2 SEPT 2014 - 1 MAR 2015 (6 BULAN)</t>
  </si>
  <si>
    <t>2 SEP 2013 - 1 MAR 2015 (18 BULAN)</t>
  </si>
  <si>
    <t>911224036086</t>
  </si>
  <si>
    <t>1 OCT 2014 - 30 SEP 2016 (24 BULAN)</t>
  </si>
  <si>
    <t>CHE ADNAN BIN CHE DAUD</t>
  </si>
  <si>
    <t>700826035259</t>
  </si>
  <si>
    <t>MYPhD</t>
  </si>
  <si>
    <t>2 SEP 2014 - 1 MAR 2017 (30 BULAN)</t>
  </si>
  <si>
    <t>1 NOV 2013 - 31 OCT 2016 (36 BULAN)</t>
  </si>
  <si>
    <t>2 SEP 2014 - 1 SEP 2016 (24  BULAN)</t>
  </si>
  <si>
    <t>ETHE RAJ A/L PERAMUTHU</t>
  </si>
  <si>
    <t>2 SEP 2014 - 1 MAR 2018 (42 BULAN)</t>
  </si>
  <si>
    <t>GAN SZE HUEY</t>
  </si>
  <si>
    <t>890917035190</t>
  </si>
  <si>
    <t>LILIANTY BT NADZERI</t>
  </si>
  <si>
    <t>3 NOV 2014 - 2 NOV 2016 (24 BULAN)</t>
  </si>
  <si>
    <t>2 SEP 2013 - 1 SEP 2015 (24 BULAN)</t>
  </si>
  <si>
    <t>MOHAMAD FADLULLAH BIN MOHAMAD RAZALI</t>
  </si>
  <si>
    <t>901213035513</t>
  </si>
  <si>
    <t>880706035706</t>
  </si>
  <si>
    <t>MARA (SPIP)</t>
  </si>
  <si>
    <t>MASTER</t>
  </si>
  <si>
    <t>2 TAHUN (01/10/2014 - 30/09/2016)</t>
  </si>
  <si>
    <t>*CLAIM UNTUK FEB 14/15.</t>
  </si>
  <si>
    <t>SITI SANIAH BINTI AB. KARIM</t>
  </si>
  <si>
    <t>NOR SHUHADA BINTI AHMAD SHAUPI</t>
  </si>
  <si>
    <t>2 FEB 2015 - 1 AUG 2017 (30 BULAN)</t>
  </si>
  <si>
    <t xml:space="preserve">KPM </t>
  </si>
  <si>
    <t>NIK MAZIRAWATI BT NIK IBRAHIM</t>
  </si>
  <si>
    <t>2 FEB 2015 - 1 FEB 2016 (12 BULAN)</t>
  </si>
  <si>
    <t>MOHAMAD SAIFUL BIN SULAIMAN</t>
  </si>
  <si>
    <t>MUHAMMAD ARIEFF BIN MAT SHUKRI</t>
  </si>
  <si>
    <t>SYARIFAH ROHAYA BINTI WAN IDRIS</t>
  </si>
  <si>
    <t>IJAZAH SARJANA PENTADBIRAN PERNIAGAAN</t>
  </si>
  <si>
    <t>SEPANJANG TEMPOH PENAJAAN PENGAJIAN MULAI FEBRUARI 2014</t>
  </si>
  <si>
    <t>14 MEI 2014</t>
  </si>
  <si>
    <t>870526035056</t>
  </si>
  <si>
    <t>KURSUS</t>
  </si>
  <si>
    <t>SARJANA SAINS PENTERNAKAN</t>
  </si>
  <si>
    <t>MOHD ZHARIF BIN RAMLI</t>
  </si>
  <si>
    <t>900202025163</t>
  </si>
  <si>
    <t>SARJANA SAINS</t>
  </si>
  <si>
    <t>STEVEN CHARLES ALBERT</t>
  </si>
  <si>
    <t>850927125927</t>
  </si>
  <si>
    <t>SARJANA KEUSAHAWANAN KEWANGAN</t>
  </si>
  <si>
    <t>NUR IZZATY IQLIMA BINTI NORAZAM</t>
  </si>
  <si>
    <t>900806055304</t>
  </si>
  <si>
    <t>861109295688</t>
  </si>
  <si>
    <t>680121106525</t>
  </si>
  <si>
    <t>861110295394</t>
  </si>
  <si>
    <t>DOKTOR FALSAFAH</t>
  </si>
  <si>
    <t>SITI SOM HUSIN</t>
  </si>
  <si>
    <t>SARJANA KEUSAHAWANAN</t>
  </si>
  <si>
    <t>2 SEP 2014 - 1 SEP 2017 (36 BULAN)</t>
  </si>
  <si>
    <t>KEUSAHAWANAN TEKNOLOGI PERTANIAN</t>
  </si>
  <si>
    <t>MALAYSIA INTERNATIONAL SCHOLARSHIP (MIS)</t>
  </si>
  <si>
    <t>RUSLEE NUH</t>
  </si>
  <si>
    <t>1 FEB 2012 - 31 JAN 2014 (24 BULAN)</t>
  </si>
  <si>
    <t>BIOTEKNOLOGI TUMBUHAN</t>
  </si>
  <si>
    <t>1 MAR 2013 - 28 FEB 2015 (24 BULAN)</t>
  </si>
  <si>
    <t>SARJANA SAINS (TEKNOLOGI PEMBANGUNAN PRODUK)</t>
  </si>
  <si>
    <t>880830035754</t>
  </si>
  <si>
    <t>1 FEB 2013 - 31 JULY 2014 (18 BULAN)</t>
  </si>
  <si>
    <t>NURUL HUSNA BINTI BARUDDIN</t>
  </si>
  <si>
    <t>891013035328</t>
  </si>
  <si>
    <t>MOHD KAMARUL AZAM BIN GHANI</t>
  </si>
  <si>
    <t>831213036371</t>
  </si>
  <si>
    <t>SARJANA SASTERA</t>
  </si>
  <si>
    <t>NIK AHMAD SUFIAN BIN BURHAN @ JAOHARI</t>
  </si>
  <si>
    <t>PEMBANGUNAN DAN PENDIDIKAN NILAI</t>
  </si>
  <si>
    <t>KPTM</t>
  </si>
  <si>
    <t>PENGAJIAN WARISAN (LANDSKAP)</t>
  </si>
  <si>
    <t>MOHD HAKIM BIN HJ. ABDUL HAMID</t>
  </si>
  <si>
    <t>780222017095</t>
  </si>
  <si>
    <t>SARJANA KEUSAHAWANAN &amp; PERNIAGAAN</t>
  </si>
  <si>
    <t>3 SEP 2012 - 2 SEP 2014 (24 BULAN)</t>
  </si>
  <si>
    <t>SARJANA KEUSAHAWANAN (PENGURUSAN)</t>
  </si>
  <si>
    <t>MASTER OF ENTREPRENEURSHIP (HOSPITALITY)</t>
  </si>
  <si>
    <t>NOR ATMA SHAHIDA BT NAFI</t>
  </si>
  <si>
    <t>870715035098</t>
  </si>
  <si>
    <t>MANAGEMENT</t>
  </si>
  <si>
    <t>NIK NOR FATIN BINTI ROZIK</t>
  </si>
  <si>
    <t>890518035564</t>
  </si>
  <si>
    <t>NUTRISI</t>
  </si>
  <si>
    <t>SARJANA SAINS (MIKROBIOLOGI)</t>
  </si>
  <si>
    <t>SITI AMINAH BINTI MOHD NOR</t>
  </si>
  <si>
    <t>871122295032</t>
  </si>
  <si>
    <t>FINANCE</t>
  </si>
  <si>
    <t>INSTITUT PENYELIDIKAN DAN KEMAJUAN PERTANIAN MALAYSIA / MALAYSIAN AGRICULTURAL RESEARCH AND DEVELOPMENT INSTITUTE (MARDI)</t>
  </si>
  <si>
    <t>SARJANA KEUSAHAWANAN PELANCONGAN</t>
  </si>
  <si>
    <t>JUNAINAH BINTI MOHAMAD</t>
  </si>
  <si>
    <t>DOKTOR FALSAFAH (PENGURUSAN)</t>
  </si>
  <si>
    <t>SURAINI BINTI SAUFI</t>
  </si>
  <si>
    <t>771020036314</t>
  </si>
  <si>
    <t>3 JAN 2011 - 2 JAN 2014 (37 BULAN)</t>
  </si>
  <si>
    <t>DOKTOR FALSAFAH STRATEGIC MANAGEMENT</t>
  </si>
  <si>
    <t>ALI SAEED HAMOODI AL-CHALABI</t>
  </si>
  <si>
    <t>REPUBLIC OF IRAQ</t>
  </si>
  <si>
    <t>DOKTOR FALSAFAH DALAM BIDANG GEOSAINS</t>
  </si>
  <si>
    <t>SARJANA SAINS BIOTEKNOLOGI PERTANIAN</t>
  </si>
  <si>
    <t>SARJANA SAINS (BIOTEKNOLOGI PERTANIAN)</t>
  </si>
  <si>
    <t>SEPT 2013 - AUG 2015 (2 TAHUN)</t>
  </si>
  <si>
    <t>SARJANA SAINS KELESTARIAN</t>
  </si>
  <si>
    <t>MOHAMAD AZHAR BIN IBRAHIM</t>
  </si>
  <si>
    <t>900706035971</t>
  </si>
  <si>
    <t>SARJANA SAINS PENGURUSAN SUMBER ASLI</t>
  </si>
  <si>
    <t>PENGAJIAN SEJARAH DAN PERADABAN</t>
  </si>
  <si>
    <t>900130035628</t>
  </si>
  <si>
    <t>WAN SAFRA DIYANA BT WAN ABDUL GHANI</t>
  </si>
  <si>
    <t>2 MAR 2015 - 1 MAR 2018 (36 BULAN)</t>
  </si>
  <si>
    <t>STAFF UMK (PENGECUALIAN YURAN)</t>
  </si>
  <si>
    <t>MOHD BINYAMIN BIN CHE YAACOB</t>
  </si>
  <si>
    <t>NORHAYATI BINTI NORDIN</t>
  </si>
  <si>
    <t>MYMASTER MBA - COURSEWORK</t>
  </si>
  <si>
    <t>MYMASTER MBA - RESEARCH</t>
  </si>
  <si>
    <t xml:space="preserve">MYBRAIN15 - MYPHD </t>
  </si>
  <si>
    <t>HADIAH LATIHAN PERSEKUTUAN (HLP)</t>
  </si>
  <si>
    <t>MAKTAB KOPERASI MALAYSIA (MKM)</t>
  </si>
  <si>
    <t>DOKTOR FALSAFAH (REKABENTUK PRODUK)</t>
  </si>
  <si>
    <t>DOKTOR FALSAFAH PENGURUSAN</t>
  </si>
  <si>
    <t>SARJANA SAINS (KEUSAHAWANAN TEKNOLOGI PERTANIAN)</t>
  </si>
  <si>
    <t>NOR AZIZAH MD NORDIN</t>
  </si>
  <si>
    <t>721125-03-5566</t>
  </si>
  <si>
    <t>AIN AUZUREEN BT MAT ZIN</t>
  </si>
  <si>
    <t>910904035840</t>
  </si>
  <si>
    <t>2 MAR 2015 - 1 MAR 2017 (24 BULAN)</t>
  </si>
  <si>
    <t>SARJANA SAINS MIKROBIOLOGI</t>
  </si>
  <si>
    <t>NUR FADHILAH BINTI ABDULLAH</t>
  </si>
  <si>
    <t>900603036058</t>
  </si>
  <si>
    <t>PERINGKAT</t>
  </si>
  <si>
    <t>KEDOKTORAN</t>
  </si>
  <si>
    <t>FOO SOON WAH</t>
  </si>
  <si>
    <t>791201-03-5036</t>
  </si>
  <si>
    <t>05 SEPT 2012 - 04 SEPT 2015 (36 BULAN)</t>
  </si>
  <si>
    <t>SARJANA</t>
  </si>
  <si>
    <t>LIEW YOON MEI</t>
  </si>
  <si>
    <t>651018-08-5364</t>
  </si>
  <si>
    <t>TAN SUN HUAT</t>
  </si>
  <si>
    <t>750825-03-5703</t>
  </si>
  <si>
    <t>CHAN YEE MONG</t>
  </si>
  <si>
    <t>791106-03-5230</t>
  </si>
  <si>
    <t>YURAN PENGAJIAN SECARA SEPARUH MASA / SAMBILAN KEPADA PENJAWAT AWAM TAHUN 2013 (YPSSM)</t>
  </si>
  <si>
    <t>AMAUN LAYAK</t>
  </si>
  <si>
    <t>TUNTUTAN</t>
  </si>
  <si>
    <t>BAYARAN KPT</t>
  </si>
  <si>
    <t>BAKI TUNTUTAN</t>
  </si>
  <si>
    <t>AMAUN TAK COVER</t>
  </si>
  <si>
    <t>RM</t>
  </si>
  <si>
    <t>PERTAMA</t>
  </si>
  <si>
    <t>KEDUA</t>
  </si>
  <si>
    <t>SITI NOOR ZALIKHA BT RAZALI</t>
  </si>
  <si>
    <t>INV001490/13 - RM3,100</t>
  </si>
  <si>
    <t>INV000980/14 - RM4,500</t>
  </si>
  <si>
    <t>15 JULAI 2013</t>
  </si>
  <si>
    <t>UMK 010000011333-RM3,000</t>
  </si>
  <si>
    <t>UMK 010000017385-RM4,500</t>
  </si>
  <si>
    <t>ZAMRI BIN AWANG @ CHE AMAT</t>
  </si>
  <si>
    <t>MOHD HAFEEZ AL-AMIN BIN ABDUL WAHAB</t>
  </si>
  <si>
    <t>09 SEPT 2014 - 08 SEPT 2017 (36 BULAN)</t>
  </si>
  <si>
    <t>UNIVERSITI MALAYSIA PERLIS</t>
  </si>
  <si>
    <t>UNIVERSITI SULTAN ZAINAL ABIDIN</t>
  </si>
  <si>
    <t>**PELANJUTAN TEMPOH</t>
  </si>
  <si>
    <t>08/09/2014-07/03/2015</t>
  </si>
  <si>
    <t>UNIVERSITI MALAYSIA TERENGGANU</t>
  </si>
  <si>
    <t>SKIM LATIHAN AKADEMIK IPTA (SLAI)</t>
  </si>
  <si>
    <t>IPTA</t>
  </si>
  <si>
    <t>WAN NUR FARAH FARHANA BINTI WAN MUSTAPHA</t>
  </si>
  <si>
    <t>890830035120</t>
  </si>
  <si>
    <t>SHAMSUDIN BIN SAHAIMIN</t>
  </si>
  <si>
    <t>04/01/2014-03/07/2014</t>
  </si>
  <si>
    <t>UNIVERSITI TEKNOLOGI MARA (UiTM)</t>
  </si>
  <si>
    <t>01 SEPT 2014 - 28 FEB 2017</t>
  </si>
  <si>
    <t>13 OCT 2011 - 12 APR 2015 (BULAN)</t>
  </si>
  <si>
    <t>MOHD NOR AMIRUDDIN BIN NORA AFANDI</t>
  </si>
  <si>
    <t>NORSHAHNIZA BINTI MOHAMAED KAMAL</t>
  </si>
  <si>
    <t>890516105354</t>
  </si>
  <si>
    <t>SARJANA GEOSAINS</t>
  </si>
  <si>
    <t>RIKINORHAKIS BIN RIDZWAN</t>
  </si>
  <si>
    <t>DOKTOR FALSAFAH PENGURUSAN KEUSHAWANAN DAN PERNIAGAAN</t>
  </si>
  <si>
    <t>NURULHUDA BINTI MD. OZMAN</t>
  </si>
  <si>
    <t>MARDI MUADZAM SHAH</t>
  </si>
  <si>
    <t>IJAZAH SARJANA (MSc)</t>
  </si>
  <si>
    <t>26 FEB 2015 - 25 FEB 2017 (2 TAHUN)</t>
  </si>
  <si>
    <t>14 SEP 2014 - 13 SEP 2016 (2 TAHUN)</t>
  </si>
  <si>
    <t>KAMPUS</t>
  </si>
  <si>
    <t>MGSEB-SARAWAK</t>
  </si>
  <si>
    <t>710416-13-5731</t>
  </si>
  <si>
    <t>MBA-SARAWAK</t>
  </si>
  <si>
    <t>MARDI KOTA KINABALU</t>
  </si>
  <si>
    <t>ZARINA BINTI MOHAMED</t>
  </si>
  <si>
    <t>INV000854/12</t>
  </si>
  <si>
    <t>INV000032/13,557/13,558/13,1457/13</t>
  </si>
  <si>
    <t>FULL CLAIM</t>
  </si>
  <si>
    <t>NOTA</t>
  </si>
  <si>
    <t>NOR SEHA BINTI NOR AZMI</t>
  </si>
  <si>
    <t>ID</t>
  </si>
  <si>
    <t>P14D364P</t>
  </si>
  <si>
    <t>YAYASAN NEGERI SEMBILAN</t>
  </si>
  <si>
    <t>FAEZAH BINTI ABDULLAH</t>
  </si>
  <si>
    <t>2 FEB 2015 - 1 FEB 2017 (24 BULAN)</t>
  </si>
  <si>
    <t>SITI FARHAH FAZIRA BINTI SHAMSUDIN</t>
  </si>
  <si>
    <t>NUR BASITHAH BT MOHD NAZRI</t>
  </si>
  <si>
    <t>INV000940/14</t>
  </si>
  <si>
    <t>24 FEB 2013 - 23 FEB 2016 (36 BULAN)</t>
  </si>
  <si>
    <t>2 SEPT 2014 - 1 MAR 2016 (18 BULAN)</t>
  </si>
  <si>
    <t>1 SEP 2011 - 31 AUG 2014  (36 BULAN) PELANJUTAN TEMPOH  1 MAC 2015 - 31 OGOS 2015 (6 BULAN)</t>
  </si>
  <si>
    <t>SITI MARLIA BINTI MOHD DON</t>
  </si>
  <si>
    <t>1 SEPT 2011 - 31 AUG 2013 (24 BULAN)</t>
  </si>
  <si>
    <t>890815-03-5210</t>
  </si>
  <si>
    <t>MOHD SHARIL BIN SAMSUDDIN</t>
  </si>
  <si>
    <t>DOKTOR FALSAFAH BIDANG KEWANGAN</t>
  </si>
  <si>
    <t>3 FEB 2014 - 2 AUG 2015 (18 BULAN)</t>
  </si>
  <si>
    <t>HANTAR TESIS 8 MEI 2014</t>
  </si>
  <si>
    <t>LEE LIH HUEY</t>
  </si>
  <si>
    <t>INV000222/15</t>
  </si>
  <si>
    <t>KOMUNIKASI SENI</t>
  </si>
  <si>
    <t>INV000022/15</t>
  </si>
  <si>
    <t>INV000233/15</t>
  </si>
  <si>
    <t>INV000231/15</t>
  </si>
  <si>
    <t>INV000229/15</t>
  </si>
  <si>
    <t>INV000228/15</t>
  </si>
  <si>
    <t>PENGURUSAN SUMBER ASLI</t>
  </si>
  <si>
    <t>INV000023/15</t>
  </si>
  <si>
    <t>AZIANIS BINTI MOHD NOOR</t>
  </si>
  <si>
    <t>ABD RAHIM BIN MOHD ARIS</t>
  </si>
  <si>
    <t>MOHD SYAHRUDDIN BIN MOHD SALLEH</t>
  </si>
  <si>
    <t>DIBERHENTIKAN (TIDAK MEMUASKAN)</t>
  </si>
  <si>
    <t>FADHILAHANIM ARYANI BINTI ABDULLAH</t>
  </si>
  <si>
    <t>2 MAR 2015 - 1 MAR 2019 (48 BULAN)</t>
  </si>
  <si>
    <t>PCM</t>
  </si>
  <si>
    <t>MOHD FAISAL BUKHARY BIN ABDULLAH</t>
  </si>
  <si>
    <t>SYAMSURIANA BINTI SIDEK</t>
  </si>
  <si>
    <t>INV000968/14</t>
  </si>
  <si>
    <t>NURSHAHIDA BINTI MUHAMAD RAZALI</t>
  </si>
  <si>
    <t>NUR HAKIMAH BT MOHD SUHAIMI</t>
  </si>
  <si>
    <t>NUR NAZIHAH BINTI RAHIM</t>
  </si>
  <si>
    <t>SARJANA SASTERA MULTIMEDIA</t>
  </si>
  <si>
    <t>NOR ZAWANI BT MAMAT@IBRAHIM</t>
  </si>
  <si>
    <t>INV000852/12</t>
  </si>
  <si>
    <t>INV000031/13,000528/13,000552/13,001432/13</t>
  </si>
  <si>
    <t>INV000025/15</t>
  </si>
  <si>
    <t>INV000622/15</t>
  </si>
  <si>
    <t>INV000625/15,000626/15</t>
  </si>
  <si>
    <t>INV000840/15</t>
  </si>
  <si>
    <t>INV000842/15</t>
  </si>
  <si>
    <t>INV000843/15</t>
  </si>
  <si>
    <t>INV000844/15</t>
  </si>
  <si>
    <t>INV000845/15</t>
  </si>
  <si>
    <t>INV000849/15,000850/15</t>
  </si>
  <si>
    <t>INV000256/12,000257/12,000856/12</t>
  </si>
  <si>
    <t>INV000609/13,001406/13</t>
  </si>
  <si>
    <t>INV000730/14</t>
  </si>
  <si>
    <t>INV000851/15</t>
  </si>
  <si>
    <t>INV000855/15</t>
  </si>
  <si>
    <t>INV000860/15</t>
  </si>
  <si>
    <t>TENGKU MOHD AZIZUDDIN BIN TUAN MAHMMOOD</t>
  </si>
  <si>
    <t>MUHAMMAD NUH BIN EZHAR</t>
  </si>
  <si>
    <t>1 FEB 2013 - 31 JAN 2014 (12 BULAN)</t>
  </si>
  <si>
    <t>INV001448/13</t>
  </si>
  <si>
    <t>INV000959/14</t>
  </si>
  <si>
    <t>RAJENND A/L MUNIADY</t>
  </si>
  <si>
    <t>3 FEB 2014 - 2 FEB 2016 (24 BULAN)</t>
  </si>
  <si>
    <t>PPS</t>
  </si>
  <si>
    <t>MGSEB</t>
  </si>
  <si>
    <t>A14E015F</t>
  </si>
  <si>
    <t>NO MATRIK</t>
  </si>
  <si>
    <t>FAKULTI</t>
  </si>
  <si>
    <t xml:space="preserve"> </t>
  </si>
  <si>
    <t>06.02.2015</t>
  </si>
  <si>
    <t>RM3,500.00</t>
  </si>
  <si>
    <t>1)</t>
  </si>
  <si>
    <t>2)</t>
  </si>
  <si>
    <t>3)</t>
  </si>
  <si>
    <t>NURDIANA BINTI AB KADIR</t>
  </si>
  <si>
    <t>INV000361/12,000935/12</t>
  </si>
  <si>
    <t>INV000527/13,001378/13</t>
  </si>
  <si>
    <t>INV000700/14</t>
  </si>
  <si>
    <t>INV000641/15</t>
  </si>
  <si>
    <t>DOCTORATE OF BUSINESS ADMINISTRATION</t>
  </si>
  <si>
    <t>PENTADBIRAN PERNIAGAAN</t>
  </si>
  <si>
    <t>INV000632/15</t>
  </si>
  <si>
    <t>INV000623/15</t>
  </si>
  <si>
    <t>INV000624/15</t>
  </si>
  <si>
    <t>INV000006/14,000973/14</t>
  </si>
  <si>
    <t>INV000627/15</t>
  </si>
  <si>
    <t>INV000631/15</t>
  </si>
  <si>
    <t>INV000633/15</t>
  </si>
  <si>
    <t>INV000936/14</t>
  </si>
  <si>
    <t>900706095077</t>
  </si>
  <si>
    <t>INV000935/14</t>
  </si>
  <si>
    <t>900913146260</t>
  </si>
  <si>
    <t>INV000634/15</t>
  </si>
  <si>
    <t>900618035234</t>
  </si>
  <si>
    <t>INV001536/13</t>
  </si>
  <si>
    <t>INV000739/14</t>
  </si>
  <si>
    <t>INV000635/15</t>
  </si>
  <si>
    <t>890427035032</t>
  </si>
  <si>
    <t>INV000004/14,000952/14</t>
  </si>
  <si>
    <t>INV000639/15</t>
  </si>
  <si>
    <t>SUFIAN BIN SALEH</t>
  </si>
  <si>
    <t>691122035371</t>
  </si>
  <si>
    <t>YEP YI PING</t>
  </si>
  <si>
    <t>880909035132</t>
  </si>
  <si>
    <t>SITI NURUL IZZATI BINTI MOHAMED NOOR</t>
  </si>
  <si>
    <t>3 SEP 2012- 2 MAR 2014 (18 BULAN)</t>
  </si>
  <si>
    <t>FULL CLAIM (DUE TO TEMPOH TAJAAN)</t>
  </si>
  <si>
    <t>INV000918/12</t>
  </si>
  <si>
    <t>INV000624/13,000625/13,001471/13</t>
  </si>
  <si>
    <t>MIRZA THANIA BINTI MOHD TAHIR</t>
  </si>
  <si>
    <t>891107115222</t>
  </si>
  <si>
    <t>INV001475/13</t>
  </si>
  <si>
    <t>INV000976/14</t>
  </si>
  <si>
    <t>INV001441/13</t>
  </si>
  <si>
    <t>INV000950/14</t>
  </si>
  <si>
    <t>INV000655/13,000656/13,000657/13,001449/13</t>
  </si>
  <si>
    <t>INV000960/14</t>
  </si>
  <si>
    <t>NIK NOOR LEEYANA BINTI KAMARUDDIN</t>
  </si>
  <si>
    <t>850815035556</t>
  </si>
  <si>
    <t>THURAISYAH BINTI JAAFAR</t>
  </si>
  <si>
    <t>901007075186</t>
  </si>
  <si>
    <t>AHMAD TAUFIK BIN MD. MOLAWI @ ISMAIL</t>
  </si>
  <si>
    <t>880925035167</t>
  </si>
  <si>
    <t>ROBIATULLADAWIAH BINTI MOHAMED</t>
  </si>
  <si>
    <t>891118035164</t>
  </si>
  <si>
    <t>DHEYA HAMOOD SIAF AL-FAKIH</t>
  </si>
  <si>
    <t>05031111</t>
  </si>
  <si>
    <t>EMBASSY OF THE REPUBLIC OF YEMEN</t>
  </si>
  <si>
    <t>WAN AMIRAH BINTI WAN SEMAN</t>
  </si>
  <si>
    <t>SITI NORMARINEE BINTI AHMAD</t>
  </si>
  <si>
    <t>INV000591/13,000592/13,000593/13,001470/13</t>
  </si>
  <si>
    <t>INV000974/14</t>
  </si>
  <si>
    <t>NUR FADHILAH BINTI KAMARUDIN</t>
  </si>
  <si>
    <t>NURUL NABILA BINTI RAMLI</t>
  </si>
  <si>
    <t>PIHAK BERKUASA KEMAJUAN PEKEBUN KECIL PERUSAHAAN GETAH (RISDA)</t>
  </si>
  <si>
    <t>INV001445/13,001446/13</t>
  </si>
  <si>
    <t>CREDIT NOTE</t>
  </si>
  <si>
    <t>ALIYA ATIKA ASYIKIN BINTI ABD HAMID</t>
  </si>
  <si>
    <t>891218016032</t>
  </si>
  <si>
    <t>INV001818/14</t>
  </si>
  <si>
    <t>INV001819/14,001821/14</t>
  </si>
  <si>
    <t>WAN NOR FATIHAH BINTI WAN HANAFI</t>
  </si>
  <si>
    <t>ABD AZIZ BIN ABD RAHIM</t>
  </si>
  <si>
    <t>DOCTORATE IN BUSINESS ADMINISTRATION</t>
  </si>
  <si>
    <t>630404035573</t>
  </si>
  <si>
    <t>INV001393/13,001394/13</t>
  </si>
  <si>
    <t>INV000716/14</t>
  </si>
  <si>
    <t>810526065437</t>
  </si>
  <si>
    <t>NUR AMALINA BINTI HALIM</t>
  </si>
  <si>
    <t>860720295522</t>
  </si>
  <si>
    <t>NUR SYAZWANI BINTI ISMAIL</t>
  </si>
  <si>
    <t>851206035598</t>
  </si>
  <si>
    <t>DOKTOR FALSAFAH AGAMA DAN KONTEMPORARI</t>
  </si>
  <si>
    <t>A 2992119</t>
  </si>
  <si>
    <t>AINUN MARDHIAH BINTI JUSOH</t>
  </si>
  <si>
    <t>880616015410</t>
  </si>
  <si>
    <t>TANG BEE EIK</t>
  </si>
  <si>
    <t>910331035420</t>
  </si>
  <si>
    <t>NOOR ADILAH BINTI YUSOF</t>
  </si>
  <si>
    <t>920108035806</t>
  </si>
  <si>
    <t>890628036330</t>
  </si>
  <si>
    <t>DUE TO TEMPOH TAJAAN</t>
  </si>
  <si>
    <t>TAKAFUL IKHLAS BERHAD</t>
  </si>
  <si>
    <t>RUWAIDA BINTI ROSDI</t>
  </si>
  <si>
    <t>870225-03-5562</t>
  </si>
  <si>
    <t>3 YEARS</t>
  </si>
  <si>
    <t>P15D100P</t>
  </si>
  <si>
    <t>850418035237</t>
  </si>
  <si>
    <t>1 FEB 2013 - 31 JAN 2015 (24 BULAN)</t>
  </si>
  <si>
    <t>INV001459/13</t>
  </si>
  <si>
    <t>INV001419/13,001420/13</t>
  </si>
  <si>
    <t>INV000742/14</t>
  </si>
  <si>
    <t>INV001404/03,001405/13</t>
  </si>
  <si>
    <t>INV000729/14</t>
  </si>
  <si>
    <t>MUHAMMAD FARHAN HILMI BIN RAMELI</t>
  </si>
  <si>
    <t>890908035535</t>
  </si>
  <si>
    <t>SARJANA SAINS PERTENAKAN</t>
  </si>
  <si>
    <t>900130035417</t>
  </si>
  <si>
    <t>JUMLAH BAYARAN KPM</t>
  </si>
  <si>
    <t>INV000245/15,000250/15</t>
  </si>
  <si>
    <t>INV000002/14,000703/14</t>
  </si>
  <si>
    <t>INV000951/12,000952/12</t>
  </si>
  <si>
    <t>INV000561/13,001407/13</t>
  </si>
  <si>
    <t>INV000285/12</t>
  </si>
  <si>
    <t>INV000565/13,000566/13</t>
  </si>
  <si>
    <t>BIL</t>
  </si>
  <si>
    <t>Nur Hanisah Bt Mohamed Arif</t>
  </si>
  <si>
    <t>Madihan Bt Yusof</t>
  </si>
  <si>
    <t>Nurul Ain Bt Mazni</t>
  </si>
  <si>
    <t>Nur Ain Bt Abd Aziz</t>
  </si>
  <si>
    <t>CUTI BELAJAR BERGAJI PENUH (CBBP) - JABATAN PERKHIDMATAN AWAM MALAYSIA (JPA)</t>
  </si>
  <si>
    <t>NOR AZUANI BINTI MOHAMED ARIFF</t>
  </si>
  <si>
    <t>WAN NORQAYYUM NADIA BINTI WAN ARIFIN</t>
  </si>
  <si>
    <t>3 SEP 2012 - 2 SEP 2013 (12 BULAN)</t>
  </si>
  <si>
    <t>INV001430/13,001431/13</t>
  </si>
  <si>
    <t>DBA</t>
  </si>
  <si>
    <t>1 SEP 2015 - 31 AUG 2017 (24 BULAN)</t>
  </si>
  <si>
    <t>660202035951</t>
  </si>
  <si>
    <t>831114035242</t>
  </si>
  <si>
    <t>1 SEPT 2015 - 28 FEB 2018 (30 BULAN)</t>
  </si>
  <si>
    <t>DOCTOR OF PHILOSOPHY (FINANCE)</t>
  </si>
  <si>
    <t>AW TWEE LENG</t>
  </si>
  <si>
    <t>661210035200</t>
  </si>
  <si>
    <t>1 SEP 2015 - 31 AUG 2017 ( 24 BULAN)</t>
  </si>
  <si>
    <t>DOCTORATES OF BUSINESS ADMINISTRATION</t>
  </si>
  <si>
    <t>RHUSHALSHAFIRA BINTI ROSLE</t>
  </si>
  <si>
    <t>880118025288</t>
  </si>
  <si>
    <t>INV000590/13,001409/13</t>
  </si>
  <si>
    <t>INV000733/14</t>
  </si>
  <si>
    <t>INV001524/13</t>
  </si>
  <si>
    <t>INV000970/14</t>
  </si>
  <si>
    <t>INV000238/15,001089/15,00001090/15</t>
  </si>
  <si>
    <t>INV000029/15-DILUAR TEMPOH TAJAAN</t>
  </si>
  <si>
    <t>INV000977/14</t>
  </si>
  <si>
    <t>SENARAI PELAJAR PASCASISWAZAH</t>
  </si>
  <si>
    <t>PERKARA</t>
  </si>
  <si>
    <t>TARIKH</t>
  </si>
  <si>
    <t>NO SURAT RUJUKAN</t>
  </si>
  <si>
    <t>Tawaran Jawatan Pembantu Siswazah (Penyeldikan) di UMK</t>
  </si>
  <si>
    <t>01/10/2011 - 31/03/2012</t>
  </si>
  <si>
    <t>UMK/B07.00/500-19/5/2 JLD 7 (15)</t>
  </si>
  <si>
    <t>01/10/2011</t>
  </si>
  <si>
    <t>Zeti Ermiena Surya Bt Mat Hussin</t>
  </si>
  <si>
    <t>UMK/B07.00/500-19/5/2 JLD 8 (1)</t>
  </si>
  <si>
    <t>Nik Nur Fazlina Bt Nik Mohd Fauzi</t>
  </si>
  <si>
    <t>11/09/2011 - 10/09/2012</t>
  </si>
  <si>
    <t>UMK/B07.00/500-19/5/2 JLD 7 (12)</t>
  </si>
  <si>
    <t>UMK/B07.00/500-19/5/2 JLD 7 (13)</t>
  </si>
  <si>
    <t>Wan Anis Bt Wan Ahmad</t>
  </si>
  <si>
    <t>10/08/2011 - 09/03/2012</t>
  </si>
  <si>
    <t>UMK/B07.00/500-19/5/2 JLD 7 (6)</t>
  </si>
  <si>
    <t>09/08/2011</t>
  </si>
  <si>
    <t>Rizki Wannahari</t>
  </si>
  <si>
    <t>01/08/2011 - 31/01/2012</t>
  </si>
  <si>
    <t>UMK/B07.00/500-19/5/2 JLD 7 (5)</t>
  </si>
  <si>
    <t>31/07/2011</t>
  </si>
  <si>
    <t>Marina Bt Bujang</t>
  </si>
  <si>
    <t>01/09/2011 - 31/01/2012</t>
  </si>
  <si>
    <t>UMK/B07.00/500-19/5/2 JLD 7 (7)</t>
  </si>
  <si>
    <t>15/08/2011</t>
  </si>
  <si>
    <t>Nurul 'Ain Bt Abdullah</t>
  </si>
  <si>
    <t>UMK/B07.00/500-19/5/2 JLD 7 (14)</t>
  </si>
  <si>
    <t>Ali Saifudin</t>
  </si>
  <si>
    <t>01/09/2011 - 31/08/2012</t>
  </si>
  <si>
    <t>UMK/B07.00/500-19/5/2 JLD 7 (8)</t>
  </si>
  <si>
    <t>25/08/2011</t>
  </si>
  <si>
    <t>Tan Beng Poh</t>
  </si>
  <si>
    <t>Tawaran Jawatan Pembantu Siswazah Pengajaran di UMK</t>
  </si>
  <si>
    <t>01/02/2011 - 30/04/2011</t>
  </si>
  <si>
    <t>UMK/B07.00/500-19/5/2 JLD 5 (5)</t>
  </si>
  <si>
    <t>01/02/2011</t>
  </si>
  <si>
    <t>UMK/B07.00/500-19/5/2 JLD 5 (8)</t>
  </si>
  <si>
    <t>UMK/B07.00/500-19/5/2 JLD 5 (7)</t>
  </si>
  <si>
    <t>Aishatul Izzah Bt Mohd Khirulthzam</t>
  </si>
  <si>
    <t>UMK/B07.00/500-19/5/2 JLD 5 (6)</t>
  </si>
  <si>
    <t>Zalina Bt Che Manan</t>
  </si>
  <si>
    <t>UMK/B07.00/500-19/5/2 JLD 5 (4)</t>
  </si>
  <si>
    <t>Zulhisyam B Abdul Kari</t>
  </si>
  <si>
    <t>01/04/2010</t>
  </si>
  <si>
    <t>UMK/A03/500-19/5(14)</t>
  </si>
  <si>
    <t>28/03/2010</t>
  </si>
  <si>
    <t>ABDUL HAZIF BIN ABDUL HAMID</t>
  </si>
  <si>
    <t>740929075815</t>
  </si>
  <si>
    <t>09 OKT 2015 - 08 APR 2019 (42 BULAN)</t>
  </si>
  <si>
    <t>INV000957/14</t>
  </si>
  <si>
    <t>SITI HAJAR BINTI ABDUL WAHAB</t>
  </si>
  <si>
    <t>Sektor Gaji Dan Bayaran,</t>
  </si>
  <si>
    <t>Bahagian Khidmat Pengurusan,</t>
  </si>
  <si>
    <t>Jabatan Perkhidmatan Awam Malaysia,</t>
  </si>
  <si>
    <t>b.p. Ketua Pengarah Perkhidmatan Awam,</t>
  </si>
  <si>
    <t>Malaysia.</t>
  </si>
  <si>
    <t>Emel : sitihajar.wahab@jpa.gov.my</t>
  </si>
  <si>
    <t>Ext :3077</t>
  </si>
  <si>
    <t>KOLEJ ISLAM ANTARABANGSA SULTAN ISMAIL PETRA (KIAS)</t>
  </si>
  <si>
    <t>LOKMAL HAKIM BIN CHE HASSAN</t>
  </si>
  <si>
    <t>720403035673</t>
  </si>
  <si>
    <t>E11E014F</t>
  </si>
  <si>
    <t>730921035211</t>
  </si>
  <si>
    <t>900217035399</t>
  </si>
  <si>
    <t>910324036214</t>
  </si>
  <si>
    <t>INV000666/13,001395/13</t>
  </si>
  <si>
    <t>INV000718/14</t>
  </si>
  <si>
    <t>03-27239980</t>
  </si>
  <si>
    <t>u/p: cik nur fatin</t>
  </si>
  <si>
    <t>INV001523/13</t>
  </si>
  <si>
    <t>INV000945/14</t>
  </si>
  <si>
    <t>INV001469/13</t>
  </si>
  <si>
    <t>INV000972/14</t>
  </si>
  <si>
    <t>761025065369</t>
  </si>
  <si>
    <t>INV000920/12</t>
  </si>
  <si>
    <t>INV000743/14</t>
  </si>
  <si>
    <t>INV000626/13,001423</t>
  </si>
  <si>
    <t>INV000587/13,001460/13</t>
  </si>
  <si>
    <t>INV000969/14</t>
  </si>
  <si>
    <t>2 JAN 2013 - 1 JAN 2016 (36 BULAN)</t>
  </si>
  <si>
    <t>INV001079/15,001080/15</t>
  </si>
  <si>
    <t>MUHAMMAD RASYID BIN ROSLI</t>
  </si>
  <si>
    <t>TAMBAHAN PERUNTUKAN YURAN BANTUAN PINJAMAN PELAJARAN MARA</t>
  </si>
  <si>
    <t>850425035219</t>
  </si>
  <si>
    <t>INV000003/14,000727/14</t>
  </si>
  <si>
    <t>INV001401/13,001402/13</t>
  </si>
  <si>
    <t>INV000725/14</t>
  </si>
  <si>
    <t>TAWARAN PINJAMAN TAMBAHAN</t>
  </si>
  <si>
    <t>09/2015 - 02/2016</t>
  </si>
  <si>
    <t>900714035672</t>
  </si>
  <si>
    <t>890202035250</t>
  </si>
  <si>
    <t>FULL TIME</t>
  </si>
  <si>
    <t>INV000585/13</t>
  </si>
  <si>
    <t>INV000722/14</t>
  </si>
  <si>
    <t>INV0007101/14,000702/14</t>
  </si>
  <si>
    <t>INV001077/15,001078/15</t>
  </si>
  <si>
    <t>XNK BYAR BLEK-25/10/15</t>
  </si>
  <si>
    <t>CLAIM START MODUL 7</t>
  </si>
  <si>
    <t>INV000964/14</t>
  </si>
  <si>
    <t>830715145960</t>
  </si>
  <si>
    <t>INV001082/15,001083/15</t>
  </si>
  <si>
    <t>XNK REFUND</t>
  </si>
  <si>
    <t>INV001436/13,001437/13</t>
  </si>
  <si>
    <t>Graduate Teaching Assistant (GTA)</t>
  </si>
  <si>
    <t>AMIRAH BINTI FIKRI</t>
  </si>
  <si>
    <t>ROS SYAZMINI BINTI MOHD GHANI</t>
  </si>
  <si>
    <t>20/09/2015 - 19/12/2015</t>
  </si>
  <si>
    <t>UMK.JL/A08/500-19/5 JILID 2(23)</t>
  </si>
  <si>
    <t>ILLYA NUR SYAZWANIE BINTI AHMAD MAZALAN</t>
  </si>
  <si>
    <t xml:space="preserve">DIKECUALIKAN YURAN </t>
  </si>
  <si>
    <t>SEPT 2015/2016</t>
  </si>
  <si>
    <t>INV001152/15</t>
  </si>
  <si>
    <t>880627235013</t>
  </si>
  <si>
    <t>910331035172</t>
  </si>
  <si>
    <t>910411035818</t>
  </si>
  <si>
    <t>900413035433</t>
  </si>
  <si>
    <t>INV000870/15</t>
  </si>
  <si>
    <t>INV000871/15</t>
  </si>
  <si>
    <t>INV000883/15</t>
  </si>
  <si>
    <t>INV000882/15</t>
  </si>
  <si>
    <t>INV000886/15,000887/15</t>
  </si>
  <si>
    <t>INV001085/15,001086/15</t>
  </si>
  <si>
    <t>INV001087/15,001088/15</t>
  </si>
  <si>
    <t>INV001084/15</t>
  </si>
  <si>
    <t>INV001092/15</t>
  </si>
  <si>
    <t>INV001069/15,001070/15</t>
  </si>
  <si>
    <t>INV001068/15,001093/15</t>
  </si>
  <si>
    <t>INV001153/15</t>
  </si>
  <si>
    <t>INV001159/15</t>
  </si>
  <si>
    <t>INV001156/15</t>
  </si>
  <si>
    <t>INV001067/15</t>
  </si>
  <si>
    <t>INV001149/15</t>
  </si>
  <si>
    <t>INV001150/15</t>
  </si>
  <si>
    <t>INV001151/15</t>
  </si>
  <si>
    <t>INV000225/15</t>
  </si>
  <si>
    <t>MOHD HAFIZI BIN ABDUL FATAH</t>
  </si>
  <si>
    <t>INV000981/14</t>
  </si>
  <si>
    <t>INV000890/15,000891/15</t>
  </si>
  <si>
    <t>NURZALIKHA AIMI BINTI MOHD SUBRI</t>
  </si>
  <si>
    <t>870414085681</t>
  </si>
  <si>
    <t>INV000889/15</t>
  </si>
  <si>
    <t>900219035798</t>
  </si>
  <si>
    <t>901020035808</t>
  </si>
  <si>
    <t>900707036212</t>
  </si>
  <si>
    <t>INV</t>
  </si>
  <si>
    <t>BAYARAN</t>
  </si>
  <si>
    <t>INV001511/13</t>
  </si>
  <si>
    <t>UMK010000019676</t>
  </si>
  <si>
    <t>UMK010000026061</t>
  </si>
  <si>
    <t>INV000919/14</t>
  </si>
  <si>
    <t>INV000656/15</t>
  </si>
  <si>
    <t>UMK01000026060</t>
  </si>
  <si>
    <t>JUMLAH BAYARAN</t>
  </si>
  <si>
    <t>YAYASAN PELAJARAN JOHOR (YPJ)</t>
  </si>
  <si>
    <t>SHAHIDA BINTI SHARUDIN</t>
  </si>
  <si>
    <t>FKP</t>
  </si>
  <si>
    <t>A12D019F</t>
  </si>
  <si>
    <t>861211295051</t>
  </si>
  <si>
    <t>INV000888/15</t>
  </si>
  <si>
    <t>MOHD NORHAKIMI BIN NORDIN</t>
  </si>
  <si>
    <t>AHMAD HANAFI BIN ADNAN</t>
  </si>
  <si>
    <t>3 SEPT 2012 - 2 SEPT 2015 (36BULAN) &amp; 3 SEPT 2015 - 2 MAC 2016</t>
  </si>
  <si>
    <t>NIK SARA SOFIA BT NIK MD MUSTAFFA</t>
  </si>
  <si>
    <t>NOOR ZANARIAH BINTI MARDI</t>
  </si>
  <si>
    <t>811012015904</t>
  </si>
  <si>
    <t>1 SEPT 2015 - 28 FEB 2019 (42 BULAN)</t>
  </si>
  <si>
    <t>871207035256</t>
  </si>
  <si>
    <t>850814115263</t>
  </si>
  <si>
    <t>INV000955/14</t>
  </si>
  <si>
    <t xml:space="preserve">AZIZAH BINTI WAHAB </t>
  </si>
  <si>
    <t>(PEMBANTU TADBIR N17)</t>
  </si>
  <si>
    <t>BAHAGIAN TAJAAN PENDIDIKAN , KPM</t>
  </si>
  <si>
    <t>ARAS 1, BLOK 2251</t>
  </si>
  <si>
    <t>JALAN USAHAWAN 1</t>
  </si>
  <si>
    <t xml:space="preserve">63000 CYBERJAYA </t>
  </si>
  <si>
    <t>SELANGOR DARUL EHSAN</t>
  </si>
  <si>
    <t>TEL: 03-8321 7154</t>
  </si>
  <si>
    <t>XCOVER RM50</t>
  </si>
  <si>
    <t>PTj</t>
  </si>
  <si>
    <t>INV001832/14</t>
  </si>
  <si>
    <t>INV001833/14</t>
  </si>
  <si>
    <t>INV001834/14</t>
  </si>
  <si>
    <t>INV001835/14</t>
  </si>
  <si>
    <t>AMOUNT XCOVER</t>
  </si>
  <si>
    <t>INV000660/15</t>
  </si>
  <si>
    <t>INV000661/15</t>
  </si>
  <si>
    <t>INV000662/15</t>
  </si>
  <si>
    <t>INV000663/15</t>
  </si>
  <si>
    <t>PA000030</t>
  </si>
  <si>
    <t>CUSTOMER ID</t>
  </si>
  <si>
    <t>PA000023</t>
  </si>
  <si>
    <t>PM000036</t>
  </si>
  <si>
    <t>PM000047</t>
  </si>
  <si>
    <t>PN000136</t>
  </si>
  <si>
    <t>PN000035</t>
  </si>
  <si>
    <t>PN000151</t>
  </si>
  <si>
    <t>PA000147</t>
  </si>
  <si>
    <t xml:space="preserve">PN. NUR SALWA </t>
  </si>
  <si>
    <t>salwa.jamaludin@moe.gov.my</t>
  </si>
  <si>
    <t>UMK010000016115</t>
  </si>
  <si>
    <t>PERINGKAT PENGAJIAN</t>
  </si>
  <si>
    <t>ATIYYAH MUMTAZAH BINTI NAWAWI</t>
  </si>
  <si>
    <t>2 JAN 2013 - 1 JUL 2014 (18 BULAN)</t>
  </si>
  <si>
    <t>MOHD ZUL ARIF BIN ZULRUSHDI</t>
  </si>
  <si>
    <t>INV000580/13,000581/13,001447/13</t>
  </si>
  <si>
    <t>INV000954/14</t>
  </si>
  <si>
    <t>INV001434/13,001435/13</t>
  </si>
  <si>
    <t>INV000948/14</t>
  </si>
  <si>
    <t>TESIS 17/11/2013 UMK010000010602</t>
  </si>
  <si>
    <t>FATIN FARHANA BINTI AHMAD</t>
  </si>
  <si>
    <t>INV000577/13,001379/13</t>
  </si>
  <si>
    <t>UMK010000022013</t>
  </si>
  <si>
    <t>UMK010000024333</t>
  </si>
  <si>
    <t>TESIS 17/05/2015</t>
  </si>
  <si>
    <t>KPM-GURU</t>
  </si>
  <si>
    <t>INV000248/15,000249/15</t>
  </si>
  <si>
    <t>TESIS 17/11/2013 UMK010000021721&amp; 010000027100</t>
  </si>
  <si>
    <t>PUTRAJAYA</t>
  </si>
  <si>
    <t>CYBERJAYA</t>
  </si>
  <si>
    <t xml:space="preserve">KEMENTERIAN PELAJARAN MALAYSIA </t>
  </si>
  <si>
    <t>03 - 8321 7160</t>
  </si>
  <si>
    <t>BAHAGIAN TAJAAN PENDIDIKAN</t>
  </si>
  <si>
    <t>ARAS 1, BLOK 2251, JALAN USAHAWAN 1</t>
  </si>
  <si>
    <t>63000 CYBERJAYA</t>
  </si>
  <si>
    <t>FORWARD KE SEM DEPAN-TAK NAK REFUND</t>
  </si>
  <si>
    <t>03.01.2013</t>
  </si>
  <si>
    <t>000012/13</t>
  </si>
  <si>
    <t>MTDC SDN BHD</t>
  </si>
  <si>
    <t>TUNTUTAN BAYARAN YURAN PELAJAR - SAMIHAH BINTI AHMED</t>
  </si>
  <si>
    <t>UMK 010000006377</t>
  </si>
  <si>
    <t>22.06.2014</t>
  </si>
  <si>
    <t>000918/14</t>
  </si>
  <si>
    <t>TUNTUTAN BAYARAN YURAN PELAJAR TAJAAN MALAYSIAN TECHNOLOGY DEVELOPMENT CORPORATION SDN BHD - SAMIHAH BINTI AHMED</t>
  </si>
  <si>
    <t>23.03.2015</t>
  </si>
  <si>
    <t>000462/15</t>
  </si>
  <si>
    <t>UMK010000018789</t>
  </si>
  <si>
    <t>CB POSTED</t>
  </si>
  <si>
    <t>24.11.2013</t>
  </si>
  <si>
    <t>001511/13</t>
  </si>
  <si>
    <t>TUNTUTAN YURAN PENGAJIAN PROGRAM PEMBIAYAAN SKIM LATIHAN AKADEMIK RISDA - RUSLEE BIN ISMAIL</t>
  </si>
  <si>
    <t>TUNTUTAN YURAN  PENGAJIAN PROGRAM PEMBIAYAAN SKIM LATIHAN AKADEMIK RISDA - RUSLEE BIN ISMAIL</t>
  </si>
  <si>
    <t>000919/14</t>
  </si>
  <si>
    <t>28.04.2015</t>
  </si>
  <si>
    <t>000656/15</t>
  </si>
  <si>
    <t>BAHAGIAN LATIHAN</t>
  </si>
  <si>
    <t>TINGKAT 1 BANGUNAN ANNEX</t>
  </si>
  <si>
    <t>IBU PEJABAT RISDA</t>
  </si>
  <si>
    <t>KARUNG BERKUNCI 11067</t>
  </si>
  <si>
    <t>KM 7.5 JALAN AMPANG</t>
  </si>
  <si>
    <t>50990 KUALA LUMPUR</t>
  </si>
  <si>
    <t>(U/P: PENGARAH BAHAGIAN LATIHAN)</t>
  </si>
  <si>
    <t>INV001521/13</t>
  </si>
  <si>
    <t>INV000717/14</t>
  </si>
  <si>
    <t>MAZLINA BINTI PATI KHAN</t>
  </si>
  <si>
    <t>831119035612</t>
  </si>
  <si>
    <t>XDE SURAT TAWARAN</t>
  </si>
  <si>
    <t>INV000956/14</t>
  </si>
  <si>
    <t>880917035730</t>
  </si>
  <si>
    <t>910521035704</t>
  </si>
  <si>
    <t>MOHAMED FATHI BIN CHE SARIMUZI</t>
  </si>
  <si>
    <t>INV000949/12</t>
  </si>
  <si>
    <t>INV000541/13,000542/13,001443/13,001444/13</t>
  </si>
  <si>
    <t>800412035644</t>
  </si>
  <si>
    <t>850426035210</t>
  </si>
  <si>
    <t>851019115314</t>
  </si>
  <si>
    <t>INV001081/15</t>
  </si>
  <si>
    <t>INV001074/15,001075/15,001076/15</t>
  </si>
  <si>
    <t>INV001071/15,001072/15,001073/15</t>
  </si>
  <si>
    <t>890218035984</t>
  </si>
  <si>
    <t>INV001634/15</t>
  </si>
  <si>
    <t>BAYARAN JPA</t>
  </si>
  <si>
    <t>JUMLAH BAYARAN JPA</t>
  </si>
  <si>
    <t>INV000120/14,000121/14,000122/14,000923/14,001830/14</t>
  </si>
  <si>
    <t>UMK010000013997,UMK010000016235, EFT11075070279591</t>
  </si>
  <si>
    <t>INV000236/15,000237/15,000240/15</t>
  </si>
  <si>
    <t>851211035197</t>
  </si>
  <si>
    <t>HASNIDA BINTI HUSAIN</t>
  </si>
  <si>
    <t>1 SEP 2015 - 28 FEB 2017 (18 BULAN)</t>
  </si>
  <si>
    <t>NIK ZATI HULWANI BINTI NIK IDRIS</t>
  </si>
  <si>
    <t>NUR AISYAH BINTI RUSLEE @ AHMAD AZAM</t>
  </si>
  <si>
    <t xml:space="preserve"> INV001628/15,001629/15</t>
  </si>
  <si>
    <t>INV001535/13</t>
  </si>
  <si>
    <t>INV000713/14</t>
  </si>
  <si>
    <t>INV000009/14,000720/14</t>
  </si>
  <si>
    <t>650512055465</t>
  </si>
  <si>
    <t>INV001557/15,001578/15</t>
  </si>
  <si>
    <t>TESIS 01/10/2015</t>
  </si>
  <si>
    <t>671006035499</t>
  </si>
  <si>
    <t>INV001060/15</t>
  </si>
  <si>
    <t>INV000714/14</t>
  </si>
  <si>
    <t>INV001392/13</t>
  </si>
  <si>
    <t>861114295391</t>
  </si>
  <si>
    <t>1 JUL 2013 - 30 JUN 2015 (24 BULAN)</t>
  </si>
  <si>
    <t>INV001522/13</t>
  </si>
  <si>
    <t>INV000967/14</t>
  </si>
  <si>
    <t>WONG KAH FEI</t>
  </si>
  <si>
    <t>900423145599</t>
  </si>
  <si>
    <t>010000029068</t>
  </si>
  <si>
    <t>3,500.00</t>
  </si>
  <si>
    <t>010000019079</t>
  </si>
  <si>
    <t>YURAN</t>
  </si>
  <si>
    <t>BAYARAN BALIK</t>
  </si>
  <si>
    <t>INV000230/15, 001649/15, 001650/15</t>
  </si>
  <si>
    <t>3 SEP 2013 - 2 JAN 2014 (4 BULAN), 3 JAN 2014 - 2 JULAI 2014 (6 BULAN) PELANJUTAN 3 JULAI 2014 - 2 JAN 2015 (6 BULAN) [3 JAN 2011 - 2 JAN 2015]</t>
  </si>
  <si>
    <t>INV001566/15, 001567/15</t>
  </si>
  <si>
    <t>INV000975/14</t>
  </si>
  <si>
    <t>NURUL NAZWA BINTI MOHAMED AZIZ</t>
  </si>
  <si>
    <t>INV001461/13, 001462/13</t>
  </si>
  <si>
    <t>FULL CLAIM (CREDIT NOTE)</t>
  </si>
  <si>
    <t>NUR FARHANA BINTI ABU KASSIM</t>
  </si>
  <si>
    <t>1 FEB 2013 - 31 JUL 2013 (6 BULAN)</t>
  </si>
  <si>
    <t>INV001458/13</t>
  </si>
  <si>
    <t>NURUL SHAZRINA BINTI MD JAIB</t>
  </si>
  <si>
    <t>INV001463/13, 001464/13</t>
  </si>
  <si>
    <t>INV000971/14</t>
  </si>
  <si>
    <t>ALAMAT</t>
  </si>
  <si>
    <t>INV001606/15, 001607/15</t>
  </si>
  <si>
    <t>INV001160/15, 001161/15, 001162/15</t>
  </si>
  <si>
    <t>INV001478/13</t>
  </si>
  <si>
    <t>INV001822/15</t>
  </si>
  <si>
    <t>INV001823/15</t>
  </si>
  <si>
    <t>INV001824/15</t>
  </si>
  <si>
    <t>MADIHAN BINTI YUSOF</t>
  </si>
  <si>
    <t>1 SEP 2011 - 31 AUG 2013 (24 BULAN)</t>
  </si>
  <si>
    <t>INV000271/12, 000272/12</t>
  </si>
  <si>
    <t>INV000539/03, 000540/13</t>
  </si>
  <si>
    <t>841107035382</t>
  </si>
  <si>
    <t>INV000894/12</t>
  </si>
  <si>
    <t>INV000548/13</t>
  </si>
  <si>
    <t>INV001477/13</t>
  </si>
  <si>
    <t>INV000766/14</t>
  </si>
  <si>
    <t>INV001810/15</t>
  </si>
  <si>
    <t>INV001812/15</t>
  </si>
  <si>
    <t>INV001813/15</t>
  </si>
  <si>
    <t>UMK010000029763</t>
  </si>
  <si>
    <t>INV000768/14</t>
  </si>
  <si>
    <t>870124035424</t>
  </si>
  <si>
    <t>880204295110</t>
  </si>
  <si>
    <t>INV001825/15</t>
  </si>
  <si>
    <t>INV001826/15</t>
  </si>
  <si>
    <t>INV001827/15</t>
  </si>
  <si>
    <t>INV001829/15</t>
  </si>
  <si>
    <t>ROSLAN BIN ABDUL WAHID</t>
  </si>
  <si>
    <t>710812086089</t>
  </si>
  <si>
    <t>01 SEPT 2015 - 31 JAN 2020 (53 BULAN)</t>
  </si>
  <si>
    <t>INV001830/15</t>
  </si>
  <si>
    <t>INV001831/15</t>
  </si>
  <si>
    <t>NORASYIKIN BINTI MOHAMAD</t>
  </si>
  <si>
    <t>02 MAR 2015 - 1 MAR 2017 (24 BULAN)</t>
  </si>
  <si>
    <t>INV001380/13, 001381/13</t>
  </si>
  <si>
    <t>INV000706/14</t>
  </si>
  <si>
    <t>INV000345/11</t>
  </si>
  <si>
    <t>INV000611/13</t>
  </si>
  <si>
    <t>INV000612/13</t>
  </si>
  <si>
    <t>INV000613/13</t>
  </si>
  <si>
    <t>INV001495/13</t>
  </si>
  <si>
    <t>INV000758/14</t>
  </si>
  <si>
    <t>INV001817/15</t>
  </si>
  <si>
    <t>INV001818/15</t>
  </si>
  <si>
    <t>INV000854/15-YURAN TESIS</t>
  </si>
  <si>
    <t>*INV000265/12 &amp;INV000360/12-BATAL</t>
  </si>
  <si>
    <t>INV000762/14</t>
  </si>
  <si>
    <t>INV000763/14</t>
  </si>
  <si>
    <t>INV000942/14</t>
  </si>
  <si>
    <t>INV000943/14</t>
  </si>
  <si>
    <t>0100000166115</t>
  </si>
  <si>
    <t>INV001819/15</t>
  </si>
  <si>
    <t>INV001820/15</t>
  </si>
  <si>
    <t>INV001821/15</t>
  </si>
  <si>
    <t>INV000767/14</t>
  </si>
  <si>
    <t>UMK010000027491</t>
  </si>
  <si>
    <t>INV001528/13</t>
  </si>
  <si>
    <t>INV000951/14</t>
  </si>
  <si>
    <t>INV000246/15, 000247/15, 000251/15</t>
  </si>
  <si>
    <t>CN000012/15</t>
  </si>
  <si>
    <t>CN 000032/13</t>
  </si>
  <si>
    <t>PHD</t>
  </si>
  <si>
    <t xml:space="preserve">DATE OF COMMENCEMENT </t>
  </si>
  <si>
    <t>STUDENT MNTK INV FOR FEB 2015/2016</t>
  </si>
  <si>
    <t>STUDENTS INTRODUCE STUDENTS (SIS) - MGSEB</t>
  </si>
  <si>
    <t>LOCAL STUDENT</t>
  </si>
  <si>
    <t>INTERNATIONAL STUDENTS</t>
  </si>
  <si>
    <t>HANISAH BT RAHIN</t>
  </si>
  <si>
    <t xml:space="preserve">REBATE </t>
  </si>
  <si>
    <t>DIKECUALIKAN YURAN (RM)</t>
  </si>
  <si>
    <t>UMK/A09.00/600-3/11 JLD/3 (28)</t>
  </si>
  <si>
    <t>9 ORANG INTERNATIONAL</t>
  </si>
  <si>
    <t>MOHAMAD NORAZAM BIN ABDULLAH</t>
  </si>
  <si>
    <t>UMK/A10.00/600-3/11 JLD (117)</t>
  </si>
  <si>
    <t>09/02/2015</t>
  </si>
  <si>
    <t>MUHAMMAD ZULFARIS BIN M SALLEH</t>
  </si>
  <si>
    <t>UMK/A10.00/600-3/11 JLD (139)</t>
  </si>
  <si>
    <t>UMK/A10.00/600-3/11 JLD (150)</t>
  </si>
  <si>
    <t>AZHAR NAIMA MUTLAK</t>
  </si>
  <si>
    <t>HAYDER ALWAN KADHIM</t>
  </si>
  <si>
    <t>EMAIL</t>
  </si>
  <si>
    <t>NIK NOOR LEEYANA BT KAMARUDDIN</t>
  </si>
  <si>
    <t>UMK.PC/A10.00/400-5/6 JLD ( )</t>
  </si>
  <si>
    <t>MUHAMMAD ADIB BIN CHE ANUAR</t>
  </si>
  <si>
    <t>NIK SYARIFAH EISYAH SOFIAH BT ZULKIFLI</t>
  </si>
  <si>
    <t>MUHAMMAD AFIFI BIN MAT WI</t>
  </si>
  <si>
    <t>UMK.PC/A10.00/400-5/6 JLD 5(15 )</t>
  </si>
  <si>
    <t>PEMBANTU SISWAZAH PENGAJARAN (GTA)</t>
  </si>
  <si>
    <t>ALLAN ABRAHAM BIN MIRAD</t>
  </si>
  <si>
    <t>INV000919/12</t>
  </si>
  <si>
    <t>INV000618/13, 000619/13, 001433/13</t>
  </si>
  <si>
    <t>INV001154/15, 001155/15</t>
  </si>
  <si>
    <t>INV001596/15, 001597/15</t>
  </si>
  <si>
    <t>INV001600/15, 001601/15, 001602/15</t>
  </si>
  <si>
    <t>INV001626/15, 001627/15</t>
  </si>
  <si>
    <t>INV001641/15, 001642/15, 001643/15</t>
  </si>
  <si>
    <t>INV000953/14</t>
  </si>
  <si>
    <t>INV000661/13, 001442/13</t>
  </si>
  <si>
    <t>INV000024/15, 001619/15, 001620/15</t>
  </si>
  <si>
    <t>880629036018</t>
  </si>
  <si>
    <t>INV000224/15</t>
  </si>
  <si>
    <t>INV000630/15, 001654/15</t>
  </si>
  <si>
    <t>890504036128</t>
  </si>
  <si>
    <t>INV001157/15, 001158/15</t>
  </si>
  <si>
    <t>671114035488</t>
  </si>
  <si>
    <t>INV001525/13</t>
  </si>
  <si>
    <t>INV000748/14</t>
  </si>
  <si>
    <t>INV000751/14</t>
  </si>
  <si>
    <t>INV000938/14</t>
  </si>
  <si>
    <t>09/2015 - 08/2016</t>
  </si>
  <si>
    <t>*INV000005/15 SEKALI DGN YURAN TESIS</t>
  </si>
  <si>
    <t>ADIBAH AMIN BINTI KRUTI</t>
  </si>
  <si>
    <t>INV000958/14</t>
  </si>
  <si>
    <t>CLAIM SEMUA YURAN</t>
  </si>
  <si>
    <t>PRASERT PANPRAE</t>
  </si>
  <si>
    <t>MUHAMMAD BIN MOHD SABRI</t>
  </si>
  <si>
    <t>MARDI KOTA BHARU</t>
  </si>
  <si>
    <t>14 FEB 2016 - 13 FEB 2018 (2 TAHUN)</t>
  </si>
  <si>
    <t>TARIK DIRI?</t>
  </si>
  <si>
    <t>PN. ZAINAB SUMBER MANUSIA</t>
  </si>
  <si>
    <t>EN. MOHD NOR BASIR TIM.PENGARAH SUMBER MANUSIA</t>
  </si>
  <si>
    <t>INV001560/15</t>
  </si>
  <si>
    <t>SHAFWAN BIN ISMAIL</t>
  </si>
  <si>
    <t>670102035515</t>
  </si>
  <si>
    <t>E11E016F</t>
  </si>
  <si>
    <t>INV000941/14</t>
  </si>
  <si>
    <t>INV000006/15</t>
  </si>
  <si>
    <t>Graduate Research Assistant (GRA)and Graduate Assistant (GA)</t>
  </si>
  <si>
    <t>INV001877/15, 001878/15</t>
  </si>
  <si>
    <t>870128035384</t>
  </si>
  <si>
    <t>INV000664/13, 001396/13</t>
  </si>
  <si>
    <t>INV000184/16, 000185/16, 000186/16</t>
  </si>
  <si>
    <t>INV000719/14</t>
  </si>
  <si>
    <t>INV000187/16, 000188/16</t>
  </si>
  <si>
    <t>840929035678</t>
  </si>
  <si>
    <t>INV000809/13, 001414/13</t>
  </si>
  <si>
    <t>INV000737/14</t>
  </si>
  <si>
    <t>INV000181/16, 000182/16, 000183/16</t>
  </si>
  <si>
    <t>871215035416</t>
  </si>
  <si>
    <t>INV000667/13, 001416/13</t>
  </si>
  <si>
    <t>INV000740/14</t>
  </si>
  <si>
    <t>INV000178/16, 000179/16, 000180/16</t>
  </si>
  <si>
    <t>MOHD HAFIZ BIN MOHAMAD</t>
  </si>
  <si>
    <t>841201035549</t>
  </si>
  <si>
    <t>INV001386/13, 001387/13</t>
  </si>
  <si>
    <t>INV000712/14</t>
  </si>
  <si>
    <t>INV000175/16, 000176/16, 000177/16</t>
  </si>
  <si>
    <t>860306305174</t>
  </si>
  <si>
    <t>INV000668/13, 001382/13</t>
  </si>
  <si>
    <t>INV000708/14</t>
  </si>
  <si>
    <t>INV000172/16, 000173/16, 000174/16</t>
  </si>
  <si>
    <t>INV000752/14</t>
  </si>
  <si>
    <t>880318295266</t>
  </si>
  <si>
    <t>MOHD HANIF AIMAN BIN MOHD ANUAR MUSARDAR</t>
  </si>
  <si>
    <t>INV000166/16</t>
  </si>
  <si>
    <t>INV000140/11, 000341/11</t>
  </si>
  <si>
    <t>INV000357/12, 000866/12</t>
  </si>
  <si>
    <t>P15D002F</t>
  </si>
  <si>
    <t>P15D011F</t>
  </si>
  <si>
    <t>P15D046P</t>
  </si>
  <si>
    <t>P15D164P</t>
  </si>
  <si>
    <t>RAJA BADRIAH BINTI RAJA HASSAN</t>
  </si>
  <si>
    <t>P15D101P</t>
  </si>
  <si>
    <t>SAMSUDDIN BIN AZIZ</t>
  </si>
  <si>
    <t>A14E028F</t>
  </si>
  <si>
    <t>A15D004F</t>
  </si>
  <si>
    <t>ANIS SUHAILA BINTI ANAS</t>
  </si>
  <si>
    <t>C15D006F</t>
  </si>
  <si>
    <t>MOHD SAIFUDDAULAH BIN MOHD SHAHBANDI</t>
  </si>
  <si>
    <t>F14D007F</t>
  </si>
  <si>
    <t>P15D001F</t>
  </si>
  <si>
    <t>ZULHAIRIE BIN ABDUL KARI @ ABDULLAH</t>
  </si>
  <si>
    <t>P15D006F</t>
  </si>
  <si>
    <t>NIK MOHAMAD SHAMIM BIN NIK MOHD ZAINORDIN</t>
  </si>
  <si>
    <t>P15D007F</t>
  </si>
  <si>
    <t>AN NUR NABILA BINTI ISMAIL</t>
  </si>
  <si>
    <t>P15D015F</t>
  </si>
  <si>
    <t>P15D017F</t>
  </si>
  <si>
    <t>P15D024P</t>
  </si>
  <si>
    <t>P15D041F</t>
  </si>
  <si>
    <t>P15D057F</t>
  </si>
  <si>
    <t>FULL CLAIM DUE TEMPOH</t>
  </si>
  <si>
    <t>INV000165/16</t>
  </si>
  <si>
    <t>860507295283</t>
  </si>
  <si>
    <t>INV000163/16, 000164/16</t>
  </si>
  <si>
    <t>INV000162/16</t>
  </si>
  <si>
    <t>830303035095</t>
  </si>
  <si>
    <t>790913035785</t>
  </si>
  <si>
    <t>INV001520/13</t>
  </si>
  <si>
    <t>INV000715/14</t>
  </si>
  <si>
    <t>INV000152/16, 000153/16, 000154/16</t>
  </si>
  <si>
    <t>INV000151/16</t>
  </si>
  <si>
    <t>851209115550</t>
  </si>
  <si>
    <t>INV000150/16</t>
  </si>
  <si>
    <t>CLAIM SMPAI SEM 2 SAHAJA. DIBERHENTIKAN</t>
  </si>
  <si>
    <t>INV000149/16</t>
  </si>
  <si>
    <t>841010075206</t>
  </si>
  <si>
    <t>INV000145/16, 000146/16</t>
  </si>
  <si>
    <t>850429035806</t>
  </si>
  <si>
    <t>INV000939/14</t>
  </si>
  <si>
    <t>INV000141/16</t>
  </si>
  <si>
    <t>840322035671</t>
  </si>
  <si>
    <t>1 SEP 2011 - 31 AUG 2014  (36 BULAN) &amp; 1 MAC 2015 - 31 AUG 2015</t>
  </si>
  <si>
    <t>INV000254/12, 000255/12, 000857/12</t>
  </si>
  <si>
    <t>INV000562/13, 001411/13, 001529/13, 001530/13</t>
  </si>
  <si>
    <t>INV000735/14</t>
  </si>
  <si>
    <t>2 SEP 2014 - 1 SEP 2015 (12 BULAN) &amp; 2 FEB 2016 - 1 FEB 2018 (24 BULAN)</t>
  </si>
  <si>
    <t>820423036077</t>
  </si>
  <si>
    <t>1 FEB 2012 - 31 JAN 2016 (48 BULAN)</t>
  </si>
  <si>
    <t>INV000134/16, 000135/16, 000136/16</t>
  </si>
  <si>
    <t>INV000130/16</t>
  </si>
  <si>
    <t>781109115130</t>
  </si>
  <si>
    <t>880527035786</t>
  </si>
  <si>
    <t>INV000119/14, 000729/14</t>
  </si>
  <si>
    <t>INV000125/16, 000126/16, 000127/16</t>
  </si>
  <si>
    <t>INV000124/16</t>
  </si>
  <si>
    <t>INV000123/16</t>
  </si>
  <si>
    <t>INV000128/16, 000129/16</t>
  </si>
  <si>
    <t>INV000137/16, 000138/16</t>
  </si>
  <si>
    <t>010000022807</t>
  </si>
  <si>
    <t>CHEQUE RHB788583</t>
  </si>
  <si>
    <t>TANGGUNGAN SEHINGGA 29 FEB 2016</t>
  </si>
  <si>
    <t>INV001467/13, 001468/13</t>
  </si>
  <si>
    <t>INV001472, 001473/13</t>
  </si>
  <si>
    <t>INV001450/13, 001451/13</t>
  </si>
  <si>
    <t>NORHAFIZAH BINTI HASHIM</t>
  </si>
  <si>
    <t>INV001453/13, 001454/13</t>
  </si>
  <si>
    <t>NOR AZURA BINTI MAT SHAH @ HARUN</t>
  </si>
  <si>
    <t>NOR ELEENA BINTI MAJID</t>
  </si>
  <si>
    <t>DAYANG SUZICA BINTI AHMAD SAFUAN</t>
  </si>
  <si>
    <t>INV001439/13, 001440/13</t>
  </si>
  <si>
    <t>WAN ROS MARYANA BINTI WAN MUSA</t>
  </si>
  <si>
    <t>INV001427/13, 001428/13</t>
  </si>
  <si>
    <t>INV001417/13, 001418/13</t>
  </si>
  <si>
    <t>SAM PEI TENG</t>
  </si>
  <si>
    <t>NOR HIDAYAH BINTI BOHARI</t>
  </si>
  <si>
    <t>NOR FAZLINA BT ZINUDIN</t>
  </si>
  <si>
    <t>INV001388/13, 001389/13, 001390/13, 001391/13</t>
  </si>
  <si>
    <t>MOHD FAZLI HAFIZI BIN ABDULLAH</t>
  </si>
  <si>
    <t>INV000946/14</t>
  </si>
  <si>
    <t>INV000982/14</t>
  </si>
  <si>
    <t>INV000937/14</t>
  </si>
  <si>
    <t>INV000966/14</t>
  </si>
  <si>
    <t>INV000965/14</t>
  </si>
  <si>
    <t>INV000949/14</t>
  </si>
  <si>
    <t>INV000961/14</t>
  </si>
  <si>
    <t>INV000962/14</t>
  </si>
  <si>
    <t>INV001625/15</t>
  </si>
  <si>
    <t>INV001614/15,001615/15,001616/15</t>
  </si>
  <si>
    <t>INV000015/15,000016/15</t>
  </si>
  <si>
    <t>INV000017/15,000018/15,000019/15,000028/15,000640/15,001637/15,001638/15,001639/15,001640/15</t>
  </si>
  <si>
    <t>INV001608/15,001609/15,001610/15,001611/15</t>
  </si>
  <si>
    <t>INV000234/15,001644/15,001645/15</t>
  </si>
  <si>
    <t>INV001624/15</t>
  </si>
  <si>
    <t>INV001599/18</t>
  </si>
  <si>
    <t>INV001605/15,001646/15</t>
  </si>
  <si>
    <t>INV001635/15</t>
  </si>
  <si>
    <t>INV000628/15,000629/15,001636/15</t>
  </si>
  <si>
    <t>INV000731/15,001657/15,001658/15</t>
  </si>
  <si>
    <t>INV001598/15</t>
  </si>
  <si>
    <t>INV001603/15,001604/15</t>
  </si>
  <si>
    <t>INV001621/15,001622/15,001623/15</t>
  </si>
  <si>
    <t>INV001612/15,001613/15</t>
  </si>
  <si>
    <t>INV000286/12</t>
  </si>
  <si>
    <t>INV000808/13</t>
  </si>
  <si>
    <t>INV000704/14,000705/14</t>
  </si>
  <si>
    <t>DOUBLE PAID</t>
  </si>
  <si>
    <t>INV001875/15,001876/15</t>
  </si>
  <si>
    <t>INV001526/13</t>
  </si>
  <si>
    <t>INV000707/14</t>
  </si>
  <si>
    <t>INV000252/12,000253/12</t>
  </si>
  <si>
    <t>INV000536/13,000537/13</t>
  </si>
  <si>
    <t>IZMER BIN MUSTAPHA</t>
  </si>
  <si>
    <t>INV000749/14</t>
  </si>
  <si>
    <t>INV001384/13,000578/13,000579/13</t>
  </si>
  <si>
    <t>INV000710/14</t>
  </si>
  <si>
    <t>INV000112/12,000291/12</t>
  </si>
  <si>
    <t>INV000226/15,001652/15,001653/15</t>
  </si>
  <si>
    <t>INV000267/12,000268/12</t>
  </si>
  <si>
    <t>INV000545/13,000546/13</t>
  </si>
  <si>
    <t>INV000933/12</t>
  </si>
  <si>
    <t>INV001397/13,000549/13</t>
  </si>
  <si>
    <t>INV000721/14</t>
  </si>
  <si>
    <t>INV000954/12</t>
  </si>
  <si>
    <t>INV001403/13,000559/13</t>
  </si>
  <si>
    <t>INV000726/14</t>
  </si>
  <si>
    <t>INV001592/15,001593/15</t>
  </si>
  <si>
    <t>INV001575/15,001576/15</t>
  </si>
  <si>
    <t>INV000275/12,000276/12</t>
  </si>
  <si>
    <t>INV000132/14,000133/14,000134/14,000731/14</t>
  </si>
  <si>
    <t>INV001572/15,001573/15,001631/15</t>
  </si>
  <si>
    <t>INV000232/15,001584/15,001585/15</t>
  </si>
  <si>
    <t>INV000741/14</t>
  </si>
  <si>
    <t>INV000463,464/15,001583/15</t>
  </si>
  <si>
    <t>INV000745/14</t>
  </si>
  <si>
    <t>INV000939/12</t>
  </si>
  <si>
    <t>INV001429/13,000572/13</t>
  </si>
  <si>
    <t>INV000747/14</t>
  </si>
  <si>
    <t>INV000636/15,000637/15,001581/15,001582/15</t>
  </si>
  <si>
    <t>INV000846/15,000847/15,000848/15,001586/15</t>
  </si>
  <si>
    <t>INV001564/15,001565/15,001630/15</t>
  </si>
  <si>
    <t>INV001568/15,001569/15,001570/15,001571/15</t>
  </si>
  <si>
    <t>INV000841/15,001659/15</t>
  </si>
  <si>
    <t>INV001408/13,000589/13</t>
  </si>
  <si>
    <t>INV000732/14</t>
  </si>
  <si>
    <t>INV001398/13,000665/13</t>
  </si>
  <si>
    <t>INV000723/14</t>
  </si>
  <si>
    <t>INV001415/13,000623/13</t>
  </si>
  <si>
    <t>INV000738/14</t>
  </si>
  <si>
    <t>INV001660/15</t>
  </si>
  <si>
    <t>INV001651/15</t>
  </si>
  <si>
    <t>INV001561/15,001562/15,001563/15</t>
  </si>
  <si>
    <t>INV000269/12,000270/12</t>
  </si>
  <si>
    <t>INV000567/13,000568/13</t>
  </si>
  <si>
    <t>INV000921/12</t>
  </si>
  <si>
    <t>INV001455/13,000620/13,000621/13</t>
  </si>
  <si>
    <t>INV000950/12</t>
  </si>
  <si>
    <t>INV001410/13,000627/13</t>
  </si>
  <si>
    <t>INV000734/14</t>
  </si>
  <si>
    <t>INV000917/12</t>
  </si>
  <si>
    <t>INV001400/13,000555/13,001531/13</t>
  </si>
  <si>
    <t>INV000724/14</t>
  </si>
  <si>
    <t>INV000416/12,000934/12</t>
  </si>
  <si>
    <t>INV001399/13,000622/13,001532/13,001533/13</t>
  </si>
  <si>
    <t>INV000953/12</t>
  </si>
  <si>
    <t>INV001385/13,000543/13,000711/14</t>
  </si>
  <si>
    <t>INV001594/15,001595/15</t>
  </si>
  <si>
    <t>INV000007/15,000008/15,001574/15,001632/15</t>
  </si>
  <si>
    <t>INV000223/15,001655/15,001656/15</t>
  </si>
  <si>
    <t>INV001557/15,001558/15,001559/15</t>
  </si>
  <si>
    <t>INV001587/15,001588/15,001589/15</t>
  </si>
  <si>
    <t>INV000638/15,INV001590/15,001591/15</t>
  </si>
  <si>
    <t>INV001793/14</t>
  </si>
  <si>
    <t>INV000157/16,000158/16,000159/16</t>
  </si>
  <si>
    <t>INV001579/15</t>
  </si>
  <si>
    <t>INV001580/15</t>
  </si>
  <si>
    <t>INV000571/13</t>
  </si>
  <si>
    <t>INV000169/16</t>
  </si>
  <si>
    <t>INV000160/16</t>
  </si>
  <si>
    <t>INV000036/13,000538/13,001383/13</t>
  </si>
  <si>
    <t>INV000750/14</t>
  </si>
  <si>
    <t>INV001412/13,001413/13</t>
  </si>
  <si>
    <t>INV000736/14</t>
  </si>
  <si>
    <t>INV000170/16,000171/16</t>
  </si>
  <si>
    <t>PA000058</t>
  </si>
  <si>
    <t>PH000012</t>
  </si>
  <si>
    <t>PH000017</t>
  </si>
  <si>
    <t>PL000010</t>
  </si>
  <si>
    <t>PM000125</t>
  </si>
  <si>
    <t>PM000099</t>
  </si>
  <si>
    <t>PM000079</t>
  </si>
  <si>
    <t>PN000133</t>
  </si>
  <si>
    <t>PS000002</t>
  </si>
  <si>
    <t>PS000061</t>
  </si>
  <si>
    <t>PZ000015</t>
  </si>
  <si>
    <t>PD000007</t>
  </si>
  <si>
    <t>PA000052</t>
  </si>
  <si>
    <t>INV000614/13, 000615/13, 001327/13</t>
  </si>
  <si>
    <t>INV000926/14, 001823/14</t>
  </si>
  <si>
    <t>INV001328/13</t>
  </si>
  <si>
    <t>INV000927/14, 001824/14</t>
  </si>
  <si>
    <t>INV 000616/13, 000617/13, 001325/13</t>
  </si>
  <si>
    <t>INV000929/14, 001825/14</t>
  </si>
  <si>
    <t>INV001494/13</t>
  </si>
  <si>
    <t>INV000933/14, 001826/14</t>
  </si>
  <si>
    <t>INV000191/16</t>
  </si>
  <si>
    <t>INV000128/14, 000129/14, 000930/14, 001827/14</t>
  </si>
  <si>
    <t>INV000931/14, 000932/14, 001822/14</t>
  </si>
  <si>
    <t>INV001329/13</t>
  </si>
  <si>
    <t>INV000934, 001828/14</t>
  </si>
  <si>
    <t>INV000300/12, 000301/12, 000302/12, 000349/12, 000350/12</t>
  </si>
  <si>
    <t>INV000029/13, 000610/13, 001326/13</t>
  </si>
  <si>
    <t>INV000118/14, 000928/14, 001829/14</t>
  </si>
  <si>
    <t>INV000026/15, 000027/15</t>
  </si>
  <si>
    <t>INV000130/14, 000131/14</t>
  </si>
  <si>
    <t>PA000148</t>
  </si>
  <si>
    <t>INV000658/15, 000659/15</t>
  </si>
  <si>
    <t>INV000028/13, 000392/13</t>
  </si>
  <si>
    <t>INV000012/14, 000924/14, 000978/14, 001831/14</t>
  </si>
  <si>
    <t>YAYASAN ANGKASA (YA)</t>
  </si>
  <si>
    <t>820222136119</t>
  </si>
  <si>
    <t>P13D122P</t>
  </si>
  <si>
    <t xml:space="preserve">ISMAIL BIN MAHEDIN </t>
  </si>
  <si>
    <t>911018075797</t>
  </si>
  <si>
    <t xml:space="preserve">KISHAN RAJ PILLAI A/L MATHIALAGAN </t>
  </si>
  <si>
    <t>NO. MATRIC</t>
  </si>
  <si>
    <t>G15D001F</t>
  </si>
  <si>
    <t>MY MASTER</t>
  </si>
  <si>
    <t>2 FEB 2016 - 1 AUG 2017 (18 BULAN)</t>
  </si>
  <si>
    <t>P15D169F</t>
  </si>
  <si>
    <t xml:space="preserve">NUR HIKMAH BINTI NIK ALLI @ ZULKIFLI </t>
  </si>
  <si>
    <t>2 FEB 2016 - 1 FEB 2017 (12 BULAN)</t>
  </si>
  <si>
    <t>NO MATRIC</t>
  </si>
  <si>
    <t>P15D020F</t>
  </si>
  <si>
    <t>NOR HAYATI BINTI ENDUT</t>
  </si>
  <si>
    <t>NO ID</t>
  </si>
  <si>
    <t>PN000238</t>
  </si>
  <si>
    <t>PN000240</t>
  </si>
  <si>
    <t>PK000025</t>
  </si>
  <si>
    <t>P15D158F</t>
  </si>
  <si>
    <t>2 FEB 2016  - 2 AUG 2017 (18 BULAN)</t>
  </si>
  <si>
    <t>PC000013</t>
  </si>
  <si>
    <t>CHE ALIRA BT IBRAHIM</t>
  </si>
  <si>
    <t>P15D049P</t>
  </si>
  <si>
    <t>880423035722</t>
  </si>
  <si>
    <t xml:space="preserve"> P15D175F</t>
  </si>
  <si>
    <t>NOR NAZHAH BINTI ISMAIL</t>
  </si>
  <si>
    <t>PN000244</t>
  </si>
  <si>
    <t>P15D147F</t>
  </si>
  <si>
    <t>PS000104</t>
  </si>
  <si>
    <t>P15D154F</t>
  </si>
  <si>
    <t>PN000236</t>
  </si>
  <si>
    <t xml:space="preserve">NURUL QAMARIAH BINTI IBRAHIM </t>
  </si>
  <si>
    <t>P15F124F</t>
  </si>
  <si>
    <t>PN000058</t>
  </si>
  <si>
    <t>NUR AZIAH BT MOHD AROF</t>
  </si>
  <si>
    <t>MYPHD</t>
  </si>
  <si>
    <t>2 FEB 2016 - 1 AUG 2018 (30 BULAN)</t>
  </si>
  <si>
    <t>P15D144F</t>
  </si>
  <si>
    <t xml:space="preserve">WAN RASHEEQA NAASIHA BINTI WAN ISMAIL </t>
  </si>
  <si>
    <t>PW000049</t>
  </si>
  <si>
    <t>MYMASTER</t>
  </si>
  <si>
    <t>P14D393P</t>
  </si>
  <si>
    <t>PC000010</t>
  </si>
  <si>
    <t>CHERRY LINDA ANAK KERIPIN</t>
  </si>
  <si>
    <t>2 FEB 2016 - 1 AUG 2016 (6 BULAN)</t>
  </si>
  <si>
    <t>NIK NUR ZULAIKHA BINTI MOHAMMAD RIZANI</t>
  </si>
  <si>
    <t>A15D005F</t>
  </si>
  <si>
    <t>900826035650</t>
  </si>
  <si>
    <t>PN000217</t>
  </si>
  <si>
    <t>C15E004F</t>
  </si>
  <si>
    <t>PS000098</t>
  </si>
  <si>
    <t>DOKTOR FALSAFAH REKA BENTUK PRODUK</t>
  </si>
  <si>
    <t xml:space="preserve">SITI MARIAM BINTI MAT NOR </t>
  </si>
  <si>
    <t>P15F130F</t>
  </si>
  <si>
    <t xml:space="preserve">MOHD SUHAIRI BIN SUHAIMIN </t>
  </si>
  <si>
    <t>PM000105</t>
  </si>
  <si>
    <t>2 FEB 2016 - 1 FEB 2018 (24 BULAN)</t>
  </si>
  <si>
    <t>P15F125F</t>
  </si>
  <si>
    <t>PN000076</t>
  </si>
  <si>
    <t>P15D152F</t>
  </si>
  <si>
    <t xml:space="preserve">NUR NABILAH WAHIDAH BINTI MOHD ZUKI </t>
  </si>
  <si>
    <t>PN000235</t>
  </si>
  <si>
    <t>P15D162F</t>
  </si>
  <si>
    <t>NUR HIDAYAT BINTI ABD NASIR</t>
  </si>
  <si>
    <t>PN000239</t>
  </si>
  <si>
    <t>AHMAD FUAD BIN IBRAHIM</t>
  </si>
  <si>
    <t>A15E005F</t>
  </si>
  <si>
    <t>801205035187</t>
  </si>
  <si>
    <t>PA000149</t>
  </si>
  <si>
    <t>2 FEB 2016 - 8 JAN 2018 (23 BULAN)</t>
  </si>
  <si>
    <t>P15D103P</t>
  </si>
  <si>
    <t>830514105276</t>
  </si>
  <si>
    <t>PH000033</t>
  </si>
  <si>
    <t>2 SEP 2013- 1 MAR 2016 (30 BULAN) / 2 FEBRUARI 2014 - 1 MAC 2016 (25 BULAN)</t>
  </si>
  <si>
    <t>D13D002F</t>
  </si>
  <si>
    <t xml:space="preserve">871130035054 </t>
  </si>
  <si>
    <t>AMNAH BINTI ABDULLAH</t>
  </si>
  <si>
    <t>PA000092</t>
  </si>
  <si>
    <t>PN000225</t>
  </si>
  <si>
    <t>P14D490P</t>
  </si>
  <si>
    <t>PUVENTHINY A/P BHAKTHAVATSALU</t>
  </si>
  <si>
    <t>PP000004</t>
  </si>
  <si>
    <t xml:space="preserve"> P12D247P</t>
  </si>
  <si>
    <t>PN000124</t>
  </si>
  <si>
    <t>03 FEB 2014 - 2 FEB 2016 (24 BULAN)</t>
  </si>
  <si>
    <t>13.09.2015  - 12 SEPT 2018 (36 BULAN)</t>
  </si>
  <si>
    <t>MOHAMAD AZIM BIN MOHAMAD HANAPI</t>
  </si>
  <si>
    <t>P15D053P</t>
  </si>
  <si>
    <t>891115035177</t>
  </si>
  <si>
    <t>PM000201</t>
  </si>
  <si>
    <t xml:space="preserve">AZHAR NAIMA MUTLAK   </t>
  </si>
  <si>
    <t>SITI SUHAILA BINTI MOKHTAR</t>
  </si>
  <si>
    <t>ALI ABDULLAH BADR</t>
  </si>
  <si>
    <t>MD EKRAMUL HAQ</t>
  </si>
  <si>
    <t>3 ORANG INTERBATIONAL</t>
  </si>
  <si>
    <t>ABDULLAH ABBAS TURKI</t>
  </si>
  <si>
    <t>P15F003F</t>
  </si>
  <si>
    <t>781111086519</t>
  </si>
  <si>
    <t>PT000021</t>
  </si>
  <si>
    <t xml:space="preserve">TEH KEAN LIP </t>
  </si>
  <si>
    <t>MARINA BINTI MOHD NOR</t>
  </si>
  <si>
    <t>720914115134</t>
  </si>
  <si>
    <t>PM000204</t>
  </si>
  <si>
    <t>DOCTORATE OF PHILOSOPHY (PHD)</t>
  </si>
  <si>
    <t>DOCTOR OF PHILOSOPHY (BUSINESS ADMINISTRATION - MANAGEMENT)</t>
  </si>
  <si>
    <t>MAHAMAD AHAMAD BIN SHABUDIN</t>
  </si>
  <si>
    <t>PM00227</t>
  </si>
  <si>
    <t>740401675011</t>
  </si>
  <si>
    <t>E14E008F</t>
  </si>
  <si>
    <t>P15F014F</t>
  </si>
  <si>
    <t>2 FEB 2016 - 1 FEB 2019 (36 BULAN)</t>
  </si>
  <si>
    <t>MUHAMMAD IKHWAN BIN HANIPAH</t>
  </si>
  <si>
    <t>C15E002F</t>
  </si>
  <si>
    <t>861120295291</t>
  </si>
  <si>
    <t>PM000208</t>
  </si>
  <si>
    <t>DOKTOR FALSAFAH PENGAJIAN WARISAN</t>
  </si>
  <si>
    <t>911016035425</t>
  </si>
  <si>
    <t>P15F123F</t>
  </si>
  <si>
    <t>830302035106</t>
  </si>
  <si>
    <t xml:space="preserve">SITI NORMARINEE BINTI AHMAD </t>
  </si>
  <si>
    <t>PS000029</t>
  </si>
  <si>
    <t>SITI NARBIHA BINTI MAT JUSOH</t>
  </si>
  <si>
    <t>F15D003F</t>
  </si>
  <si>
    <t>920115035142</t>
  </si>
  <si>
    <t>PS000101</t>
  </si>
  <si>
    <t>P15D156F</t>
  </si>
  <si>
    <t>PN000237</t>
  </si>
  <si>
    <t xml:space="preserve">NURUL NAJIHATULAMIRA BINTI MUSTAFFA </t>
  </si>
  <si>
    <t>WEE BEE FONG</t>
  </si>
  <si>
    <t>P15D008P</t>
  </si>
  <si>
    <t>880712035948</t>
  </si>
  <si>
    <t>PW000044</t>
  </si>
  <si>
    <t>C15E006F</t>
  </si>
  <si>
    <t>870412115189</t>
  </si>
  <si>
    <t>PM000210</t>
  </si>
  <si>
    <t>DOKTOR FALSAFAH MULTIMEDIA</t>
  </si>
  <si>
    <t>PA000043</t>
  </si>
  <si>
    <t>P12D017P</t>
  </si>
  <si>
    <t>PA000099</t>
  </si>
  <si>
    <t>P14D408F</t>
  </si>
  <si>
    <t>P12D028</t>
  </si>
  <si>
    <t>PB000002</t>
  </si>
  <si>
    <t>P14D517F</t>
  </si>
  <si>
    <t>PF000022</t>
  </si>
  <si>
    <t>PG000006</t>
  </si>
  <si>
    <t>P14D378P</t>
  </si>
  <si>
    <t>PG000003</t>
  </si>
  <si>
    <t>P12D066P</t>
  </si>
  <si>
    <t>P13D039F</t>
  </si>
  <si>
    <t>PH000015</t>
  </si>
  <si>
    <t>P12D177F</t>
  </si>
  <si>
    <t>PH000011</t>
  </si>
  <si>
    <t>PH000016</t>
  </si>
  <si>
    <t>P13D071F</t>
  </si>
  <si>
    <t>PH000025</t>
  </si>
  <si>
    <t>P14D523F</t>
  </si>
  <si>
    <t>PI000013</t>
  </si>
  <si>
    <t>P12D240F</t>
  </si>
  <si>
    <t>PL000012</t>
  </si>
  <si>
    <t>P14D336F</t>
  </si>
  <si>
    <t>PL000017</t>
  </si>
  <si>
    <t>P14D515F</t>
  </si>
  <si>
    <t>P12D043P</t>
  </si>
  <si>
    <t>PL000006</t>
  </si>
  <si>
    <t>PM000089</t>
  </si>
  <si>
    <t>P12D199P</t>
  </si>
  <si>
    <t>PM000061</t>
  </si>
  <si>
    <t>P12D075P</t>
  </si>
  <si>
    <t>PM000113</t>
  </si>
  <si>
    <t>P13D184P</t>
  </si>
  <si>
    <t>PM000150</t>
  </si>
  <si>
    <t>P14D323F</t>
  </si>
  <si>
    <t>P12D044P</t>
  </si>
  <si>
    <t>PM000059</t>
  </si>
  <si>
    <t>P13D002F</t>
  </si>
  <si>
    <t>PM000116</t>
  </si>
  <si>
    <t>P13D186P</t>
  </si>
  <si>
    <t>PM000132</t>
  </si>
  <si>
    <t>P13D115P</t>
  </si>
  <si>
    <t>PM000064</t>
  </si>
  <si>
    <t>P12D093P</t>
  </si>
  <si>
    <t>PM000136</t>
  </si>
  <si>
    <t>P13D156P</t>
  </si>
  <si>
    <t>PM000056</t>
  </si>
  <si>
    <t>P12D012P</t>
  </si>
  <si>
    <t>PN000161</t>
  </si>
  <si>
    <t>P14D349F</t>
  </si>
  <si>
    <t>PN000189</t>
  </si>
  <si>
    <t>P14D504F</t>
  </si>
  <si>
    <t>PN000145</t>
  </si>
  <si>
    <t>P12D071P</t>
  </si>
  <si>
    <t>PN000101</t>
  </si>
  <si>
    <t>P12D235F</t>
  </si>
  <si>
    <t>PN000154</t>
  </si>
  <si>
    <t>P14D320F</t>
  </si>
  <si>
    <t>PN000157</t>
  </si>
  <si>
    <t>P14D341P</t>
  </si>
  <si>
    <t>PN000118</t>
  </si>
  <si>
    <t>P13D001F</t>
  </si>
  <si>
    <t>PN000056</t>
  </si>
  <si>
    <t>P12D034P</t>
  </si>
  <si>
    <t>PN000122</t>
  </si>
  <si>
    <t>P13D054P</t>
  </si>
  <si>
    <t>RECEIVED LETTER NOV 2015</t>
  </si>
  <si>
    <t>PN000057</t>
  </si>
  <si>
    <t>P12D024P</t>
  </si>
  <si>
    <t>PN000146</t>
  </si>
  <si>
    <t>P13D147P</t>
  </si>
  <si>
    <t>PN000190</t>
  </si>
  <si>
    <t>P14D498F</t>
  </si>
  <si>
    <t>P12D042P</t>
  </si>
  <si>
    <t>PN000115</t>
  </si>
  <si>
    <t>P13D035F</t>
  </si>
  <si>
    <t>PN000126</t>
  </si>
  <si>
    <t>P13D189P</t>
  </si>
  <si>
    <t>PN000053</t>
  </si>
  <si>
    <t>P12D002P</t>
  </si>
  <si>
    <t>PN000167</t>
  </si>
  <si>
    <t>P14D359P</t>
  </si>
  <si>
    <t>PN000191</t>
  </si>
  <si>
    <t>P14D508F</t>
  </si>
  <si>
    <t>PN000103</t>
  </si>
  <si>
    <t>P12D201P</t>
  </si>
  <si>
    <t>PN000114</t>
  </si>
  <si>
    <t>P13D073P</t>
  </si>
  <si>
    <t>PP000001</t>
  </si>
  <si>
    <t>P12D102P</t>
  </si>
  <si>
    <t>PR000013</t>
  </si>
  <si>
    <t>P12D010P</t>
  </si>
  <si>
    <t>PR000024</t>
  </si>
  <si>
    <t>P13D183P</t>
  </si>
  <si>
    <t>PS000055</t>
  </si>
  <si>
    <t>P12D123P</t>
  </si>
  <si>
    <t>PS000084</t>
  </si>
  <si>
    <t>P14D501F</t>
  </si>
  <si>
    <t>PS000068</t>
  </si>
  <si>
    <t>P14D379F</t>
  </si>
  <si>
    <t>PS000052</t>
  </si>
  <si>
    <t>P13D053F</t>
  </si>
  <si>
    <t>P12D189F</t>
  </si>
  <si>
    <t>PV000001</t>
  </si>
  <si>
    <t>P12D025P</t>
  </si>
  <si>
    <t>PW000028</t>
  </si>
  <si>
    <t>P13D145</t>
  </si>
  <si>
    <t>PW000035</t>
  </si>
  <si>
    <t>P14D458P</t>
  </si>
  <si>
    <t>PN000166</t>
  </si>
  <si>
    <t>PF000028</t>
  </si>
  <si>
    <t>P15D055F</t>
  </si>
  <si>
    <t>PN000194</t>
  </si>
  <si>
    <t>P14D491P</t>
  </si>
  <si>
    <t>PM000184</t>
  </si>
  <si>
    <t>P14D509F</t>
  </si>
  <si>
    <t>PS000094</t>
  </si>
  <si>
    <t>PY000008</t>
  </si>
  <si>
    <t>PM000181</t>
  </si>
  <si>
    <t>P14D520F</t>
  </si>
  <si>
    <t>PN000155</t>
  </si>
  <si>
    <t>P14D337F</t>
  </si>
  <si>
    <t>PT000012</t>
  </si>
  <si>
    <t>P14D326F</t>
  </si>
  <si>
    <t>PA000118</t>
  </si>
  <si>
    <t>P14D503F</t>
  </si>
  <si>
    <t>PR000032</t>
  </si>
  <si>
    <t>P14D454P</t>
  </si>
  <si>
    <t>PW000046</t>
  </si>
  <si>
    <t>PN000229</t>
  </si>
  <si>
    <t>P15D016F</t>
  </si>
  <si>
    <t>PN000228</t>
  </si>
  <si>
    <t>PA000093</t>
  </si>
  <si>
    <t>P14D312F</t>
  </si>
  <si>
    <t>PN000159</t>
  </si>
  <si>
    <t>P14D352P</t>
  </si>
  <si>
    <t>PW000039</t>
  </si>
  <si>
    <t>P14D534F</t>
  </si>
  <si>
    <t>PN000226</t>
  </si>
  <si>
    <t>PM000183</t>
  </si>
  <si>
    <t>P14D514F</t>
  </si>
  <si>
    <t>PA000139</t>
  </si>
  <si>
    <t>PN000193</t>
  </si>
  <si>
    <t>P14D545P</t>
  </si>
  <si>
    <t>PH000032</t>
  </si>
  <si>
    <t>PN000231</t>
  </si>
  <si>
    <t>A12D002F</t>
  </si>
  <si>
    <t xml:space="preserve">NURUL HUSNA BINTI MOHD YUSUF SOON </t>
  </si>
  <si>
    <t>PA000064</t>
  </si>
  <si>
    <t>P12D234F</t>
  </si>
  <si>
    <t>PA000051</t>
  </si>
  <si>
    <t>P12D115F</t>
  </si>
  <si>
    <t>PD000003</t>
  </si>
  <si>
    <t>P12D196P</t>
  </si>
  <si>
    <t>PF000003</t>
  </si>
  <si>
    <t>C11D015F</t>
  </si>
  <si>
    <t>PM000088</t>
  </si>
  <si>
    <t>P12D179F</t>
  </si>
  <si>
    <t>PM000111</t>
  </si>
  <si>
    <t>P12D169F</t>
  </si>
  <si>
    <t>PM000068</t>
  </si>
  <si>
    <t>P12D116F</t>
  </si>
  <si>
    <t>PM000049</t>
  </si>
  <si>
    <t>B11D018F</t>
  </si>
  <si>
    <t>PM000084</t>
  </si>
  <si>
    <t>E12D012F</t>
  </si>
  <si>
    <t>PN000099</t>
  </si>
  <si>
    <t>P12D184F</t>
  </si>
  <si>
    <t>PN000061</t>
  </si>
  <si>
    <t>P12D101P</t>
  </si>
  <si>
    <t>PN000100</t>
  </si>
  <si>
    <t>P12D185F</t>
  </si>
  <si>
    <t>PN000096</t>
  </si>
  <si>
    <t>P12D181F</t>
  </si>
  <si>
    <t>PN000064</t>
  </si>
  <si>
    <t>P12D117F</t>
  </si>
  <si>
    <t>PN000068</t>
  </si>
  <si>
    <t>P12D130F</t>
  </si>
  <si>
    <t>PN000085</t>
  </si>
  <si>
    <t>B11D036F</t>
  </si>
  <si>
    <t>PN000028</t>
  </si>
  <si>
    <t>A11D020F</t>
  </si>
  <si>
    <t>PS000031</t>
  </si>
  <si>
    <t>P12D120F</t>
  </si>
  <si>
    <t>P12D011P</t>
  </si>
  <si>
    <t>PS000037</t>
  </si>
  <si>
    <t>C12D005F</t>
  </si>
  <si>
    <t>PW000026</t>
  </si>
  <si>
    <t>P12D190F</t>
  </si>
  <si>
    <t>PW000025</t>
  </si>
  <si>
    <t>D12D002F</t>
  </si>
  <si>
    <t>2 JAN 2013 2013 - 1 JUL 2014 (18 BULAN)</t>
  </si>
  <si>
    <t>PA000062</t>
  </si>
  <si>
    <t>C12D001P</t>
  </si>
  <si>
    <t>PA000080</t>
  </si>
  <si>
    <t>F13D001F</t>
  </si>
  <si>
    <t>PF000005</t>
  </si>
  <si>
    <t>C11D008F</t>
  </si>
  <si>
    <t>PF000010</t>
  </si>
  <si>
    <t>F12D008F</t>
  </si>
  <si>
    <t>PI000009</t>
  </si>
  <si>
    <t>F12D010F</t>
  </si>
  <si>
    <t>PI000016</t>
  </si>
  <si>
    <t>F13D010F</t>
  </si>
  <si>
    <t>PI000005</t>
  </si>
  <si>
    <t>C11D001F</t>
  </si>
  <si>
    <t>PI000015</t>
  </si>
  <si>
    <t>F13D003F</t>
  </si>
  <si>
    <t>PK000016</t>
  </si>
  <si>
    <t>G14D005F</t>
  </si>
  <si>
    <t>PK000014</t>
  </si>
  <si>
    <t>A13D013F</t>
  </si>
  <si>
    <t>PM000026</t>
  </si>
  <si>
    <t>A11D018F</t>
  </si>
  <si>
    <t>PM000050</t>
  </si>
  <si>
    <t>B11D025F</t>
  </si>
  <si>
    <t>F14D008F</t>
  </si>
  <si>
    <t>PM000165</t>
  </si>
  <si>
    <t>PM000127</t>
  </si>
  <si>
    <t>E13D006P</t>
  </si>
  <si>
    <t>PM000139</t>
  </si>
  <si>
    <t>G13D003F</t>
  </si>
  <si>
    <t>PM000145</t>
  </si>
  <si>
    <t>F13D012F</t>
  </si>
  <si>
    <t>PN000041</t>
  </si>
  <si>
    <t>B11D003F</t>
  </si>
  <si>
    <t>PN000141</t>
  </si>
  <si>
    <t>E13D003F</t>
  </si>
  <si>
    <t>PN000112</t>
  </si>
  <si>
    <t>D12D005F</t>
  </si>
  <si>
    <t>PN000148</t>
  </si>
  <si>
    <t>C13D007F</t>
  </si>
  <si>
    <t>PN000139</t>
  </si>
  <si>
    <t>F13D004F</t>
  </si>
  <si>
    <t>PN000180</t>
  </si>
  <si>
    <t>C14D002F</t>
  </si>
  <si>
    <t>PN000080</t>
  </si>
  <si>
    <t>A12D014F</t>
  </si>
  <si>
    <t>PN000182</t>
  </si>
  <si>
    <t>F14D006F</t>
  </si>
  <si>
    <t>PN000106</t>
  </si>
  <si>
    <t>A12D026F</t>
  </si>
  <si>
    <t>A12D004P</t>
  </si>
  <si>
    <t>PN000123</t>
  </si>
  <si>
    <t>A12D029F</t>
  </si>
  <si>
    <t>PN000108</t>
  </si>
  <si>
    <t>F12D011F</t>
  </si>
  <si>
    <t>PN000020</t>
  </si>
  <si>
    <t>B10D015F</t>
  </si>
  <si>
    <t>PN000095</t>
  </si>
  <si>
    <t>E12D010F</t>
  </si>
  <si>
    <t>PN000187</t>
  </si>
  <si>
    <t>G14D003F</t>
  </si>
  <si>
    <t>PN000109</t>
  </si>
  <si>
    <t>F12D012F</t>
  </si>
  <si>
    <t>PN000019</t>
  </si>
  <si>
    <t>B10D012F</t>
  </si>
  <si>
    <t>PN000188</t>
  </si>
  <si>
    <t>G14D004F</t>
  </si>
  <si>
    <t>PS000058</t>
  </si>
  <si>
    <t>F13D006F</t>
  </si>
  <si>
    <t>PS000064</t>
  </si>
  <si>
    <t>A13D014P</t>
  </si>
  <si>
    <t>PS000075</t>
  </si>
  <si>
    <t>F14D005F</t>
  </si>
  <si>
    <t>PS000079</t>
  </si>
  <si>
    <t>G14D002F</t>
  </si>
  <si>
    <t>PS000046</t>
  </si>
  <si>
    <t>F12D013F</t>
  </si>
  <si>
    <t>PS000049</t>
  </si>
  <si>
    <t>D12D006F</t>
  </si>
  <si>
    <t>PW000036</t>
  </si>
  <si>
    <t>F14D001F</t>
  </si>
  <si>
    <t>PW000033</t>
  </si>
  <si>
    <t>C13D002F</t>
  </si>
  <si>
    <t>PW000034</t>
  </si>
  <si>
    <t>F13D007F</t>
  </si>
  <si>
    <t>PW000022</t>
  </si>
  <si>
    <t>A12D001F</t>
  </si>
  <si>
    <t>PZ000019</t>
  </si>
  <si>
    <t>PN000183</t>
  </si>
  <si>
    <t>PN000176</t>
  </si>
  <si>
    <t>G14D001F</t>
  </si>
  <si>
    <t>PM000168</t>
  </si>
  <si>
    <t>D14D002F</t>
  </si>
  <si>
    <t>PM000169</t>
  </si>
  <si>
    <t>G14D006F</t>
  </si>
  <si>
    <t>1 FEB 2013 - 31 DIS 2013 ( 7 BULAN) &amp;      1 FEB 2014 - 31 DIS 2014 (11 BULAN)</t>
  </si>
  <si>
    <t>PM000142</t>
  </si>
  <si>
    <t>G13D006F</t>
  </si>
  <si>
    <t>PM000144</t>
  </si>
  <si>
    <t>F13D011F</t>
  </si>
  <si>
    <t>PM000146</t>
  </si>
  <si>
    <t>F13D013F</t>
  </si>
  <si>
    <t>PN000150</t>
  </si>
  <si>
    <t>F13D009F</t>
  </si>
  <si>
    <t>PS000078</t>
  </si>
  <si>
    <t>A14D001F</t>
  </si>
  <si>
    <t>PN000087</t>
  </si>
  <si>
    <t>F12D002F</t>
  </si>
  <si>
    <t>PN000086</t>
  </si>
  <si>
    <t>F12D001F</t>
  </si>
  <si>
    <t>PM000173</t>
  </si>
  <si>
    <t>E14D002F</t>
  </si>
  <si>
    <t>PM000025</t>
  </si>
  <si>
    <t>A11D017F</t>
  </si>
  <si>
    <t>PN000077</t>
  </si>
  <si>
    <t>A12D008F</t>
  </si>
  <si>
    <t>PN000090</t>
  </si>
  <si>
    <t>D12D003F</t>
  </si>
  <si>
    <t>PS000035</t>
  </si>
  <si>
    <t>A12D004F</t>
  </si>
  <si>
    <t>PM000140</t>
  </si>
  <si>
    <t>G13D002F</t>
  </si>
  <si>
    <t>PA000133</t>
  </si>
  <si>
    <t>D14D007F</t>
  </si>
  <si>
    <t>PN000185</t>
  </si>
  <si>
    <t>D14D004F</t>
  </si>
  <si>
    <t>PS000087</t>
  </si>
  <si>
    <t>D13D003F</t>
  </si>
  <si>
    <t>PN000089</t>
  </si>
  <si>
    <t>G12D004F</t>
  </si>
  <si>
    <t>PS000089</t>
  </si>
  <si>
    <t>A14D014F</t>
  </si>
  <si>
    <t>PN000196</t>
  </si>
  <si>
    <t>PL000015</t>
  </si>
  <si>
    <t>F14D002F</t>
  </si>
  <si>
    <t>PN000210</t>
  </si>
  <si>
    <t>A14D013F</t>
  </si>
  <si>
    <t>PN000211</t>
  </si>
  <si>
    <t>A14D015F</t>
  </si>
  <si>
    <t>PN000201</t>
  </si>
  <si>
    <t>C14D016F</t>
  </si>
  <si>
    <t>PR000027</t>
  </si>
  <si>
    <t>A13D005F</t>
  </si>
  <si>
    <t>PN000222</t>
  </si>
  <si>
    <t>F14D017F</t>
  </si>
  <si>
    <t>PA000082</t>
  </si>
  <si>
    <t>G13D001F</t>
  </si>
  <si>
    <t>PN000200</t>
  </si>
  <si>
    <t>C14D014F</t>
  </si>
  <si>
    <t>PT000018</t>
  </si>
  <si>
    <t>F14D010F</t>
  </si>
  <si>
    <t>PN000203</t>
  </si>
  <si>
    <t>F14D012F</t>
  </si>
  <si>
    <t>PM000147</t>
  </si>
  <si>
    <t>F13D014F</t>
  </si>
  <si>
    <t>PR000020</t>
  </si>
  <si>
    <t>G12D001P</t>
  </si>
  <si>
    <t>PW000015</t>
  </si>
  <si>
    <t>B11D014F</t>
  </si>
  <si>
    <t>PS000027</t>
  </si>
  <si>
    <t>B11D010F</t>
  </si>
  <si>
    <t>PW000038</t>
  </si>
  <si>
    <t>PENGAJIAN MULTIMEDIA</t>
  </si>
  <si>
    <t xml:space="preserve">SARJANA SAINS     </t>
  </si>
  <si>
    <t>SARJANA SAINS TEKNOLOGI PEMBANGUNAN PRODUK</t>
  </si>
  <si>
    <t xml:space="preserve">WAN AMIRAH BT WAN SEMAN </t>
  </si>
  <si>
    <t>3 SEPT 2012 - 2 SEP 2014 (24 BULAN)</t>
  </si>
  <si>
    <t>3 SEPT 2012 - 2 MAR 2014 (18 BULAN)]</t>
  </si>
  <si>
    <t>1 FEB 2013 - 31 JUL 2014 (18 BULAN)</t>
  </si>
  <si>
    <t>PS000042</t>
  </si>
  <si>
    <t>B11D017F</t>
  </si>
  <si>
    <t xml:space="preserve">AHMAD SYAFIQ BIN MOHAMED </t>
  </si>
  <si>
    <t>PA000033</t>
  </si>
  <si>
    <t>B10D011F</t>
  </si>
  <si>
    <t>PA000009</t>
  </si>
  <si>
    <t>AISHATUL IZZAH BT MOHD KHIRULTHZAM</t>
  </si>
  <si>
    <t>3 SEP 2012 - 2 MAR 2013 (6 BULAN)</t>
  </si>
  <si>
    <t>B11D019F</t>
  </si>
  <si>
    <t>PA000034</t>
  </si>
  <si>
    <t>AMIRAH BINTI MOHD FIKRI</t>
  </si>
  <si>
    <t>B11D027F</t>
  </si>
  <si>
    <t>ASRUL AFANDI BIN AB HALIM</t>
  </si>
  <si>
    <t>PA000035</t>
  </si>
  <si>
    <t>B11D026F</t>
  </si>
  <si>
    <t>PC000004</t>
  </si>
  <si>
    <t xml:space="preserve">CHONG CHEE KEONG </t>
  </si>
  <si>
    <t>SARJANA SAINS PETERNAKAN</t>
  </si>
  <si>
    <t>D11D001F</t>
  </si>
  <si>
    <t>880110036070</t>
  </si>
  <si>
    <t>PN000037</t>
  </si>
  <si>
    <t xml:space="preserve">NIK NUR FAZLINA BT NIK MOHD FAUZI </t>
  </si>
  <si>
    <t>1 FEB 2012 - 31 JUL 2013 (18 BULAN)</t>
  </si>
  <si>
    <t xml:space="preserve"> 860511295278</t>
  </si>
  <si>
    <t>PN000023</t>
  </si>
  <si>
    <t>1 FEB 2012 - 31 JAN 2013 (12 BULAN)</t>
  </si>
  <si>
    <t>A10D005F</t>
  </si>
  <si>
    <t>850411146284</t>
  </si>
  <si>
    <t xml:space="preserve">NORSHALIZA BT ABDUL RAZIT @ ABDUL RAZAK  </t>
  </si>
  <si>
    <t>PN000017</t>
  </si>
  <si>
    <t>A09D006F</t>
  </si>
  <si>
    <t>860922335844</t>
  </si>
  <si>
    <t xml:space="preserve">NORSYUHADA BINTI HASAN </t>
  </si>
  <si>
    <t>PN000005</t>
  </si>
  <si>
    <t>1 SEP 2011 - 29 FEB 2012 (6 BULAN)</t>
  </si>
  <si>
    <t>B11D015F</t>
  </si>
  <si>
    <t xml:space="preserve">880811035126 </t>
  </si>
  <si>
    <t>PN000046</t>
  </si>
  <si>
    <t>NORZIELAWATI BINTI SALLEH</t>
  </si>
  <si>
    <t xml:space="preserve"> B11D012F</t>
  </si>
  <si>
    <t>870121035242</t>
  </si>
  <si>
    <t>PN000045</t>
  </si>
  <si>
    <t xml:space="preserve">NOR ASHIKIN SHAARI </t>
  </si>
  <si>
    <t>2 FEB 2012 - 31 JUL 2013 (18 BULAN)</t>
  </si>
  <si>
    <t>880108035642</t>
  </si>
  <si>
    <t>PN000047</t>
  </si>
  <si>
    <t>NOR RAZANAH BINTI CHE IBRAHIM</t>
  </si>
  <si>
    <t>870507035296</t>
  </si>
  <si>
    <t>PN000014</t>
  </si>
  <si>
    <t>3 JAN 2011 - 2 JUL 2012 (18 BULAN)</t>
  </si>
  <si>
    <t>/ B11D022F</t>
  </si>
  <si>
    <t>870816085844</t>
  </si>
  <si>
    <t>NUR AIN BINTI ABD AZIZ</t>
  </si>
  <si>
    <t xml:space="preserve">NURDIANA BINTI ROSLAN </t>
  </si>
  <si>
    <t>B11D011F</t>
  </si>
  <si>
    <t>860111295914</t>
  </si>
  <si>
    <t>NURUL AIN BINTI ABDULLAH</t>
  </si>
  <si>
    <t>PN000044</t>
  </si>
  <si>
    <t>PN000049</t>
  </si>
  <si>
    <t>SARJANA SAINS TEKNOLOGI ALAM SEKITAR</t>
  </si>
  <si>
    <t>B11D020F</t>
  </si>
  <si>
    <t>PS000026</t>
  </si>
  <si>
    <t xml:space="preserve">SITI HAJJAR BINTI MUHAMAD DAUD </t>
  </si>
  <si>
    <t>A11D010F</t>
  </si>
  <si>
    <t>PS000013</t>
  </si>
  <si>
    <t xml:space="preserve">SYAMSURIANA BINTI SIDEK </t>
  </si>
  <si>
    <t>A11D005F</t>
  </si>
  <si>
    <t>WAN MOHD YUSUFF BIN WAN IBRAHIM</t>
  </si>
  <si>
    <t>PW000008</t>
  </si>
  <si>
    <t>PENGURUSAN</t>
  </si>
  <si>
    <t>870618035280</t>
  </si>
  <si>
    <t>PZ000007</t>
  </si>
  <si>
    <t>B11D009F</t>
  </si>
  <si>
    <t>E11D001F</t>
  </si>
  <si>
    <t>850507036303</t>
  </si>
  <si>
    <t>ZULFIKRI BIN ABD WAHAB</t>
  </si>
  <si>
    <t>ZETI ERMIENA SURYA BINTI MAT HUSSIN</t>
  </si>
  <si>
    <t>PZ000004</t>
  </si>
  <si>
    <t>INV000277/12, 000278/12</t>
  </si>
  <si>
    <t>INV000529/13,000530/13</t>
  </si>
  <si>
    <t>INV000279/12,000280/12</t>
  </si>
  <si>
    <t>INV000531/13, 000532/13</t>
  </si>
  <si>
    <t>INV000955/12</t>
  </si>
  <si>
    <t>INV000533/13</t>
  </si>
  <si>
    <t>INV000258/12, 000259/12</t>
  </si>
  <si>
    <t>INV000534/13, 000535/15</t>
  </si>
  <si>
    <t>INV000583/13, 000584/13, 001534/13</t>
  </si>
  <si>
    <t>NIK YUSNITA NIK AHMED</t>
  </si>
  <si>
    <t>C10D003F</t>
  </si>
  <si>
    <t>INV000266/12</t>
  </si>
  <si>
    <t>INV000287/12, 000861/12</t>
  </si>
  <si>
    <t>INV000294/12, 000295/12</t>
  </si>
  <si>
    <t>INV000288/12, 000862/12</t>
  </si>
  <si>
    <t>INV000550/13</t>
  </si>
  <si>
    <t>INV000289/12, 000863/12</t>
  </si>
  <si>
    <t>INV000551/13</t>
  </si>
  <si>
    <t>INV000932/12</t>
  </si>
  <si>
    <t>INV000586/13</t>
  </si>
  <si>
    <t>INV000141/11, 000342/11</t>
  </si>
  <si>
    <t>INV000867/12</t>
  </si>
  <si>
    <t>B10D003F</t>
  </si>
  <si>
    <t>INV000290/12, 000864/12</t>
  </si>
  <si>
    <t>INV000607/13</t>
  </si>
  <si>
    <t>INV000869/12, 000870/12</t>
  </si>
  <si>
    <t>INV000560/13</t>
  </si>
  <si>
    <t>INV000273/12, 000274/12</t>
  </si>
  <si>
    <t>INV000563/13, 000564/13</t>
  </si>
  <si>
    <t>INV000849/12, 000850/12</t>
  </si>
  <si>
    <t>INV000855/12</t>
  </si>
  <si>
    <t>INV000608/13</t>
  </si>
  <si>
    <t>INV000597/13</t>
  </si>
  <si>
    <t>INV000913/12</t>
  </si>
  <si>
    <t>INV000573/13</t>
  </si>
  <si>
    <t>PA000013</t>
  </si>
  <si>
    <t>A11E015F</t>
  </si>
  <si>
    <t>PA000110</t>
  </si>
  <si>
    <t>E14E001F</t>
  </si>
  <si>
    <t>PA000088</t>
  </si>
  <si>
    <t>F13E007F</t>
  </si>
  <si>
    <t>PF000018</t>
  </si>
  <si>
    <t>C13E003F</t>
  </si>
  <si>
    <t>PJ000008</t>
  </si>
  <si>
    <t>A12E017F</t>
  </si>
  <si>
    <t>PK000007</t>
  </si>
  <si>
    <t>A13E002F</t>
  </si>
  <si>
    <t>PL000009</t>
  </si>
  <si>
    <t>A12E008F</t>
  </si>
  <si>
    <t>PM000098</t>
  </si>
  <si>
    <t>A12E018F</t>
  </si>
  <si>
    <t>PM000143</t>
  </si>
  <si>
    <t>F13E006F</t>
  </si>
  <si>
    <t>PN000143</t>
  </si>
  <si>
    <t>E13E001F</t>
  </si>
  <si>
    <t>P15D171F</t>
  </si>
  <si>
    <t>EMILIA NASUHA ZULKFFLI</t>
  </si>
  <si>
    <t>PE000009</t>
  </si>
  <si>
    <t>PR000039</t>
  </si>
  <si>
    <t>A13E034F</t>
  </si>
  <si>
    <t>V871331</t>
  </si>
  <si>
    <t>14/09/2014 SEM1 2014/2015 - SEM 2 2016/2017</t>
  </si>
  <si>
    <t>PP000006</t>
  </si>
  <si>
    <t>T778498</t>
  </si>
  <si>
    <t>E13E008F</t>
  </si>
  <si>
    <t>DEVELOPMENT AND EDUCATIONAL VALUES</t>
  </si>
  <si>
    <t>PM000202</t>
  </si>
  <si>
    <t>PA000135</t>
  </si>
  <si>
    <t>PR000049</t>
  </si>
  <si>
    <t>PS000097</t>
  </si>
  <si>
    <t>PA000161</t>
  </si>
  <si>
    <t>PM000211</t>
  </si>
  <si>
    <t>PR000045</t>
  </si>
  <si>
    <t>PL000003</t>
  </si>
  <si>
    <t>PS000019</t>
  </si>
  <si>
    <t>PI000014</t>
  </si>
  <si>
    <t>PS000036</t>
  </si>
  <si>
    <t>PN000134</t>
  </si>
  <si>
    <t>A13E003F</t>
  </si>
  <si>
    <t>PN000111</t>
  </si>
  <si>
    <t>C12E004F</t>
  </si>
  <si>
    <t>PN000149</t>
  </si>
  <si>
    <t>A13E031F</t>
  </si>
  <si>
    <t>PN000083</t>
  </si>
  <si>
    <t>A12E014F</t>
  </si>
  <si>
    <t>PN000026</t>
  </si>
  <si>
    <t>A14E005F</t>
  </si>
  <si>
    <t>PN000140</t>
  </si>
  <si>
    <t>F13E001F</t>
  </si>
  <si>
    <t>PN000038</t>
  </si>
  <si>
    <t>C11E004F</t>
  </si>
  <si>
    <t>PR000030</t>
  </si>
  <si>
    <t>A13E030F</t>
  </si>
  <si>
    <t>PS000025</t>
  </si>
  <si>
    <t>B11E004P</t>
  </si>
  <si>
    <t>PS000048</t>
  </si>
  <si>
    <t>C12E005F</t>
  </si>
  <si>
    <t>PS000043</t>
  </si>
  <si>
    <t>A12E020F</t>
  </si>
  <si>
    <t>PS000044</t>
  </si>
  <si>
    <t>A12E021F</t>
  </si>
  <si>
    <t>PW000023</t>
  </si>
  <si>
    <t>A12E010F</t>
  </si>
  <si>
    <t>PW000024</t>
  </si>
  <si>
    <t>F12E003F</t>
  </si>
  <si>
    <t>PW000032</t>
  </si>
  <si>
    <t>A13E016F</t>
  </si>
  <si>
    <t>PZ000014</t>
  </si>
  <si>
    <t>A12E030P</t>
  </si>
  <si>
    <t>PZ000022</t>
  </si>
  <si>
    <t>F14E001F</t>
  </si>
  <si>
    <t>PA000014</t>
  </si>
  <si>
    <t>A14E009F</t>
  </si>
  <si>
    <t>PC000008</t>
  </si>
  <si>
    <t>A13E032F</t>
  </si>
  <si>
    <t>PE000007</t>
  </si>
  <si>
    <t>P14E012P</t>
  </si>
  <si>
    <t>PL000016</t>
  </si>
  <si>
    <t>P14E018P</t>
  </si>
  <si>
    <t>PS000077</t>
  </si>
  <si>
    <t>G14E001P</t>
  </si>
  <si>
    <t>PN000179</t>
  </si>
  <si>
    <t>A14E010F</t>
  </si>
  <si>
    <t>PS000065</t>
  </si>
  <si>
    <t>A13E029F</t>
  </si>
  <si>
    <t>PS000009</t>
  </si>
  <si>
    <t>A10E006P</t>
  </si>
  <si>
    <t>PW000043</t>
  </si>
  <si>
    <t>C14E006F</t>
  </si>
  <si>
    <t>PZ000023</t>
  </si>
  <si>
    <t>A14E007F</t>
  </si>
  <si>
    <t>PM000171</t>
  </si>
  <si>
    <t>A14E011F</t>
  </si>
  <si>
    <t>PS000088</t>
  </si>
  <si>
    <t>A14E025F</t>
  </si>
  <si>
    <t>PM000195</t>
  </si>
  <si>
    <t>C14E011F</t>
  </si>
  <si>
    <t>PR000034</t>
  </si>
  <si>
    <t>A14E012F</t>
  </si>
  <si>
    <t>PM000198</t>
  </si>
  <si>
    <t>A14E022F</t>
  </si>
  <si>
    <t>PA000131</t>
  </si>
  <si>
    <t>A14E019P</t>
  </si>
  <si>
    <t>PF000026</t>
  </si>
  <si>
    <t>A14E004F</t>
  </si>
  <si>
    <t>PN000208</t>
  </si>
  <si>
    <t>PT000015</t>
  </si>
  <si>
    <t>A14E006F</t>
  </si>
  <si>
    <t>PA000077</t>
  </si>
  <si>
    <t>P13E004P</t>
  </si>
  <si>
    <t>PN000202</t>
  </si>
  <si>
    <t>E14E007F</t>
  </si>
  <si>
    <t>PN000207</t>
  </si>
  <si>
    <t>A14E017F</t>
  </si>
  <si>
    <t>B09E001F</t>
  </si>
  <si>
    <t>830205035526</t>
  </si>
  <si>
    <t xml:space="preserve">NOR SALMI BINTI ABDULLAH </t>
  </si>
  <si>
    <t>PN000004</t>
  </si>
  <si>
    <t>3 JAN 2011 - 2 JAN 2013 (24 BULAN)</t>
  </si>
  <si>
    <t>TEKNOLOGI BIOINDUSTRI</t>
  </si>
  <si>
    <t>C10E004F</t>
  </si>
  <si>
    <t>721222035293</t>
  </si>
  <si>
    <t>SUHAIMI BIN CHE WEL</t>
  </si>
  <si>
    <t>PS000011</t>
  </si>
  <si>
    <t>C09D004P</t>
  </si>
  <si>
    <t>850920115283</t>
  </si>
  <si>
    <t>INV000810/13,000811/13,001474/13</t>
  </si>
  <si>
    <t>C11E002P</t>
  </si>
  <si>
    <t>E11E013F</t>
  </si>
  <si>
    <t>E11E009P</t>
  </si>
  <si>
    <t>PR000041</t>
  </si>
  <si>
    <t>C14E009P</t>
  </si>
  <si>
    <t>C11D007P</t>
  </si>
  <si>
    <t>A13E015F</t>
  </si>
  <si>
    <t>E11E003P</t>
  </si>
  <si>
    <t>C13D005F</t>
  </si>
  <si>
    <t>A12E005F</t>
  </si>
  <si>
    <t>A15E001F</t>
  </si>
  <si>
    <t>P12D236F</t>
  </si>
  <si>
    <t>P14D394P</t>
  </si>
  <si>
    <t>P12D197P</t>
  </si>
  <si>
    <t>A13E001F</t>
  </si>
  <si>
    <t>E12D001P</t>
  </si>
  <si>
    <t>A13D010F</t>
  </si>
  <si>
    <t>A12E019F</t>
  </si>
  <si>
    <t>A12D013F</t>
  </si>
  <si>
    <t>A13D004F</t>
  </si>
  <si>
    <t>B08E001P</t>
  </si>
  <si>
    <t>P13D146P</t>
  </si>
  <si>
    <t>D12D007F</t>
  </si>
  <si>
    <t>PS000062</t>
  </si>
  <si>
    <t>P12D080P</t>
  </si>
  <si>
    <t>PA000010</t>
  </si>
  <si>
    <t>C10E003F</t>
  </si>
  <si>
    <t>PF000001</t>
  </si>
  <si>
    <t>A11E011F</t>
  </si>
  <si>
    <t>PM000022</t>
  </si>
  <si>
    <t>A11E010F</t>
  </si>
  <si>
    <t>PM000082</t>
  </si>
  <si>
    <t>C12E003P</t>
  </si>
  <si>
    <t>PA000078</t>
  </si>
  <si>
    <t>A13E025P</t>
  </si>
  <si>
    <t>PA000108</t>
  </si>
  <si>
    <t>A14E001F</t>
  </si>
  <si>
    <t>PM000209</t>
  </si>
  <si>
    <t>C15E005F</t>
  </si>
  <si>
    <t>PI000001</t>
  </si>
  <si>
    <t>C09E002P</t>
  </si>
  <si>
    <t>PR000028</t>
  </si>
  <si>
    <t>C12D003F</t>
  </si>
  <si>
    <t>A14D004F</t>
  </si>
  <si>
    <t>PM000106</t>
  </si>
  <si>
    <t>P13D038F</t>
  </si>
  <si>
    <t>PM000011</t>
  </si>
  <si>
    <t xml:space="preserve">                        </t>
  </si>
  <si>
    <t>PM000130</t>
  </si>
  <si>
    <t>P12D240P</t>
  </si>
  <si>
    <t>11 OCT 2013 -11 OCT 2016</t>
  </si>
  <si>
    <t>PA000022</t>
  </si>
  <si>
    <t>E11E010P</t>
  </si>
  <si>
    <t>PC000005</t>
  </si>
  <si>
    <t>P12D122P</t>
  </si>
  <si>
    <t>PF000008</t>
  </si>
  <si>
    <t>P12D121P</t>
  </si>
  <si>
    <t>PG000002</t>
  </si>
  <si>
    <t>E11E008P</t>
  </si>
  <si>
    <t>PL000007</t>
  </si>
  <si>
    <t>P12D124P</t>
  </si>
  <si>
    <t>PN000034</t>
  </si>
  <si>
    <t>E11E011P</t>
  </si>
  <si>
    <t>PT000009</t>
  </si>
  <si>
    <t>PW000012</t>
  </si>
  <si>
    <t>E11E007P</t>
  </si>
  <si>
    <t>PJ000014</t>
  </si>
  <si>
    <t>P14D585P</t>
  </si>
  <si>
    <t>PM000118</t>
  </si>
  <si>
    <t>P13D132P</t>
  </si>
  <si>
    <t>TAHUN</t>
  </si>
  <si>
    <t>PN000206</t>
  </si>
  <si>
    <t>P15D003P</t>
  </si>
  <si>
    <t>PZ000025</t>
  </si>
  <si>
    <t>PA000137</t>
  </si>
  <si>
    <t>PM000199</t>
  </si>
  <si>
    <t>D14D009F</t>
  </si>
  <si>
    <t>PA000067</t>
  </si>
  <si>
    <t>D12E004F</t>
  </si>
  <si>
    <t>PD000009</t>
  </si>
  <si>
    <t>P15D014F</t>
  </si>
  <si>
    <t>PH000031</t>
  </si>
  <si>
    <t>P15D013F</t>
  </si>
  <si>
    <t>781207135143</t>
  </si>
  <si>
    <t xml:space="preserve">HYDER JALEEL BIN GAFOOR ABDUL RASHEED </t>
  </si>
  <si>
    <t>PS000070</t>
  </si>
  <si>
    <t>P14D397P</t>
  </si>
  <si>
    <t>PN000181</t>
  </si>
  <si>
    <t>D14D001F</t>
  </si>
  <si>
    <t>820622125478</t>
  </si>
  <si>
    <t>PN000204</t>
  </si>
  <si>
    <t>D14D008F</t>
  </si>
  <si>
    <t>830929015088</t>
  </si>
  <si>
    <t>PM000230</t>
  </si>
  <si>
    <t>D15D006F</t>
  </si>
  <si>
    <t>820827025147</t>
  </si>
  <si>
    <t>INV 000953/15</t>
  </si>
  <si>
    <t>INV 000956/13</t>
  </si>
  <si>
    <t>INV 000759/14</t>
  </si>
  <si>
    <t>INV 000852/15</t>
  </si>
  <si>
    <t>INV000853/15- TESIS</t>
  </si>
  <si>
    <t>INV000914/12</t>
  </si>
  <si>
    <t>INV000544/13</t>
  </si>
  <si>
    <t>INV001476/13</t>
  </si>
  <si>
    <t>INV001510/13 - TESIS</t>
  </si>
  <si>
    <t>INV001828/15</t>
  </si>
  <si>
    <t>INV000260/12</t>
  </si>
  <si>
    <t>INV000261/12</t>
  </si>
  <si>
    <t>INV000858/12</t>
  </si>
  <si>
    <t>INV000599/13</t>
  </si>
  <si>
    <t>INV001480/13</t>
  </si>
  <si>
    <t>INV000764/14</t>
  </si>
  <si>
    <t>INV000002/15</t>
  </si>
  <si>
    <t>INV000022/13</t>
  </si>
  <si>
    <t>INV000628/13</t>
  </si>
  <si>
    <t>INV001492/13</t>
  </si>
  <si>
    <t>INV000925/14</t>
  </si>
  <si>
    <t>INV000010/15</t>
  </si>
  <si>
    <t>INV000705/15</t>
  </si>
  <si>
    <t>INV000707/15</t>
  </si>
  <si>
    <t>INV000708/15</t>
  </si>
  <si>
    <t>INV000709/15</t>
  </si>
  <si>
    <t>INV000710/15</t>
  </si>
  <si>
    <t>INV000303/12</t>
  </si>
  <si>
    <t>INV000304/12</t>
  </si>
  <si>
    <t>INV000239/15</t>
  </si>
  <si>
    <t>INV000069/11</t>
  </si>
  <si>
    <t>INV000070/11</t>
  </si>
  <si>
    <t>INV000071/11</t>
  </si>
  <si>
    <t>INV000664/15 , 001145/15</t>
  </si>
  <si>
    <t>INV000665/15 , 001144/15</t>
  </si>
  <si>
    <t>INV000705/16</t>
  </si>
  <si>
    <t>INV000666/15 , 001143/15</t>
  </si>
  <si>
    <t>INV000704/16</t>
  </si>
  <si>
    <t>INV000667/15 , 001142/15</t>
  </si>
  <si>
    <t>INV000196/16</t>
  </si>
  <si>
    <t>INV000197/16</t>
  </si>
  <si>
    <t>INV000198/16</t>
  </si>
  <si>
    <t>STUDENT DEALS SENDIRI</t>
  </si>
  <si>
    <t>INV000657/15</t>
  </si>
  <si>
    <t>OLALERE FOLASAYO</t>
  </si>
  <si>
    <t>PO000002</t>
  </si>
  <si>
    <t>C13E002F</t>
  </si>
  <si>
    <t>A01856382</t>
  </si>
  <si>
    <t>14/09/2014 SEM1 2014/2015 - SEM 2 2015/2016</t>
  </si>
  <si>
    <t>SCIENCE AND TECHNOLOGY</t>
  </si>
  <si>
    <t>INV000702/16</t>
  </si>
  <si>
    <t>CBBPHLP</t>
  </si>
  <si>
    <t>DIBERHENTIKAN</t>
  </si>
  <si>
    <t>INV000703/16</t>
  </si>
  <si>
    <t>1. FAKULTI INFORM PPS</t>
  </si>
  <si>
    <t>2. PPS KELUARKAN SURAT PENGECUALIAN YURAN SEMESTER TERBABIT</t>
  </si>
  <si>
    <t>3. BENDAHARI REVERSE YURAN</t>
  </si>
  <si>
    <t>UMK.JL/A07/500-19/5 (11)</t>
  </si>
  <si>
    <t>901203026269</t>
  </si>
  <si>
    <t>901224036060</t>
  </si>
  <si>
    <t>BAHAGIAN BIASISWA</t>
  </si>
  <si>
    <t>KEMENTERIAN PENDIDIKAN TINGGI</t>
  </si>
  <si>
    <t>TEL :03-8870 6368</t>
  </si>
  <si>
    <t>FAX :03-88706839</t>
  </si>
  <si>
    <t>nurhafizan@mohe.gov.my</t>
  </si>
  <si>
    <t>SEPT 2013/2014</t>
  </si>
  <si>
    <t>20/03/2016 - 19/06/2016</t>
  </si>
  <si>
    <t>UMK.JL/A08/500-19/5 JILID 3(13)</t>
  </si>
  <si>
    <t>FEB 2015/2016</t>
  </si>
  <si>
    <t>UMK.JL/A08/500-19/5 JILID 3(12)</t>
  </si>
  <si>
    <t>TIDAK PERLU CLAIM PELADANG</t>
  </si>
  <si>
    <t>C14E008P</t>
  </si>
  <si>
    <t>830809075545</t>
  </si>
  <si>
    <t>RUSTAN BIN DERAHMAN</t>
  </si>
  <si>
    <t>P13E005P</t>
  </si>
  <si>
    <t>PR000025</t>
  </si>
  <si>
    <t>P13E002P</t>
  </si>
  <si>
    <t>PA000076</t>
  </si>
  <si>
    <t>A13E019F</t>
  </si>
  <si>
    <t>PM000122</t>
  </si>
  <si>
    <t>P15E051P</t>
  </si>
  <si>
    <t>PN000230</t>
  </si>
  <si>
    <t>840113085285</t>
  </si>
  <si>
    <t>P12D006P</t>
  </si>
  <si>
    <t>MATRIK NO</t>
  </si>
  <si>
    <t>AMIRUL FIRDAUS BIN ZILAH</t>
  </si>
  <si>
    <t>PA000045</t>
  </si>
  <si>
    <t>P12D007P</t>
  </si>
  <si>
    <t>780810105091</t>
  </si>
  <si>
    <t>WAN AHMAD RIDHWAN BIN WAN MUSA</t>
  </si>
  <si>
    <t>PW000017</t>
  </si>
  <si>
    <t>P12D074P</t>
  </si>
  <si>
    <t>821016035215</t>
  </si>
  <si>
    <t>MOHD SAFFIRI BIN IBRAHIM</t>
  </si>
  <si>
    <t>PM000060</t>
  </si>
  <si>
    <t>A12D010P</t>
  </si>
  <si>
    <t>811124035061</t>
  </si>
  <si>
    <t>MUHAMMAD ANUAR BIN ISMAIL</t>
  </si>
  <si>
    <t>PM000078</t>
  </si>
  <si>
    <t>A12D016P</t>
  </si>
  <si>
    <t>820509025387</t>
  </si>
  <si>
    <t>HASANNUDDIN BIN HASSAN</t>
  </si>
  <si>
    <t>PH000006</t>
  </si>
  <si>
    <t>E12D016P</t>
  </si>
  <si>
    <t>840521035025</t>
  </si>
  <si>
    <t>PM000103</t>
  </si>
  <si>
    <t>A11E017P</t>
  </si>
  <si>
    <t>760405035810</t>
  </si>
  <si>
    <t>PN000030</t>
  </si>
  <si>
    <t>P12D097P</t>
  </si>
  <si>
    <t>600305145067</t>
  </si>
  <si>
    <t>AZAM KHAN BIN GORIMAN KHAN</t>
  </si>
  <si>
    <t>PA000049</t>
  </si>
  <si>
    <t>MUHAMMAD NAJIBUL MUTHIIE BIN YAACOB</t>
  </si>
  <si>
    <t>851230105383</t>
  </si>
  <si>
    <t>C14D004P</t>
  </si>
  <si>
    <t>PM000175</t>
  </si>
  <si>
    <t>891103136069</t>
  </si>
  <si>
    <t>*STUDENT DEAL SENDIRI</t>
  </si>
  <si>
    <t>890107015390</t>
  </si>
  <si>
    <t>NIK MOHD SHAMIM BIN NIK MOHD ZAINORDIN</t>
  </si>
  <si>
    <t>HETTY HERNANI BINTI MAIDIN</t>
  </si>
  <si>
    <t>F14D011F</t>
  </si>
  <si>
    <t>PS000092</t>
  </si>
  <si>
    <t>NIK NOR HAFIZAH BINTI NIK ABDULLAH</t>
  </si>
  <si>
    <t>A15D008P</t>
  </si>
  <si>
    <t>PN000215</t>
  </si>
  <si>
    <t>SITI SONIA MUSTIKA BINTI MOHD NAWAWI</t>
  </si>
  <si>
    <t>920908035708</t>
  </si>
  <si>
    <t>PF000030</t>
  </si>
  <si>
    <t>F15D002F</t>
  </si>
  <si>
    <t>2 FEB 2016 - 2 AUG 2017 (18 BULAN)</t>
  </si>
  <si>
    <t>NIK NOR HIDAYAH BINTI ISMAIL</t>
  </si>
  <si>
    <t>A15D006F</t>
  </si>
  <si>
    <t>840227145362</t>
  </si>
  <si>
    <t>PN000218</t>
  </si>
  <si>
    <t>NORULZAILA BINTI ISMAIL</t>
  </si>
  <si>
    <t>861128296184</t>
  </si>
  <si>
    <t>E15D005F</t>
  </si>
  <si>
    <t>PN000220</t>
  </si>
  <si>
    <t>NUR HURUL AIN BINTI AB MANAH</t>
  </si>
  <si>
    <t>861210295674</t>
  </si>
  <si>
    <t>D15D002F</t>
  </si>
  <si>
    <t>PN000219</t>
  </si>
  <si>
    <t>A15D009F</t>
  </si>
  <si>
    <t>920222035308</t>
  </si>
  <si>
    <t xml:space="preserve">ANIS NABILA BINTI KAMARUDDIN </t>
  </si>
  <si>
    <t xml:space="preserve">FATIN AKMMAL BINTI PAIZAU </t>
  </si>
  <si>
    <t>SARJANA SAINS TEKNOLOGI BIOINDUSTRI</t>
  </si>
  <si>
    <t>910730035110</t>
  </si>
  <si>
    <t xml:space="preserve">SOLEHAH BINTI AHMAD </t>
  </si>
  <si>
    <t>910115035362</t>
  </si>
  <si>
    <t xml:space="preserve">MUHAMMAD SYAZWAN BIN DAUD </t>
  </si>
  <si>
    <t>PM000206</t>
  </si>
  <si>
    <t>890318035287</t>
  </si>
  <si>
    <t>A15E003F</t>
  </si>
  <si>
    <t>MOHAMAD RIDZUAN B CHE HASSAN</t>
  </si>
  <si>
    <t>910115035995</t>
  </si>
  <si>
    <t>MUHAMAD NASYAT BIN MUHAMAD NASIR</t>
  </si>
  <si>
    <t>910227035455</t>
  </si>
  <si>
    <t>NUR SYAZWANI BINTI ABDUL TALIB</t>
  </si>
  <si>
    <t>870825035654</t>
  </si>
  <si>
    <t>P15F128P</t>
  </si>
  <si>
    <t>PM000221</t>
  </si>
  <si>
    <t>4 JAN 2016 - 3 JAN 2019 (36 BULAN)</t>
  </si>
  <si>
    <t>P15F132F</t>
  </si>
  <si>
    <t>P15E014P</t>
  </si>
  <si>
    <t>PM000207</t>
  </si>
  <si>
    <t>E15E002F</t>
  </si>
  <si>
    <t>PN000232</t>
  </si>
  <si>
    <t>YPSSM</t>
  </si>
  <si>
    <t>MAKTAB KOPERASI MALAYSIA,</t>
  </si>
  <si>
    <t xml:space="preserve">103, JALAN TEMPLER, </t>
  </si>
  <si>
    <t>PETI SURAT 60,</t>
  </si>
  <si>
    <t>46700 PETALING JAYA,</t>
  </si>
  <si>
    <t>TEL: 03-79649000</t>
  </si>
  <si>
    <t>790129135264</t>
  </si>
  <si>
    <t>INV000027/15-YURAN CESS RM400.00</t>
  </si>
  <si>
    <t>nurain@mkm.edu.my</t>
  </si>
  <si>
    <t>03-78846519</t>
  </si>
  <si>
    <t>PN.ZURAIDA</t>
  </si>
  <si>
    <t>P13D157P</t>
  </si>
  <si>
    <t>811002135611</t>
  </si>
  <si>
    <t>MOHD AZAN HAIZUL BIN MOHAMAD MAYLING</t>
  </si>
  <si>
    <t>PM000137</t>
  </si>
  <si>
    <t>sfs@mardi.gov.my</t>
  </si>
  <si>
    <t>UMK010000029885</t>
  </si>
  <si>
    <t>UMK010000029856</t>
  </si>
  <si>
    <t>MOHD SHUKRAN BIN AB MAJID</t>
  </si>
  <si>
    <t>P13E006P</t>
  </si>
  <si>
    <t>620222035223</t>
  </si>
  <si>
    <t>PM000119</t>
  </si>
  <si>
    <t>GTA 1/15</t>
  </si>
  <si>
    <t>ADJ</t>
  </si>
  <si>
    <t>GTA 2/15</t>
  </si>
  <si>
    <t>GTA 1/16</t>
  </si>
  <si>
    <t>GTA 2/16</t>
  </si>
  <si>
    <t>GTA 3/16</t>
  </si>
  <si>
    <t>GTA 4/16</t>
  </si>
  <si>
    <t>ADJ NO</t>
  </si>
  <si>
    <t>CUSTOMER NO</t>
  </si>
  <si>
    <t>REBHR15</t>
  </si>
  <si>
    <t>REBHR14</t>
  </si>
  <si>
    <t>PH000021</t>
  </si>
  <si>
    <t>REBMA15</t>
  </si>
  <si>
    <t>REBHAK14</t>
  </si>
  <si>
    <t>REBHAK15</t>
  </si>
  <si>
    <t>PA000124</t>
  </si>
  <si>
    <t>AWS SALAH ABDULLAH</t>
  </si>
  <si>
    <t>PA000141</t>
  </si>
  <si>
    <t>1 ORANG INTERNATIONAL</t>
  </si>
  <si>
    <t>1 ORANG LOCAL</t>
  </si>
  <si>
    <t>PM000069</t>
  </si>
  <si>
    <t>PM000112</t>
  </si>
  <si>
    <t>MZMSIS15</t>
  </si>
  <si>
    <t>SIS NNLK</t>
  </si>
  <si>
    <t>PM000185</t>
  </si>
  <si>
    <t>Baizura Alias,</t>
  </si>
  <si>
    <t xml:space="preserve">Financial Attache, </t>
  </si>
  <si>
    <t>Student Affairs,</t>
  </si>
  <si>
    <t>Embassy of Libya.</t>
  </si>
  <si>
    <t>(Tel: 03-21812241)</t>
  </si>
  <si>
    <t>P13D150P</t>
  </si>
  <si>
    <t>880104085570</t>
  </si>
  <si>
    <t>PK000010</t>
  </si>
  <si>
    <t>KHIRIJHA A/P BEEBAGARAN</t>
  </si>
  <si>
    <t>BARU DPT SURAT TAWARAN</t>
  </si>
  <si>
    <t>MOHAMMAD OSMAN GHONI</t>
  </si>
  <si>
    <t>PM000135</t>
  </si>
  <si>
    <t>SIS OG</t>
  </si>
  <si>
    <t>PM000063</t>
  </si>
  <si>
    <t>SIS MEH</t>
  </si>
  <si>
    <t>PA000121</t>
  </si>
  <si>
    <t>(MODUL 9,10 &amp; 11)</t>
  </si>
  <si>
    <t>NOORHAFIZA BINTI ILIAS</t>
  </si>
  <si>
    <t>YPSSM 2013</t>
  </si>
  <si>
    <t>HLPSB</t>
  </si>
  <si>
    <t>INV001107/16,001108/16,001109/16,001110/16,001111/16,001112/16,001113/16</t>
  </si>
  <si>
    <t>INV001125/16</t>
  </si>
  <si>
    <t>HL</t>
  </si>
  <si>
    <t>INV000993/16, 000994/16, 000995/16</t>
  </si>
  <si>
    <t>ZURAIDA BT MOHAMAD @ MOHAMAD GHAZALI</t>
  </si>
  <si>
    <t>BAHAGIAN PEMBANGUNAN SUMBER MANUSIA</t>
  </si>
  <si>
    <t>ANGKASA</t>
  </si>
  <si>
    <t>TEL : 03-78846519</t>
  </si>
  <si>
    <t>FAKS : 03-78034275</t>
  </si>
  <si>
    <t>EMAIL : zuraida.angkasa@gmail.com</t>
  </si>
  <si>
    <t>SARAWAK</t>
  </si>
  <si>
    <t>PL000004</t>
  </si>
  <si>
    <t>INTAKE</t>
  </si>
  <si>
    <t>FEB 15/16</t>
  </si>
  <si>
    <t>E15E007F</t>
  </si>
  <si>
    <t>730617035700</t>
  </si>
  <si>
    <t>LINIRA BINTI GHAZALI</t>
  </si>
  <si>
    <t>E15E006P</t>
  </si>
  <si>
    <t>ARIFUDDIN BIN ABDULLAH</t>
  </si>
  <si>
    <t>NORMASARAH BINTI HAJI RAHMAN</t>
  </si>
  <si>
    <t>01/02/2013 - 31/05/2013</t>
  </si>
  <si>
    <t>UMK.JL/A07/500-19/5 (2)</t>
  </si>
  <si>
    <t>FEB 2012/2013</t>
  </si>
  <si>
    <t>UMK.JL/A07/500-19/5 (41)</t>
  </si>
  <si>
    <t>SEPT 2014/2015</t>
  </si>
  <si>
    <t>MOHD RAHMAN SALIHIN</t>
  </si>
  <si>
    <t>016-8541239</t>
  </si>
  <si>
    <t>rahmansallehin@yayasansarawak.org.my</t>
  </si>
  <si>
    <t>UMK/A03/500-19/5(11)</t>
  </si>
  <si>
    <t>UMK.JL/A08/500-19/5 (22)</t>
  </si>
  <si>
    <t>FEB 2013/2014</t>
  </si>
  <si>
    <t>UMK.JL/A08/500-19/5 (12)</t>
  </si>
  <si>
    <t>17/02/2013 - 08/06/2013</t>
  </si>
  <si>
    <t>UMK.JL/A08/500-19/5 (5)</t>
  </si>
  <si>
    <t>NOTE</t>
  </si>
  <si>
    <t>baizura_alias@libyanembassy.my</t>
  </si>
  <si>
    <t>INV000771/16</t>
  </si>
  <si>
    <t xml:space="preserve">INV000772/16  </t>
  </si>
  <si>
    <t xml:space="preserve">INV00773A/16 </t>
  </si>
  <si>
    <t xml:space="preserve">INV000773/16  </t>
  </si>
  <si>
    <t xml:space="preserve">INV000769/16  </t>
  </si>
  <si>
    <t xml:space="preserve">INV000770/16  </t>
  </si>
  <si>
    <t xml:space="preserve">INV00770A/16  </t>
  </si>
  <si>
    <t xml:space="preserve">INV000768/16  </t>
  </si>
  <si>
    <t>PW000047</t>
  </si>
  <si>
    <t>WAN MOHD FARID BIN WAN YUSOF</t>
  </si>
  <si>
    <t>700319035107</t>
  </si>
  <si>
    <t>890520035950</t>
  </si>
  <si>
    <t xml:space="preserve">Mohamad Adzlie bin Ibrahim </t>
  </si>
  <si>
    <t>Ismallia bin Bohari</t>
  </si>
  <si>
    <t>INV001142/16</t>
  </si>
  <si>
    <t>INV001143/16, 001144/16, 001145/16</t>
  </si>
  <si>
    <t>INV001140/16</t>
  </si>
  <si>
    <t>SIS MA15</t>
  </si>
  <si>
    <t>INV000920/16</t>
  </si>
  <si>
    <t>010000034141</t>
  </si>
  <si>
    <t>PN000127</t>
  </si>
  <si>
    <t>SIS NSES</t>
  </si>
  <si>
    <t>REFUND 500 (SELEPAS JPA BYAR INV001125/16)</t>
  </si>
  <si>
    <t>INV SEM 2 PELAJAR XCHARGE</t>
  </si>
  <si>
    <t>03 MAC 2013 - 02 SEPT 2016 (42 BULAN)</t>
  </si>
  <si>
    <t>CBBP</t>
  </si>
  <si>
    <t>CN 000004/15 , CN 000005/15</t>
  </si>
  <si>
    <t>INV000921/16, 000922/16, 000923/16</t>
  </si>
  <si>
    <t>INV000924/16</t>
  </si>
  <si>
    <t>INV001121/16, 001122/16, 001123/16, 001124/16</t>
  </si>
  <si>
    <t>PRPGRAM KHAS PELAJAR CEMERLANG</t>
  </si>
  <si>
    <t>PROGRAM TAJAAN</t>
  </si>
  <si>
    <t>SEM I SESI  2012/2013 -  SEM II SESI 2013/2014</t>
  </si>
  <si>
    <t>XBAYAR-GURANTY LTTER</t>
  </si>
  <si>
    <t>OSAMA ELHADI MOHAMED SHARIF</t>
  </si>
  <si>
    <t>R33R8FRZ</t>
  </si>
  <si>
    <t>HANA A ALI AWAD</t>
  </si>
  <si>
    <t>H117JN68</t>
  </si>
  <si>
    <t>P16D040F</t>
  </si>
  <si>
    <t>D15E003F</t>
  </si>
  <si>
    <t>PO000008</t>
  </si>
  <si>
    <t>PTJ</t>
  </si>
  <si>
    <t>PH000041</t>
  </si>
  <si>
    <t>GURENTY LETTER</t>
  </si>
  <si>
    <t>1 . 15/16</t>
  </si>
  <si>
    <t>JAN -JUN</t>
  </si>
  <si>
    <t>2. 15/16</t>
  </si>
  <si>
    <t>JUL - DIS</t>
  </si>
  <si>
    <t>INV001294/16, 001295/16</t>
  </si>
  <si>
    <t>3 SEM</t>
  </si>
  <si>
    <t>PN000241</t>
  </si>
  <si>
    <t>P15D174F</t>
  </si>
  <si>
    <t>NOR EMEZIATON BINTI ABDUL RAHAMAN</t>
  </si>
  <si>
    <t>ISLAMIC DEVALOPMENT BANK (IDB)</t>
  </si>
  <si>
    <t>PUAN HANIZAH BINTI HAMDAN</t>
  </si>
  <si>
    <t>hanizah@mohe.gov.my</t>
  </si>
  <si>
    <t>FERID ABDULHAFIZ KEMAL</t>
  </si>
  <si>
    <t>PF000037</t>
  </si>
  <si>
    <t>F15D009F</t>
  </si>
  <si>
    <t>NO PASSPORT</t>
  </si>
  <si>
    <t>03-83217143</t>
  </si>
  <si>
    <t>EN. ASMADARUS MOHAMAD</t>
  </si>
  <si>
    <t>MAT REDHUAN BIN SAMSUDIN</t>
  </si>
  <si>
    <t>YURAN TESIS COVER</t>
  </si>
  <si>
    <t>BERHENTI</t>
  </si>
  <si>
    <t xml:space="preserve">TM-tidak memuaskan </t>
  </si>
  <si>
    <t>Azizah binti Wahab</t>
  </si>
  <si>
    <t>(Pembantu Tadbir N17)</t>
  </si>
  <si>
    <t>Bahagian Tajaan Pendidikan, KPM</t>
  </si>
  <si>
    <t>Aras 1, Blok 2251</t>
  </si>
  <si>
    <t>Jalan Usahawan 1</t>
  </si>
  <si>
    <t>63000 Cyberjaya</t>
  </si>
  <si>
    <t>No. Tel : 03-83217154</t>
  </si>
  <si>
    <t>azizah.wahab@moe.gov.my</t>
  </si>
  <si>
    <t>E16E007F</t>
  </si>
  <si>
    <t>730406035823</t>
  </si>
  <si>
    <t>HADIAH LATIHAN PERSEKUTUAN (HLP) - PUTRAJAYA</t>
  </si>
  <si>
    <t>ABDUL AZIZ BIN IBRAHIM</t>
  </si>
  <si>
    <t>YURAN TIDAK DIBAYAR</t>
  </si>
  <si>
    <t>YURAN INSURAN BERKELOMPOK</t>
  </si>
  <si>
    <t>YURAN KESIHATAN</t>
  </si>
  <si>
    <t>PA000179</t>
  </si>
  <si>
    <t>A15E009P</t>
  </si>
  <si>
    <t>13 SEPT 2015 - 12 SEPT 2020 (60 BULAN)</t>
  </si>
  <si>
    <t>TAMAT</t>
  </si>
  <si>
    <t>Mohd Iqbal bin Makmor</t>
  </si>
  <si>
    <t>PSUK (B) S</t>
  </si>
  <si>
    <t>Bahagian Biasiswa</t>
  </si>
  <si>
    <t>Kementerian Pendidikan Tinggi</t>
  </si>
  <si>
    <t>Aras 2, No. 2, Menara 2, Jln P5/6, Precint 5, 62200 Putrajaya, Malaysia</t>
  </si>
  <si>
    <t xml:space="preserve">Tel: 03 8870 6343  Fax: 03 8870 6838  </t>
  </si>
  <si>
    <t>Email: iqbal@mohe.gov.my</t>
  </si>
  <si>
    <t>03-21812241</t>
  </si>
  <si>
    <t>03-21810016</t>
  </si>
  <si>
    <t>alkonaine84@gmail.com</t>
  </si>
  <si>
    <t>invois lampirkan GL</t>
  </si>
  <si>
    <t>P14D455P</t>
  </si>
  <si>
    <t>800726125001</t>
  </si>
  <si>
    <t>NORAZLIN BIN JUARIH</t>
  </si>
  <si>
    <t>PN000169</t>
  </si>
  <si>
    <t>(NORHASLINDAWATI BINTI MOHD HANAFI)</t>
  </si>
  <si>
    <t>Unit Biasiswa</t>
  </si>
  <si>
    <t>Tel : 03-8870 6403</t>
  </si>
  <si>
    <t>E-mail : haslindawati@mohe.gov.my</t>
  </si>
  <si>
    <t>931111075757</t>
  </si>
  <si>
    <t>TAN SIN YOONG</t>
  </si>
  <si>
    <t>SARJANA MUDA PERDAGANGAN</t>
  </si>
  <si>
    <t>BANTUAN KEWANGAN OKU (BKOKU)</t>
  </si>
  <si>
    <t>norhaslindawati@gmail.com</t>
  </si>
  <si>
    <t>PASCASISWAZAH</t>
  </si>
  <si>
    <t>PRASISWAZAH</t>
  </si>
  <si>
    <t>INV001667/16</t>
  </si>
  <si>
    <t>INV001668/16</t>
  </si>
  <si>
    <t>INV001669/16</t>
  </si>
  <si>
    <t>INV001670/16</t>
  </si>
  <si>
    <t>INV001671/16</t>
  </si>
  <si>
    <t>INV001672/16</t>
  </si>
  <si>
    <t>NUR HAFIZAN BINTI CHE YAN</t>
  </si>
  <si>
    <t>PRA</t>
  </si>
  <si>
    <t>WAN WAZINI BIN WAN ISHAK</t>
  </si>
  <si>
    <t>KHARTHIYAYANI A/P RAVINTHER</t>
  </si>
  <si>
    <t>940906035235</t>
  </si>
  <si>
    <t>961003305014</t>
  </si>
  <si>
    <t>010000033352</t>
  </si>
  <si>
    <t>NO. RESIT</t>
  </si>
  <si>
    <t>891102015222</t>
  </si>
  <si>
    <t>900802036018</t>
  </si>
  <si>
    <t>880212115167</t>
  </si>
  <si>
    <t>860526295617</t>
  </si>
  <si>
    <t>850623035543</t>
  </si>
  <si>
    <t>860510295794</t>
  </si>
  <si>
    <t>861130295252</t>
  </si>
  <si>
    <t>870915035324</t>
  </si>
  <si>
    <t>MYMASTER MBA - COURSEWORK (INTAKE FEB 2016)</t>
  </si>
  <si>
    <t>MYMASTER MBA - RESEARCH (INTAKE FEB 2016)</t>
  </si>
  <si>
    <t>MYBRAIN15 - MYPHD (INTAKE FEB 2016)</t>
  </si>
  <si>
    <t>09/10/2016 - 08/01/2017</t>
  </si>
  <si>
    <t>UMK.PC/A09.00/400-5/6 JLD13(92)</t>
  </si>
  <si>
    <t>NOOR LIYANA BINTI ROSDIN / 891102015222 / G14D001F</t>
  </si>
  <si>
    <t>INV001157/16, 001158/16, 001159/16</t>
  </si>
  <si>
    <t>SEPT 2016/2017</t>
  </si>
  <si>
    <t>GTA 5/16</t>
  </si>
  <si>
    <t>SHARIFAH AISYAH BINTI SYED OMAR / 891123115310 / G12D010F</t>
  </si>
  <si>
    <t>GTA 6/16</t>
  </si>
  <si>
    <t>UMK.JL/A08/500-19/5 JLD 3(50)</t>
  </si>
  <si>
    <t>MUHAMMAD ARIEFF BIN MAT SHUKRI / 900217035399 / G13D006F</t>
  </si>
  <si>
    <t>GTA 7/16</t>
  </si>
  <si>
    <t>SITI SYAZA AIMAN BINTI SEH WALI / 910324036214 / G14D002F</t>
  </si>
  <si>
    <t>INV000969/16</t>
  </si>
  <si>
    <t>GTA 8/16</t>
  </si>
  <si>
    <t>GTA 9/16</t>
  </si>
  <si>
    <t>GTA10/16</t>
  </si>
  <si>
    <t>INV000020/15, 000021/15, 001633/15</t>
  </si>
  <si>
    <t>CREDIT NOTE 000032/16</t>
  </si>
  <si>
    <t>INV001057/16, 001058/16</t>
  </si>
  <si>
    <t>MOHAMAD SAIFUL BIN SULAIMAN / 900413035433 / G14D006F</t>
  </si>
  <si>
    <t>NURSHAZREN BINTI FAUZI / 900714035672 / G14D003F</t>
  </si>
  <si>
    <t>yuslindahashim@mohe.gov.my</t>
  </si>
  <si>
    <t>INV000982/16, 000983/16, 000984/16</t>
  </si>
  <si>
    <t>INV001134/16, 001135/16</t>
  </si>
  <si>
    <t>INV001161/16, 001162/16, 001163/16</t>
  </si>
  <si>
    <t>INV000227/15 DOUBLE CLAIM</t>
  </si>
  <si>
    <t>INV001155/16, 001156/16</t>
  </si>
  <si>
    <t>880709065070</t>
  </si>
  <si>
    <t>CN 000032/16</t>
  </si>
  <si>
    <t>GTA13</t>
  </si>
  <si>
    <t>B11D023F</t>
  </si>
  <si>
    <t>INV001783/16, 001784/16</t>
  </si>
  <si>
    <t>INV00954A/16</t>
  </si>
  <si>
    <t>CREDIT NOTE UMK010000025427</t>
  </si>
  <si>
    <t>INV000958/16</t>
  </si>
  <si>
    <t>INV000981/16</t>
  </si>
  <si>
    <t>INV000959/16</t>
  </si>
  <si>
    <t>INV000980/16</t>
  </si>
  <si>
    <t>INV001036/16</t>
  </si>
  <si>
    <t>INV001029/16, 001030/16, 001031/16</t>
  </si>
  <si>
    <t>INV001001/16</t>
  </si>
  <si>
    <t>CN 000052/16</t>
  </si>
  <si>
    <t>INV001021/16, 001022/16</t>
  </si>
  <si>
    <t>INV001778/16</t>
  </si>
  <si>
    <t>INV000966/16, 000967/16</t>
  </si>
  <si>
    <t>INV000340/11</t>
  </si>
  <si>
    <t>INV000868/12</t>
  </si>
  <si>
    <t>INV000556/13</t>
  </si>
  <si>
    <t>INV000140/16, 001296/16</t>
  </si>
  <si>
    <t>INV000570/13, 001422/13</t>
  </si>
  <si>
    <t>ARHAM MUCHTAR ACHMAD BAHAR</t>
  </si>
  <si>
    <t>PA000037</t>
  </si>
  <si>
    <t>B11E002P</t>
  </si>
  <si>
    <t>T103567</t>
  </si>
  <si>
    <t>PZ000012</t>
  </si>
  <si>
    <t>ZURAIMI BIN ABDUL AZIZ</t>
  </si>
  <si>
    <t>720720115101</t>
  </si>
  <si>
    <t>A12E012P</t>
  </si>
  <si>
    <t>ALIYA ATIKA ASYIKIN BINTI ABD HAMID / 891218016032 / G13D001F</t>
  </si>
  <si>
    <t>BB14/082</t>
  </si>
  <si>
    <t>09 MAC 2014</t>
  </si>
  <si>
    <t>ANIDA BINTI AMINUDIN / 890504036128 / F13E007F</t>
  </si>
  <si>
    <t>ADJ00101</t>
  </si>
  <si>
    <t>XDE SURAT</t>
  </si>
  <si>
    <t>INV000968/16</t>
  </si>
  <si>
    <t>INV000155/16, 000156/16, 001800/16, 001801/16</t>
  </si>
  <si>
    <t>INV001655/16</t>
  </si>
  <si>
    <t>INV001659/16</t>
  </si>
  <si>
    <t>INV001660/16</t>
  </si>
  <si>
    <t>INV001661/16</t>
  </si>
  <si>
    <t>INV001662/16</t>
  </si>
  <si>
    <t>INV001663/16</t>
  </si>
  <si>
    <t>INV001664/16</t>
  </si>
  <si>
    <t>XDE SURAT - BERHENTI</t>
  </si>
  <si>
    <t>MYBRAIN15 - MYPHD (INTAKE NOV 2016)</t>
  </si>
  <si>
    <t>MOHD FIRDAUS BIN CHE YAACOB</t>
  </si>
  <si>
    <t>PM000231</t>
  </si>
  <si>
    <t>890307035281</t>
  </si>
  <si>
    <t>C15E020F</t>
  </si>
  <si>
    <t>1 SEP 2016 - 28 FEB 2019 (30 BULAN)</t>
  </si>
  <si>
    <t>ROZZAIRI SAHRIN BIN AB RAHIM</t>
  </si>
  <si>
    <t>PR000048</t>
  </si>
  <si>
    <t>830111036085</t>
  </si>
  <si>
    <t>A15E004F</t>
  </si>
  <si>
    <t>1 SEP 2016 - 31 AUG 2018 (24 BULAN)</t>
  </si>
  <si>
    <t xml:space="preserve">TENGKU AHMAD FIRDAUS BIN T ALANG </t>
  </si>
  <si>
    <t>PT000023</t>
  </si>
  <si>
    <t xml:space="preserve">880220035415 </t>
  </si>
  <si>
    <t>E15E010F</t>
  </si>
  <si>
    <t>DOKTOR FALSAFAH KERJA SOSIAL</t>
  </si>
  <si>
    <t xml:space="preserve">WAN NOR FATIHAH BINTI WAN HANAFI </t>
  </si>
  <si>
    <t>860718295638</t>
  </si>
  <si>
    <t xml:space="preserve"> P12D190F </t>
  </si>
  <si>
    <t xml:space="preserve">DOKTOR FALSAFAH KEUSAHAWANAN </t>
  </si>
  <si>
    <t>WAN NUR MAISARA BT W MUHAMAD GHAZI</t>
  </si>
  <si>
    <t>PW000020</t>
  </si>
  <si>
    <t>860208035254</t>
  </si>
  <si>
    <t>P12D125F</t>
  </si>
  <si>
    <t>PHD OF FINANCE</t>
  </si>
  <si>
    <t>MYMASTER MBA - RESEARCH (INTAKE NOV 2016)</t>
  </si>
  <si>
    <t xml:space="preserve">ASMA' ILYANA BINTI MUSTAPHA </t>
  </si>
  <si>
    <t>PA000167</t>
  </si>
  <si>
    <t>G15D007F</t>
  </si>
  <si>
    <t>1 SEP 2016 - 28 FEB 2018 (18 BULAN)</t>
  </si>
  <si>
    <t>SARJANA SAINS PENGURUSAN SUMBER</t>
  </si>
  <si>
    <t>AZEMAWATI BINTI ISMAIL</t>
  </si>
  <si>
    <t>PA000138</t>
  </si>
  <si>
    <t>P15D027F</t>
  </si>
  <si>
    <t>1 SEP 2016 - 28 FEB 2017 (6 BULAN)</t>
  </si>
  <si>
    <t>SARJANA PENGURUSAN PERNIAGAAN</t>
  </si>
  <si>
    <t xml:space="preserve">KHAULAH BINTI HILALUDDIN </t>
  </si>
  <si>
    <t>PK000029</t>
  </si>
  <si>
    <t>941114035506</t>
  </si>
  <si>
    <t>A15D012F</t>
  </si>
  <si>
    <t xml:space="preserve">MARTINA BINTI MOHD IRWAN KHOO </t>
  </si>
  <si>
    <t>PM000215</t>
  </si>
  <si>
    <t>F14D014F</t>
  </si>
  <si>
    <t>1 SEP 2016 - 31 AUG 2017 (12 BULAN)</t>
  </si>
  <si>
    <t>NOOR SHARINA AZRIN BINTI ZAKARI</t>
  </si>
  <si>
    <t>PN000268</t>
  </si>
  <si>
    <t>G15D011F</t>
  </si>
  <si>
    <t xml:space="preserve">NOR QAHIRAH BINTI NOR SHAHID </t>
  </si>
  <si>
    <t>PN000246</t>
  </si>
  <si>
    <t>910511086890</t>
  </si>
  <si>
    <t>G15D013F</t>
  </si>
  <si>
    <t>SARJANA PENGURUSAN SUMBER ASLI</t>
  </si>
  <si>
    <t>SADAM BIN KAHAR</t>
  </si>
  <si>
    <t>PS000103</t>
  </si>
  <si>
    <t>910421125235</t>
  </si>
  <si>
    <t>G15D004F</t>
  </si>
  <si>
    <t>SHEKINAH SHAMINI A/P VICTOR</t>
  </si>
  <si>
    <t>PS000102</t>
  </si>
  <si>
    <t xml:space="preserve"> F15D005F</t>
  </si>
  <si>
    <t>SITI NUR ATHIRAH BINTI MUHAMMAD ZAMRI</t>
  </si>
  <si>
    <t>PS000111</t>
  </si>
  <si>
    <t>G15D015F</t>
  </si>
  <si>
    <t>INV000131/16, 000132/16, 000133/16, 001802/16</t>
  </si>
  <si>
    <t>INV000139/16, 001803/16, 001804/16</t>
  </si>
  <si>
    <t>CREDIT NOTE XDE LG</t>
  </si>
  <si>
    <t>INV000161/16, 001805/16, 001806/16</t>
  </si>
  <si>
    <t>INV001807/16, 001808/16</t>
  </si>
  <si>
    <t>INV001809/16, 001810/16</t>
  </si>
  <si>
    <t>INV001811/16, 001812/16</t>
  </si>
  <si>
    <t>INV000142/16, 000143/16, 000144/16, 001813/16</t>
  </si>
  <si>
    <t>CLAIM PEMERIKSAAN TESIS</t>
  </si>
  <si>
    <t>BERHENTI?</t>
  </si>
  <si>
    <t>UMK010000030868</t>
  </si>
  <si>
    <t>INV000293/12, 000865/12</t>
  </si>
  <si>
    <t>IVV000569/13, 001421/13</t>
  </si>
  <si>
    <t>TESIS INV001127/16 - 1000</t>
  </si>
  <si>
    <t>REFUND-TUNGGU BAYARAN</t>
  </si>
  <si>
    <t>INV001424/13, 001425/13, 001426/13</t>
  </si>
  <si>
    <t>INV000744/14</t>
  </si>
  <si>
    <t>INV000147/16, 000148/16, 001798/16, 001799/16</t>
  </si>
  <si>
    <t>INV000954/16</t>
  </si>
  <si>
    <t>INV000955/16, 000956/16, 000957/16</t>
  </si>
  <si>
    <t>TUNGGU BAYARAN</t>
  </si>
  <si>
    <t>INV000659/13, 000660/13, 001438/13</t>
  </si>
  <si>
    <t>INV000960/16,000961/16,000962/16,000963/16,000964/16,000965/16</t>
  </si>
  <si>
    <t>BAYAR SENDIRI FULL</t>
  </si>
  <si>
    <t>XBT ADJ LG</t>
  </si>
  <si>
    <t>MOHON SURAT TAWARAN TERBARU.</t>
  </si>
  <si>
    <t>BIASISWA UMK - DALAM NEGARA</t>
  </si>
  <si>
    <t>SKIM ZAMALAH</t>
  </si>
  <si>
    <t>NURUL SYAHIDA BINTI MAT HUSSIN</t>
  </si>
  <si>
    <t>C16E002F</t>
  </si>
  <si>
    <t>890115035076</t>
  </si>
  <si>
    <t>PN000272</t>
  </si>
  <si>
    <t>PENSYARAH MUDA</t>
  </si>
  <si>
    <t>36 BULAN ( 05 SEPTEMBER 2016 - 04 SEPTEMBER 2019)</t>
  </si>
  <si>
    <t>36 BULAN DARI TARIKH SURAT (16 OKT 2016)</t>
  </si>
  <si>
    <t>PROJEK KHAS PENGAJIAN LIBERAL (PKPL)</t>
  </si>
  <si>
    <t>830526035121</t>
  </si>
  <si>
    <t>PA000173</t>
  </si>
  <si>
    <t>SURAT PELAJAR (TIADA MINIT)</t>
  </si>
  <si>
    <t>E15E007FL</t>
  </si>
  <si>
    <t>NURUL HUDA BINTI MD YATIM</t>
  </si>
  <si>
    <t>A16E005F</t>
  </si>
  <si>
    <t>PN000264</t>
  </si>
  <si>
    <t>810502105270</t>
  </si>
  <si>
    <t>05 SEPT 2016 - 04 SEPT 2019 (36 BULAN)</t>
  </si>
  <si>
    <t>UNIVERSITI TEKNOLOGI MARA</t>
  </si>
  <si>
    <t>ADJ SLAB161</t>
  </si>
  <si>
    <t>ADJ SLAB162</t>
  </si>
  <si>
    <t>WAN YUSOFF BIN WAN SHAHARUDDIN</t>
  </si>
  <si>
    <t>E16E002F</t>
  </si>
  <si>
    <t>890916026305</t>
  </si>
  <si>
    <t>PW000054</t>
  </si>
  <si>
    <t>04 SEPT 2016 - 03 SEPT 2019 (36 BULAN)</t>
  </si>
  <si>
    <t>SEE SOO YIN</t>
  </si>
  <si>
    <t>E16E001F</t>
  </si>
  <si>
    <t>840410035104</t>
  </si>
  <si>
    <t>PS000228</t>
  </si>
  <si>
    <t>MOHAMAD HILMIE BIN MAT DAUD</t>
  </si>
  <si>
    <t>E16E005F</t>
  </si>
  <si>
    <t>780703035577</t>
  </si>
  <si>
    <t>PM000253</t>
  </si>
  <si>
    <t>05 SEPT 2016 - 04 MAC 2020 (42 BULAN)</t>
  </si>
  <si>
    <t>09 SEPT 2012- 08 SEPT 2015 (36 BULAN), PELANJUTAN 09.09.2015 - 08.03.2016 {09.09.2012 HINGGA 08.03.2016}</t>
  </si>
  <si>
    <t>INV000985/16,000986/16,000987/16,000988/16,000989/16,000990/16</t>
  </si>
  <si>
    <t>INV000970/16</t>
  </si>
  <si>
    <t>INV000971/16</t>
  </si>
  <si>
    <t>INV000972/16,000973/16,000974/16,000975/16,000976/16,000977/16</t>
  </si>
  <si>
    <t>INV000978/16 ,000979/16</t>
  </si>
  <si>
    <t>INV000991/16, 000992/16</t>
  </si>
  <si>
    <t>yecakl@yahoo.com</t>
  </si>
  <si>
    <t>EMBASSY OF YEMEN</t>
  </si>
  <si>
    <t>dalfaqih2@yahoo.com</t>
  </si>
  <si>
    <t>amran_almoalimi@yahoo.com</t>
  </si>
  <si>
    <t>XCOVER YURAN KESIHATAN</t>
  </si>
  <si>
    <t>INV000997/16, 000997/16</t>
  </si>
  <si>
    <t>INV000998/16, 000999/16</t>
  </si>
  <si>
    <t>INV000005/14, 000963/14</t>
  </si>
  <si>
    <t>INV001000/16</t>
  </si>
  <si>
    <t>INV001004/16,001005/16,001006/16,001007/16,001008/16</t>
  </si>
  <si>
    <t>INV001465/13, 001466/13</t>
  </si>
  <si>
    <t>INV001009/16,001010/16,001011/16,001012/16,001013/16,001014/16</t>
  </si>
  <si>
    <t>INV001015/16,001016/16,001017/16,001018/16,001019/16,001020/16</t>
  </si>
  <si>
    <t>INV001023/16,001024/16,001025/16,001026/16,001027/16,001028/16</t>
  </si>
  <si>
    <t>PN000227</t>
  </si>
  <si>
    <t>INV001032/16,001033/16,001034/16</t>
  </si>
  <si>
    <t>INV001035/16</t>
  </si>
  <si>
    <t>ADJ TAJAAN RM1200 XDE LG</t>
  </si>
  <si>
    <t>INV001037/16,001038/16,001039/16,001040/16,001041/16,001042/16</t>
  </si>
  <si>
    <t>INV000235/15,001617/15,001618/15</t>
  </si>
  <si>
    <t>INV001043/16</t>
  </si>
  <si>
    <t>INV001044/16</t>
  </si>
  <si>
    <t>INV001045/16, 001046/16</t>
  </si>
  <si>
    <t>INV000662/13,000663/13,001452/13</t>
  </si>
  <si>
    <t>INV000553/13,000554/13,001456/13</t>
  </si>
  <si>
    <t>INV001047/16,001048/16,001049/16,001050/16,001051/16,001052/16</t>
  </si>
  <si>
    <t>INV001053/16</t>
  </si>
  <si>
    <t>A14E027F</t>
  </si>
  <si>
    <t>850305125180</t>
  </si>
  <si>
    <t>PN000205</t>
  </si>
  <si>
    <t>NURUL NAJIHAH BINTI YASIM</t>
  </si>
  <si>
    <t>01 SEPT 2015 - 28 FEB 2018 (30 BULAN)</t>
  </si>
  <si>
    <t>NUR FARHANA BINTI ESA</t>
  </si>
  <si>
    <t>Seksyen Tuntutan &amp; Bayaran, Unit SLAB/SLAI</t>
  </si>
  <si>
    <t>Kementerian Pendidikan Tinggi Malaysia</t>
  </si>
  <si>
    <t>Aras 2, No. 2, Menara 2, Jln P5/6</t>
  </si>
  <si>
    <t>Presint 5, 62200 Putrajaya.</t>
  </si>
  <si>
    <t>Tel : 03 8870 6353</t>
  </si>
  <si>
    <t>Email : farhana.e@mohe.gov.my</t>
  </si>
  <si>
    <t>INV000262/12</t>
  </si>
  <si>
    <t>INV000263/12</t>
  </si>
  <si>
    <t>INV000859/12</t>
  </si>
  <si>
    <t>INV000598/13</t>
  </si>
  <si>
    <t>INV001479/13</t>
  </si>
  <si>
    <t>INV000765/14</t>
  </si>
  <si>
    <t>INV000009/15</t>
  </si>
  <si>
    <t>INV000706/15</t>
  </si>
  <si>
    <t>INV000343/11</t>
  </si>
  <si>
    <t>INV000344/11</t>
  </si>
  <si>
    <t>INV000264/12</t>
  </si>
  <si>
    <t>INV000860/12</t>
  </si>
  <si>
    <t>INV000600/13</t>
  </si>
  <si>
    <t>INV001481/13</t>
  </si>
  <si>
    <t>INV000004/15</t>
  </si>
  <si>
    <t>INV000005/15</t>
  </si>
  <si>
    <t>09 SEPT 2013 - 08 SEPT 2015 (24 BULAN)</t>
  </si>
  <si>
    <t>INV01065A/16,01066A/16,01067A/16,01068A/16,01069A/16,</t>
  </si>
  <si>
    <t>INV01070A/16-CRN000042/16</t>
  </si>
  <si>
    <t>CRN000043/16, DN000025/16</t>
  </si>
  <si>
    <t>P16D030F</t>
  </si>
  <si>
    <t>NUR AWANIS BINTI CHE MOHD NOR</t>
  </si>
  <si>
    <t>PN000259</t>
  </si>
  <si>
    <t>P16D043P</t>
  </si>
  <si>
    <t>NADIA NABILA BINTI CHE RUZALAN</t>
  </si>
  <si>
    <t>PN000177</t>
  </si>
  <si>
    <t>NOR EMEZIATON ABDUL RAHAMAN</t>
  </si>
  <si>
    <t>P16D009P</t>
  </si>
  <si>
    <t>NORAZRINA BINTI ABDULLAH</t>
  </si>
  <si>
    <t>PN000257</t>
  </si>
  <si>
    <t>P14D457P</t>
  </si>
  <si>
    <t>MOHD RASSIMEE B MOHD RASLI</t>
  </si>
  <si>
    <t>PM000159</t>
  </si>
  <si>
    <t>P15D180F</t>
  </si>
  <si>
    <t>FATIN ATHIRAH BINTI AB AZIZ</t>
  </si>
  <si>
    <t>PF000032</t>
  </si>
  <si>
    <t>P15D193F</t>
  </si>
  <si>
    <t>PAUL JACKSON ANAK MANGGOM</t>
  </si>
  <si>
    <t>PP000007</t>
  </si>
  <si>
    <t>E15D015F</t>
  </si>
  <si>
    <t>NURUL HIDAYAH BINTI ZULKIPLI</t>
  </si>
  <si>
    <t>PN000248</t>
  </si>
  <si>
    <t>P16D036F</t>
  </si>
  <si>
    <t>NUR NADIA BINTI MOHD YUSUFF</t>
  </si>
  <si>
    <t>PN000269</t>
  </si>
  <si>
    <t>P15D200F</t>
  </si>
  <si>
    <t>AZRI BIN MOHAMAD RAZALI</t>
  </si>
  <si>
    <t>PA000159</t>
  </si>
  <si>
    <t>SESI: SEMESTER 201620172 FEB 2016/2017</t>
  </si>
  <si>
    <t>M-03-00000-00-L13224</t>
  </si>
  <si>
    <t>M-03-00000-00-L19993</t>
  </si>
  <si>
    <t>831120035353</t>
  </si>
  <si>
    <t>KAMARYATI BINTI KAMARUDDIN</t>
  </si>
  <si>
    <t xml:space="preserve"> P15E103F</t>
  </si>
  <si>
    <t>PK000023</t>
  </si>
  <si>
    <t>02 OGOS 2015 - 01 OGOS 2017 (24 BULAN)</t>
  </si>
  <si>
    <t>PEMASARAN</t>
  </si>
  <si>
    <t>TUKAR SEM SEP 15/16</t>
  </si>
  <si>
    <t>NORMASARAH BT HJ AB RAHMAN</t>
  </si>
  <si>
    <t>ANIDA BINTI AMINUDIN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</si>
</sst>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indexed="8"/>
      <name val="Arial Narrow"/>
      <family val="2"/>
    </font>
    <font>
      <sz val="11"/>
      <color indexed="8"/>
      <name val="Arial Narrow"/>
      <family val="2"/>
    </font>
    <font>
      <sz val="11"/>
      <color rgb="FF000000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sz val="11"/>
      <color rgb="FFFF0000"/>
      <name val="Arial Narrow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Arial Narrow"/>
      <family val="2"/>
    </font>
    <font>
      <sz val="12"/>
      <color indexed="8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Courier New"/>
      <family val="3"/>
    </font>
    <font>
      <sz val="10.5"/>
      <name val="Arial Narrow"/>
      <family val="2"/>
    </font>
    <font>
      <b/>
      <u/>
      <sz val="11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11" fillId="0" borderId="0"/>
    <xf numFmtId="0" fontId="12" fillId="0" borderId="0"/>
    <xf numFmtId="43" fontId="11" fillId="0" borderId="0" applyFont="0" applyFill="0" applyBorder="0" applyAlignment="0" applyProtection="0"/>
  </cellStyleXfs>
  <cellXfs count="69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15" fontId="1" fillId="0" borderId="1" xfId="0" applyNumberFormat="1" applyFont="1" applyBorder="1"/>
    <xf numFmtId="0" fontId="1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43" fontId="0" fillId="0" borderId="1" xfId="1" applyFont="1" applyBorder="1"/>
    <xf numFmtId="0" fontId="6" fillId="0" borderId="0" xfId="0" applyFont="1"/>
    <xf numFmtId="0" fontId="1" fillId="0" borderId="0" xfId="0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1" fillId="0" borderId="0" xfId="0" applyFont="1" applyFill="1"/>
    <xf numFmtId="0" fontId="0" fillId="3" borderId="1" xfId="0" applyFill="1" applyBorder="1"/>
    <xf numFmtId="15" fontId="0" fillId="0" borderId="1" xfId="0" applyNumberFormat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16" fontId="1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left"/>
    </xf>
    <xf numFmtId="0" fontId="8" fillId="0" borderId="0" xfId="0" applyFont="1"/>
    <xf numFmtId="0" fontId="3" fillId="0" borderId="1" xfId="0" applyFont="1" applyFill="1" applyBorder="1" applyAlignment="1">
      <alignment horizontal="left" vertical="center"/>
    </xf>
    <xf numFmtId="0" fontId="8" fillId="3" borderId="1" xfId="0" applyFont="1" applyFill="1" applyBorder="1"/>
    <xf numFmtId="43" fontId="1" fillId="0" borderId="1" xfId="1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8" fillId="0" borderId="0" xfId="0" applyFont="1" applyFill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/>
    <xf numFmtId="0" fontId="7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8" fillId="6" borderId="1" xfId="0" applyFont="1" applyFill="1" applyBorder="1"/>
    <xf numFmtId="0" fontId="0" fillId="0" borderId="1" xfId="0" applyBorder="1"/>
    <xf numFmtId="0" fontId="8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7" borderId="0" xfId="0" applyFont="1" applyFill="1"/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16" fontId="1" fillId="0" borderId="2" xfId="0" applyNumberFormat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/>
    </xf>
    <xf numFmtId="43" fontId="1" fillId="0" borderId="1" xfId="1" applyFont="1" applyFill="1" applyBorder="1"/>
    <xf numFmtId="0" fontId="8" fillId="0" borderId="1" xfId="0" applyFont="1" applyFill="1" applyBorder="1"/>
    <xf numFmtId="43" fontId="3" fillId="4" borderId="1" xfId="1" applyFont="1" applyFill="1" applyBorder="1" applyAlignment="1">
      <alignment horizontal="left" vertical="center"/>
    </xf>
    <xf numFmtId="43" fontId="1" fillId="0" borderId="0" xfId="1" applyFont="1"/>
    <xf numFmtId="43" fontId="8" fillId="5" borderId="1" xfId="1" applyFont="1" applyFill="1" applyBorder="1" applyAlignment="1">
      <alignment horizontal="center"/>
    </xf>
    <xf numFmtId="43" fontId="8" fillId="0" borderId="0" xfId="1" applyFont="1" applyAlignment="1"/>
    <xf numFmtId="43" fontId="8" fillId="0" borderId="1" xfId="1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43" fontId="1" fillId="0" borderId="1" xfId="1" applyFont="1" applyBorder="1"/>
    <xf numFmtId="0" fontId="7" fillId="0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164" fontId="1" fillId="0" borderId="1" xfId="1" applyNumberFormat="1" applyFont="1" applyBorder="1"/>
    <xf numFmtId="164" fontId="1" fillId="0" borderId="1" xfId="1" applyNumberFormat="1" applyFont="1" applyFill="1" applyBorder="1"/>
    <xf numFmtId="164" fontId="8" fillId="0" borderId="1" xfId="1" applyNumberFormat="1" applyFont="1" applyBorder="1"/>
    <xf numFmtId="164" fontId="8" fillId="0" borderId="1" xfId="1" applyNumberFormat="1" applyFont="1" applyFill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43" fontId="1" fillId="4" borderId="1" xfId="1" applyFont="1" applyFill="1" applyBorder="1" applyAlignment="1">
      <alignment horizontal="left" vertical="center"/>
    </xf>
    <xf numFmtId="43" fontId="8" fillId="0" borderId="1" xfId="1" applyFont="1" applyBorder="1" applyAlignment="1"/>
    <xf numFmtId="164" fontId="8" fillId="0" borderId="1" xfId="1" applyNumberFormat="1" applyFont="1" applyBorder="1" applyAlignment="1">
      <alignment horizontal="center"/>
    </xf>
    <xf numFmtId="164" fontId="8" fillId="0" borderId="0" xfId="1" applyNumberFormat="1" applyFont="1" applyFill="1"/>
    <xf numFmtId="164" fontId="8" fillId="5" borderId="1" xfId="1" applyNumberFormat="1" applyFont="1" applyFill="1" applyBorder="1" applyAlignment="1"/>
    <xf numFmtId="164" fontId="8" fillId="5" borderId="1" xfId="1" applyNumberFormat="1" applyFont="1" applyFill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164" fontId="1" fillId="0" borderId="0" xfId="1" applyNumberFormat="1" applyFont="1"/>
    <xf numFmtId="164" fontId="1" fillId="0" borderId="0" xfId="1" applyNumberFormat="1" applyFont="1" applyBorder="1"/>
    <xf numFmtId="164" fontId="8" fillId="0" borderId="0" xfId="1" applyNumberFormat="1" applyFont="1"/>
    <xf numFmtId="164" fontId="8" fillId="0" borderId="4" xfId="1" applyNumberFormat="1" applyFont="1" applyBorder="1"/>
    <xf numFmtId="164" fontId="8" fillId="0" borderId="0" xfId="1" applyNumberFormat="1" applyFont="1" applyBorder="1"/>
    <xf numFmtId="0" fontId="0" fillId="0" borderId="0" xfId="0" applyAlignment="1">
      <alignment horizontal="right"/>
    </xf>
    <xf numFmtId="43" fontId="10" fillId="0" borderId="1" xfId="1" applyFont="1" applyBorder="1" applyAlignment="1">
      <alignment horizontal="center"/>
    </xf>
    <xf numFmtId="43" fontId="3" fillId="0" borderId="1" xfId="1" applyFont="1" applyFill="1" applyBorder="1" applyAlignment="1">
      <alignment horizontal="left" vertical="center"/>
    </xf>
    <xf numFmtId="0" fontId="8" fillId="0" borderId="0" xfId="0" applyFont="1" applyBorder="1"/>
    <xf numFmtId="164" fontId="8" fillId="8" borderId="1" xfId="1" applyNumberFormat="1" applyFont="1" applyFill="1" applyBorder="1"/>
    <xf numFmtId="164" fontId="1" fillId="8" borderId="1" xfId="1" applyNumberFormat="1" applyFont="1" applyFill="1" applyBorder="1"/>
    <xf numFmtId="43" fontId="1" fillId="8" borderId="1" xfId="1" applyFont="1" applyFill="1" applyBorder="1"/>
    <xf numFmtId="43" fontId="8" fillId="8" borderId="1" xfId="1" applyFont="1" applyFill="1" applyBorder="1" applyAlignment="1"/>
    <xf numFmtId="0" fontId="1" fillId="8" borderId="0" xfId="0" applyFont="1" applyFill="1"/>
    <xf numFmtId="43" fontId="8" fillId="0" borderId="0" xfId="1" applyFont="1"/>
    <xf numFmtId="43" fontId="8" fillId="0" borderId="1" xfId="1" applyFont="1" applyBorder="1"/>
    <xf numFmtId="43" fontId="8" fillId="0" borderId="1" xfId="1" applyFont="1" applyFill="1" applyBorder="1"/>
    <xf numFmtId="43" fontId="8" fillId="8" borderId="1" xfId="1" applyFont="1" applyFill="1" applyBorder="1"/>
    <xf numFmtId="1" fontId="1" fillId="0" borderId="1" xfId="0" quotePrefix="1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49" fontId="7" fillId="0" borderId="1" xfId="0" quotePrefix="1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49" fontId="1" fillId="4" borderId="3" xfId="0" applyNumberFormat="1" applyFont="1" applyFill="1" applyBorder="1" applyAlignment="1">
      <alignment horizontal="center"/>
    </xf>
    <xf numFmtId="49" fontId="1" fillId="0" borderId="3" xfId="0" quotePrefix="1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3" fillId="7" borderId="3" xfId="0" applyNumberFormat="1" applyFont="1" applyFill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3" fontId="1" fillId="0" borderId="0" xfId="1" applyFont="1" applyFill="1"/>
    <xf numFmtId="43" fontId="8" fillId="0" borderId="0" xfId="1" applyFont="1" applyFill="1"/>
    <xf numFmtId="164" fontId="1" fillId="0" borderId="0" xfId="1" applyNumberFormat="1" applyFont="1" applyFill="1"/>
    <xf numFmtId="43" fontId="9" fillId="0" borderId="1" xfId="1" applyFont="1" applyBorder="1" applyAlignment="1">
      <alignment horizontal="center"/>
    </xf>
    <xf numFmtId="1" fontId="1" fillId="8" borderId="1" xfId="0" quotePrefix="1" applyNumberFormat="1" applyFont="1" applyFill="1" applyBorder="1" applyAlignment="1">
      <alignment horizontal="center"/>
    </xf>
    <xf numFmtId="43" fontId="8" fillId="9" borderId="1" xfId="1" applyFont="1" applyFill="1" applyBorder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1" fontId="1" fillId="8" borderId="3" xfId="0" quotePrefix="1" applyNumberFormat="1" applyFont="1" applyFill="1" applyBorder="1" applyAlignment="1">
      <alignment horizontal="center"/>
    </xf>
    <xf numFmtId="164" fontId="8" fillId="8" borderId="0" xfId="1" applyNumberFormat="1" applyFont="1" applyFill="1" applyBorder="1" applyAlignment="1">
      <alignment horizontal="left"/>
    </xf>
    <xf numFmtId="49" fontId="1" fillId="8" borderId="1" xfId="0" quotePrefix="1" applyNumberFormat="1" applyFont="1" applyFill="1" applyBorder="1" applyAlignment="1">
      <alignment horizontal="center"/>
    </xf>
    <xf numFmtId="0" fontId="1" fillId="8" borderId="1" xfId="0" applyFont="1" applyFill="1" applyBorder="1"/>
    <xf numFmtId="1" fontId="1" fillId="8" borderId="1" xfId="0" applyNumberFormat="1" applyFont="1" applyFill="1" applyBorder="1" applyAlignment="1">
      <alignment horizontal="center"/>
    </xf>
    <xf numFmtId="0" fontId="9" fillId="0" borderId="0" xfId="3" applyFont="1" applyAlignment="1">
      <alignment horizontal="left"/>
    </xf>
    <xf numFmtId="0" fontId="7" fillId="0" borderId="0" xfId="3" applyFont="1"/>
    <xf numFmtId="0" fontId="7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0" fontId="7" fillId="0" borderId="0" xfId="3" quotePrefix="1" applyFont="1" applyAlignment="1">
      <alignment horizontal="center"/>
    </xf>
    <xf numFmtId="14" fontId="7" fillId="0" borderId="0" xfId="3" applyNumberFormat="1" applyFont="1" applyAlignment="1">
      <alignment horizontal="center"/>
    </xf>
    <xf numFmtId="14" fontId="7" fillId="0" borderId="0" xfId="3" quotePrefix="1" applyNumberFormat="1" applyFont="1" applyAlignment="1">
      <alignment horizontal="center"/>
    </xf>
    <xf numFmtId="0" fontId="9" fillId="0" borderId="0" xfId="3" applyFont="1"/>
    <xf numFmtId="49" fontId="2" fillId="2" borderId="1" xfId="0" applyNumberFormat="1" applyFont="1" applyFill="1" applyBorder="1" applyAlignment="1">
      <alignment horizontal="center"/>
    </xf>
    <xf numFmtId="49" fontId="8" fillId="0" borderId="0" xfId="0" applyNumberFormat="1" applyFont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/>
    </xf>
    <xf numFmtId="11" fontId="1" fillId="0" borderId="0" xfId="0" applyNumberFormat="1" applyFont="1"/>
    <xf numFmtId="11" fontId="2" fillId="2" borderId="1" xfId="0" applyNumberFormat="1" applyFont="1" applyFill="1" applyBorder="1" applyAlignment="1">
      <alignment horizontal="center"/>
    </xf>
    <xf numFmtId="11" fontId="0" fillId="0" borderId="0" xfId="0" applyNumberFormat="1"/>
    <xf numFmtId="49" fontId="1" fillId="8" borderId="1" xfId="0" applyNumberFormat="1" applyFont="1" applyFill="1" applyBorder="1" applyAlignment="1">
      <alignment horizontal="center"/>
    </xf>
    <xf numFmtId="0" fontId="7" fillId="0" borderId="1" xfId="3" applyFont="1" applyBorder="1"/>
    <xf numFmtId="0" fontId="7" fillId="0" borderId="1" xfId="3" quotePrefix="1" applyFont="1" applyBorder="1" applyAlignment="1">
      <alignment horizontal="center"/>
    </xf>
    <xf numFmtId="14" fontId="7" fillId="0" borderId="1" xfId="3" applyNumberFormat="1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9" fillId="3" borderId="1" xfId="3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 vertical="center"/>
    </xf>
    <xf numFmtId="43" fontId="2" fillId="7" borderId="2" xfId="1" applyFont="1" applyFill="1" applyBorder="1" applyAlignment="1"/>
    <xf numFmtId="43" fontId="1" fillId="0" borderId="0" xfId="1" applyFont="1" applyBorder="1"/>
    <xf numFmtId="43" fontId="3" fillId="0" borderId="1" xfId="1" applyFont="1" applyFill="1" applyBorder="1" applyAlignment="1">
      <alignment horizontal="left"/>
    </xf>
    <xf numFmtId="43" fontId="1" fillId="0" borderId="4" xfId="1" applyFont="1" applyBorder="1"/>
    <xf numFmtId="0" fontId="3" fillId="0" borderId="2" xfId="0" applyFont="1" applyFill="1" applyBorder="1" applyAlignment="1">
      <alignment horizontal="center"/>
    </xf>
    <xf numFmtId="0" fontId="1" fillId="8" borderId="0" xfId="0" applyNumberFormat="1" applyFont="1" applyFill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8" fillId="5" borderId="1" xfId="0" applyFont="1" applyFill="1" applyBorder="1"/>
    <xf numFmtId="43" fontId="1" fillId="0" borderId="1" xfId="0" applyNumberFormat="1" applyFont="1" applyBorder="1"/>
    <xf numFmtId="0" fontId="8" fillId="0" borderId="0" xfId="0" applyFont="1" applyAlignment="1">
      <alignment horizontal="center"/>
    </xf>
    <xf numFmtId="49" fontId="1" fillId="0" borderId="0" xfId="0" applyNumberFormat="1" applyFont="1"/>
    <xf numFmtId="49" fontId="8" fillId="0" borderId="0" xfId="0" applyNumberFormat="1" applyFont="1"/>
    <xf numFmtId="49" fontId="1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3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5" fillId="0" borderId="1" xfId="0" applyFont="1" applyBorder="1"/>
    <xf numFmtId="0" fontId="15" fillId="0" borderId="1" xfId="0" quotePrefix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" fontId="15" fillId="0" borderId="1" xfId="0" applyNumberFormat="1" applyFont="1" applyBorder="1" applyAlignment="1">
      <alignment horizontal="left"/>
    </xf>
    <xf numFmtId="0" fontId="15" fillId="0" borderId="0" xfId="0" applyFont="1" applyBorder="1"/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vertical="center" wrapText="1"/>
    </xf>
    <xf numFmtId="43" fontId="16" fillId="0" borderId="1" xfId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6" fillId="4" borderId="1" xfId="2" applyFont="1" applyFill="1" applyBorder="1" applyAlignment="1">
      <alignment horizontal="center" vertical="center"/>
    </xf>
    <xf numFmtId="0" fontId="16" fillId="4" borderId="1" xfId="2" applyFont="1" applyFill="1" applyBorder="1" applyAlignment="1">
      <alignment vertical="center"/>
    </xf>
    <xf numFmtId="0" fontId="16" fillId="4" borderId="1" xfId="2" applyFont="1" applyFill="1" applyBorder="1" applyAlignment="1">
      <alignment horizontal="left" vertical="center" wrapText="1"/>
    </xf>
    <xf numFmtId="43" fontId="16" fillId="4" borderId="1" xfId="1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6" fillId="0" borderId="1" xfId="2" applyFont="1" applyFill="1" applyBorder="1" applyAlignment="1">
      <alignment horizontal="left" vertical="center" wrapText="1"/>
    </xf>
    <xf numFmtId="43" fontId="16" fillId="10" borderId="1" xfId="1" applyFont="1" applyFill="1" applyBorder="1" applyAlignment="1">
      <alignment horizontal="center" vertical="center"/>
    </xf>
    <xf numFmtId="0" fontId="18" fillId="0" borderId="0" xfId="0" applyFont="1"/>
    <xf numFmtId="43" fontId="15" fillId="0" borderId="0" xfId="0" applyNumberFormat="1" applyFont="1"/>
    <xf numFmtId="43" fontId="15" fillId="0" borderId="0" xfId="1" applyFont="1"/>
    <xf numFmtId="43" fontId="17" fillId="0" borderId="0" xfId="1" applyFont="1" applyFill="1" applyAlignment="1">
      <alignment vertical="center"/>
    </xf>
    <xf numFmtId="43" fontId="18" fillId="0" borderId="0" xfId="1" applyFont="1"/>
    <xf numFmtId="0" fontId="13" fillId="2" borderId="1" xfId="0" applyFont="1" applyFill="1" applyBorder="1" applyAlignment="1"/>
    <xf numFmtId="0" fontId="15" fillId="0" borderId="2" xfId="0" applyFont="1" applyBorder="1"/>
    <xf numFmtId="0" fontId="18" fillId="0" borderId="1" xfId="0" applyFont="1" applyBorder="1"/>
    <xf numFmtId="43" fontId="15" fillId="0" borderId="1" xfId="1" applyFont="1" applyBorder="1"/>
    <xf numFmtId="43" fontId="18" fillId="0" borderId="1" xfId="1" applyFont="1" applyBorder="1"/>
    <xf numFmtId="43" fontId="15" fillId="0" borderId="1" xfId="0" applyNumberFormat="1" applyFont="1" applyBorder="1"/>
    <xf numFmtId="0" fontId="15" fillId="0" borderId="1" xfId="0" applyFont="1" applyBorder="1" applyAlignment="1">
      <alignment horizontal="left"/>
    </xf>
    <xf numFmtId="43" fontId="15" fillId="0" borderId="1" xfId="1" applyFont="1" applyBorder="1" applyAlignment="1">
      <alignment horizontal="center"/>
    </xf>
    <xf numFmtId="0" fontId="16" fillId="0" borderId="1" xfId="2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/>
    </xf>
    <xf numFmtId="43" fontId="15" fillId="0" borderId="1" xfId="1" applyFont="1" applyFill="1" applyBorder="1" applyAlignment="1">
      <alignment horizontal="center"/>
    </xf>
    <xf numFmtId="43" fontId="18" fillId="0" borderId="9" xfId="0" applyNumberFormat="1" applyFont="1" applyBorder="1"/>
    <xf numFmtId="164" fontId="8" fillId="0" borderId="1" xfId="1" applyNumberFormat="1" applyFont="1" applyFill="1" applyBorder="1" applyAlignment="1">
      <alignment horizontal="center"/>
    </xf>
    <xf numFmtId="164" fontId="8" fillId="8" borderId="1" xfId="1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43" fontId="8" fillId="5" borderId="4" xfId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" fontId="1" fillId="0" borderId="4" xfId="0" quotePrefix="1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43" fontId="8" fillId="0" borderId="4" xfId="1" applyFont="1" applyBorder="1" applyAlignment="1"/>
    <xf numFmtId="43" fontId="8" fillId="0" borderId="4" xfId="1" applyFont="1" applyBorder="1"/>
    <xf numFmtId="49" fontId="0" fillId="0" borderId="0" xfId="0" applyNumberFormat="1"/>
    <xf numFmtId="43" fontId="0" fillId="0" borderId="0" xfId="1" applyFont="1"/>
    <xf numFmtId="43" fontId="0" fillId="0" borderId="9" xfId="1" applyFont="1" applyBorder="1"/>
    <xf numFmtId="49" fontId="1" fillId="0" borderId="0" xfId="0" quotePrefix="1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43" fontId="7" fillId="10" borderId="1" xfId="1" applyFont="1" applyFill="1" applyBorder="1" applyAlignment="1">
      <alignment horizontal="center" vertical="center"/>
    </xf>
    <xf numFmtId="43" fontId="7" fillId="10" borderId="1" xfId="2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43" fontId="7" fillId="10" borderId="1" xfId="1" applyFont="1" applyFill="1" applyBorder="1" applyAlignment="1">
      <alignment vertical="center"/>
    </xf>
    <xf numFmtId="43" fontId="8" fillId="0" borderId="1" xfId="1" applyFont="1" applyBorder="1" applyAlignment="1">
      <alignment horizontal="center" vertical="center"/>
    </xf>
    <xf numFmtId="43" fontId="1" fillId="0" borderId="0" xfId="1" quotePrefix="1" applyFont="1"/>
    <xf numFmtId="0" fontId="8" fillId="5" borderId="1" xfId="0" applyFont="1" applyFill="1" applyBorder="1" applyAlignment="1">
      <alignment horizontal="center"/>
    </xf>
    <xf numFmtId="43" fontId="8" fillId="5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3" fontId="7" fillId="0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3" fontId="7" fillId="4" borderId="1" xfId="1" applyFont="1" applyFill="1" applyBorder="1" applyAlignment="1">
      <alignment horizontal="center" vertical="center"/>
    </xf>
    <xf numFmtId="43" fontId="1" fillId="0" borderId="1" xfId="1" applyFont="1" applyBorder="1" applyAlignment="1">
      <alignment horizontal="center" vertical="center"/>
    </xf>
    <xf numFmtId="43" fontId="1" fillId="0" borderId="1" xfId="1" applyFont="1" applyFill="1" applyBorder="1" applyAlignment="1">
      <alignment horizontal="center" vertical="center"/>
    </xf>
    <xf numFmtId="43" fontId="1" fillId="0" borderId="1" xfId="1" applyFont="1" applyBorder="1" applyAlignment="1"/>
    <xf numFmtId="14" fontId="7" fillId="0" borderId="1" xfId="3" quotePrefix="1" applyNumberFormat="1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43" fontId="1" fillId="0" borderId="3" xfId="1" applyFont="1" applyBorder="1"/>
    <xf numFmtId="0" fontId="7" fillId="7" borderId="1" xfId="0" quotePrefix="1" applyFont="1" applyFill="1" applyBorder="1" applyAlignment="1">
      <alignment horizontal="center"/>
    </xf>
    <xf numFmtId="0" fontId="7" fillId="7" borderId="1" xfId="0" applyFont="1" applyFill="1" applyBorder="1"/>
    <xf numFmtId="0" fontId="1" fillId="7" borderId="1" xfId="0" applyFont="1" applyFill="1" applyBorder="1" applyAlignment="1">
      <alignment horizontal="left"/>
    </xf>
    <xf numFmtId="49" fontId="1" fillId="7" borderId="1" xfId="0" quotePrefix="1" applyNumberFormat="1" applyFont="1" applyFill="1" applyBorder="1" applyAlignment="1">
      <alignment horizontal="center"/>
    </xf>
    <xf numFmtId="0" fontId="1" fillId="7" borderId="1" xfId="0" applyFont="1" applyFill="1" applyBorder="1"/>
    <xf numFmtId="43" fontId="1" fillId="7" borderId="1" xfId="1" applyFont="1" applyFill="1" applyBorder="1"/>
    <xf numFmtId="43" fontId="8" fillId="7" borderId="1" xfId="1" applyFont="1" applyFill="1" applyBorder="1"/>
    <xf numFmtId="164" fontId="1" fillId="7" borderId="1" xfId="1" applyNumberFormat="1" applyFont="1" applyFill="1" applyBorder="1"/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center"/>
    </xf>
    <xf numFmtId="11" fontId="1" fillId="0" borderId="1" xfId="0" quotePrefix="1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quotePrefix="1"/>
    <xf numFmtId="43" fontId="8" fillId="0" borderId="1" xfId="1" applyFont="1" applyFill="1" applyBorder="1" applyAlignment="1">
      <alignment horizontal="center" vertical="center"/>
    </xf>
    <xf numFmtId="43" fontId="8" fillId="8" borderId="1" xfId="1" applyFont="1" applyFill="1" applyBorder="1" applyAlignment="1">
      <alignment horizontal="center" vertical="center"/>
    </xf>
    <xf numFmtId="43" fontId="8" fillId="7" borderId="1" xfId="1" applyFont="1" applyFill="1" applyBorder="1" applyAlignment="1">
      <alignment horizontal="center" vertical="center"/>
    </xf>
    <xf numFmtId="43" fontId="8" fillId="0" borderId="0" xfId="1" applyFont="1" applyAlignment="1">
      <alignment horizontal="center"/>
    </xf>
    <xf numFmtId="43" fontId="8" fillId="0" borderId="1" xfId="1" applyFont="1" applyBorder="1" applyAlignment="1">
      <alignment horizontal="center"/>
    </xf>
    <xf numFmtId="43" fontId="8" fillId="0" borderId="1" xfId="1" applyFont="1" applyFill="1" applyBorder="1" applyAlignment="1">
      <alignment horizontal="center"/>
    </xf>
    <xf numFmtId="43" fontId="8" fillId="8" borderId="1" xfId="1" applyFont="1" applyFill="1" applyBorder="1" applyAlignment="1">
      <alignment horizontal="center"/>
    </xf>
    <xf numFmtId="43" fontId="7" fillId="0" borderId="0" xfId="1" applyFont="1"/>
    <xf numFmtId="43" fontId="7" fillId="9" borderId="1" xfId="1" applyFont="1" applyFill="1" applyBorder="1"/>
    <xf numFmtId="43" fontId="7" fillId="0" borderId="1" xfId="1" applyFont="1" applyBorder="1"/>
    <xf numFmtId="43" fontId="8" fillId="5" borderId="1" xfId="1" applyFont="1" applyFill="1" applyBorder="1" applyAlignment="1"/>
    <xf numFmtId="1" fontId="1" fillId="0" borderId="3" xfId="0" quotePrefix="1" applyNumberFormat="1" applyFont="1" applyFill="1" applyBorder="1" applyAlignment="1">
      <alignment horizontal="center"/>
    </xf>
    <xf numFmtId="15" fontId="1" fillId="0" borderId="1" xfId="0" applyNumberFormat="1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3" fontId="1" fillId="0" borderId="1" xfId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4" xfId="0" applyFont="1" applyFill="1" applyBorder="1"/>
    <xf numFmtId="49" fontId="1" fillId="0" borderId="4" xfId="0" applyNumberFormat="1" applyFont="1" applyFill="1" applyBorder="1" applyAlignment="1">
      <alignment horizontal="center"/>
    </xf>
    <xf numFmtId="43" fontId="1" fillId="0" borderId="4" xfId="1" applyFont="1" applyFill="1" applyBorder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/>
    </xf>
    <xf numFmtId="43" fontId="8" fillId="0" borderId="4" xfId="1" applyFont="1" applyFill="1" applyBorder="1"/>
    <xf numFmtId="1" fontId="3" fillId="0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/>
    </xf>
    <xf numFmtId="15" fontId="1" fillId="0" borderId="4" xfId="0" applyNumberFormat="1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43" fontId="8" fillId="0" borderId="4" xfId="1" applyFon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left"/>
    </xf>
    <xf numFmtId="164" fontId="1" fillId="0" borderId="4" xfId="1" applyNumberFormat="1" applyFont="1" applyBorder="1"/>
    <xf numFmtId="0" fontId="4" fillId="4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8" fillId="5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left"/>
    </xf>
    <xf numFmtId="0" fontId="1" fillId="0" borderId="8" xfId="0" applyFont="1" applyFill="1" applyBorder="1"/>
    <xf numFmtId="43" fontId="1" fillId="0" borderId="1" xfId="1" applyFont="1" applyBorder="1" applyAlignment="1">
      <alignment horizontal="left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12" xfId="0" applyFont="1" applyBorder="1"/>
    <xf numFmtId="0" fontId="15" fillId="0" borderId="11" xfId="0" applyFont="1" applyBorder="1"/>
    <xf numFmtId="0" fontId="15" fillId="0" borderId="8" xfId="0" applyFont="1" applyBorder="1"/>
    <xf numFmtId="0" fontId="15" fillId="0" borderId="13" xfId="0" applyFont="1" applyBorder="1"/>
    <xf numFmtId="0" fontId="15" fillId="0" borderId="14" xfId="0" applyFont="1" applyBorder="1"/>
    <xf numFmtId="1" fontId="1" fillId="0" borderId="1" xfId="0" applyNumberFormat="1" applyFont="1" applyBorder="1" applyAlignment="1">
      <alignment horizontal="center" vertical="center"/>
    </xf>
    <xf numFmtId="43" fontId="8" fillId="5" borderId="1" xfId="1" applyFont="1" applyFill="1" applyBorder="1" applyAlignment="1">
      <alignment horizontal="center"/>
    </xf>
    <xf numFmtId="43" fontId="8" fillId="5" borderId="1" xfId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43" fontId="7" fillId="0" borderId="1" xfId="1" applyFont="1" applyBorder="1" applyAlignment="1">
      <alignment horizontal="center" vertical="center"/>
    </xf>
    <xf numFmtId="43" fontId="1" fillId="0" borderId="0" xfId="1" applyFont="1" applyAlignment="1">
      <alignment horizontal="center"/>
    </xf>
    <xf numFmtId="43" fontId="8" fillId="5" borderId="1" xfId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43" fontId="8" fillId="0" borderId="0" xfId="1" applyFont="1" applyBorder="1"/>
    <xf numFmtId="43" fontId="8" fillId="0" borderId="1" xfId="1" quotePrefix="1" applyFont="1" applyBorder="1" applyAlignment="1">
      <alignment horizontal="center"/>
    </xf>
    <xf numFmtId="14" fontId="1" fillId="0" borderId="1" xfId="0" applyNumberFormat="1" applyFont="1" applyBorder="1"/>
    <xf numFmtId="43" fontId="8" fillId="5" borderId="1" xfId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/>
    </xf>
    <xf numFmtId="1" fontId="1" fillId="7" borderId="3" xfId="0" applyNumberFormat="1" applyFont="1" applyFill="1" applyBorder="1" applyAlignment="1">
      <alignment horizontal="center" vertical="center"/>
    </xf>
    <xf numFmtId="0" fontId="8" fillId="7" borderId="1" xfId="0" applyFont="1" applyFill="1" applyBorder="1"/>
    <xf numFmtId="0" fontId="8" fillId="7" borderId="0" xfId="0" applyFont="1" applyFill="1"/>
    <xf numFmtId="0" fontId="8" fillId="6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43" fontId="3" fillId="0" borderId="0" xfId="1" applyFont="1" applyFill="1" applyBorder="1" applyAlignment="1">
      <alignment horizontal="left" vertical="center"/>
    </xf>
    <xf numFmtId="43" fontId="1" fillId="0" borderId="0" xfId="1" applyFont="1" applyFill="1" applyBorder="1"/>
    <xf numFmtId="164" fontId="1" fillId="0" borderId="0" xfId="1" applyNumberFormat="1" applyFont="1" applyFill="1" applyBorder="1"/>
    <xf numFmtId="164" fontId="8" fillId="0" borderId="0" xfId="1" applyNumberFormat="1" applyFont="1" applyFill="1" applyBorder="1"/>
    <xf numFmtId="49" fontId="1" fillId="0" borderId="0" xfId="0" quotePrefix="1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3" fontId="2" fillId="0" borderId="0" xfId="1" applyFont="1" applyFill="1" applyBorder="1" applyAlignment="1"/>
    <xf numFmtId="0" fontId="2" fillId="0" borderId="0" xfId="0" applyFont="1" applyFill="1" applyBorder="1" applyAlignment="1"/>
    <xf numFmtId="164" fontId="2" fillId="0" borderId="0" xfId="1" applyNumberFormat="1" applyFont="1" applyFill="1" applyBorder="1" applyAlignment="1"/>
    <xf numFmtId="43" fontId="1" fillId="0" borderId="0" xfId="1" applyFont="1" applyFill="1" applyBorder="1" applyAlignment="1">
      <alignment horizontal="left" vertical="center"/>
    </xf>
    <xf numFmtId="0" fontId="8" fillId="0" borderId="0" xfId="0" applyFont="1" applyFill="1" applyBorder="1"/>
    <xf numFmtId="43" fontId="8" fillId="0" borderId="0" xfId="1" applyFont="1" applyFill="1" applyBorder="1"/>
    <xf numFmtId="11" fontId="1" fillId="0" borderId="0" xfId="0" applyNumberFormat="1" applyFont="1" applyAlignment="1">
      <alignment horizontal="left"/>
    </xf>
    <xf numFmtId="0" fontId="1" fillId="8" borderId="1" xfId="0" quotePrefix="1" applyFont="1" applyFill="1" applyBorder="1" applyAlignment="1">
      <alignment horizontal="center"/>
    </xf>
    <xf numFmtId="43" fontId="7" fillId="8" borderId="1" xfId="1" applyFont="1" applyFill="1" applyBorder="1" applyAlignment="1">
      <alignment horizontal="center" vertical="center"/>
    </xf>
    <xf numFmtId="43" fontId="1" fillId="8" borderId="1" xfId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3" xfId="0" applyFont="1" applyBorder="1"/>
    <xf numFmtId="49" fontId="3" fillId="0" borderId="1" xfId="0" applyNumberFormat="1" applyFont="1" applyFill="1" applyBorder="1" applyAlignment="1">
      <alignment horizontal="center"/>
    </xf>
    <xf numFmtId="0" fontId="1" fillId="0" borderId="1" xfId="0" quotePrefix="1" applyFont="1" applyFill="1" applyBorder="1" applyAlignment="1">
      <alignment horizontal="center" vertical="center"/>
    </xf>
    <xf numFmtId="43" fontId="8" fillId="5" borderId="1" xfId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" fillId="0" borderId="0" xfId="0" quotePrefix="1" applyFont="1"/>
    <xf numFmtId="11" fontId="1" fillId="0" borderId="1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4" xfId="0" applyFont="1" applyFill="1" applyBorder="1" applyAlignment="1">
      <alignment horizontal="left"/>
    </xf>
    <xf numFmtId="0" fontId="7" fillId="0" borderId="0" xfId="3" applyFont="1" applyAlignment="1">
      <alignment horizontal="center" vertical="center"/>
    </xf>
    <xf numFmtId="0" fontId="9" fillId="3" borderId="1" xfId="3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1" fillId="0" borderId="1" xfId="0" quotePrefix="1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2" borderId="4" xfId="0" applyNumberFormat="1" applyFont="1" applyFill="1" applyBorder="1" applyAlignment="1">
      <alignment horizontal="center"/>
    </xf>
    <xf numFmtId="0" fontId="2" fillId="2" borderId="6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43" fontId="8" fillId="5" borderId="1" xfId="1" applyFont="1" applyFill="1" applyBorder="1" applyAlignment="1">
      <alignment horizontal="center"/>
    </xf>
    <xf numFmtId="43" fontId="8" fillId="0" borderId="1" xfId="0" applyNumberFormat="1" applyFont="1" applyFill="1" applyBorder="1" applyAlignment="1">
      <alignment horizontal="center"/>
    </xf>
    <xf numFmtId="43" fontId="8" fillId="5" borderId="1" xfId="1" applyFont="1" applyFill="1" applyBorder="1" applyAlignment="1">
      <alignment horizontal="center"/>
    </xf>
    <xf numFmtId="43" fontId="8" fillId="5" borderId="1" xfId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7" fillId="0" borderId="1" xfId="3" quotePrefix="1" applyFont="1" applyBorder="1" applyAlignment="1">
      <alignment horizontal="center" vertical="center"/>
    </xf>
    <xf numFmtId="15" fontId="7" fillId="0" borderId="1" xfId="3" quotePrefix="1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43" fontId="8" fillId="5" borderId="1" xfId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4" fontId="19" fillId="0" borderId="0" xfId="0" applyNumberFormat="1" applyFont="1" applyAlignment="1">
      <alignment vertical="center"/>
    </xf>
    <xf numFmtId="4" fontId="1" fillId="0" borderId="1" xfId="0" applyNumberFormat="1" applyFont="1" applyBorder="1"/>
    <xf numFmtId="0" fontId="8" fillId="8" borderId="1" xfId="0" applyFont="1" applyFill="1" applyBorder="1"/>
    <xf numFmtId="0" fontId="8" fillId="0" borderId="4" xfId="0" applyFont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43" fontId="8" fillId="0" borderId="1" xfId="0" applyNumberFormat="1" applyFont="1" applyFill="1" applyBorder="1"/>
    <xf numFmtId="43" fontId="8" fillId="0" borderId="1" xfId="0" applyNumberFormat="1" applyFont="1" applyBorder="1"/>
    <xf numFmtId="0" fontId="20" fillId="10" borderId="1" xfId="0" applyFont="1" applyFill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/>
    </xf>
    <xf numFmtId="43" fontId="8" fillId="5" borderId="1" xfId="1" applyFont="1" applyFill="1" applyBorder="1" applyAlignment="1">
      <alignment horizontal="center"/>
    </xf>
    <xf numFmtId="43" fontId="8" fillId="5" borderId="1" xfId="1" applyFont="1" applyFill="1" applyBorder="1" applyAlignment="1">
      <alignment horizontal="center"/>
    </xf>
    <xf numFmtId="43" fontId="1" fillId="0" borderId="3" xfId="1" applyFont="1" applyFill="1" applyBorder="1"/>
    <xf numFmtId="2" fontId="1" fillId="0" borderId="0" xfId="0" applyNumberFormat="1" applyFont="1" applyAlignment="1">
      <alignment horizontal="left"/>
    </xf>
    <xf numFmtId="2" fontId="1" fillId="0" borderId="1" xfId="1" applyNumberFormat="1" applyFont="1" applyBorder="1" applyAlignment="1">
      <alignment horizontal="left"/>
    </xf>
    <xf numFmtId="2" fontId="1" fillId="0" borderId="1" xfId="1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3" fontId="9" fillId="0" borderId="0" xfId="1" applyFont="1"/>
    <xf numFmtId="0" fontId="9" fillId="0" borderId="0" xfId="0" applyFont="1"/>
    <xf numFmtId="43" fontId="9" fillId="5" borderId="4" xfId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43" fontId="9" fillId="5" borderId="1" xfId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quotePrefix="1" applyFont="1" applyBorder="1" applyAlignment="1">
      <alignment horizontal="center"/>
    </xf>
    <xf numFmtId="43" fontId="9" fillId="0" borderId="1" xfId="1" applyFont="1" applyBorder="1"/>
    <xf numFmtId="0" fontId="7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quotePrefix="1" applyFont="1" applyBorder="1" applyAlignment="1">
      <alignment horizontal="center"/>
    </xf>
    <xf numFmtId="0" fontId="7" fillId="0" borderId="0" xfId="0" quotePrefix="1" applyFont="1" applyBorder="1" applyAlignment="1">
      <alignment horizontal="center" vertical="center"/>
    </xf>
    <xf numFmtId="43" fontId="7" fillId="0" borderId="0" xfId="1" applyFont="1" applyBorder="1"/>
    <xf numFmtId="43" fontId="9" fillId="0" borderId="0" xfId="1" applyFont="1" applyBorder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49" fontId="7" fillId="7" borderId="1" xfId="0" applyNumberFormat="1" applyFont="1" applyFill="1" applyBorder="1" applyAlignment="1">
      <alignment horizontal="center"/>
    </xf>
    <xf numFmtId="43" fontId="7" fillId="7" borderId="1" xfId="1" applyFont="1" applyFill="1" applyBorder="1" applyAlignment="1">
      <alignment horizontal="left" vertical="center"/>
    </xf>
    <xf numFmtId="43" fontId="7" fillId="7" borderId="1" xfId="1" applyFont="1" applyFill="1" applyBorder="1"/>
    <xf numFmtId="164" fontId="7" fillId="7" borderId="1" xfId="1" applyNumberFormat="1" applyFont="1" applyFill="1" applyBorder="1"/>
    <xf numFmtId="164" fontId="9" fillId="7" borderId="1" xfId="1" applyNumberFormat="1" applyFont="1" applyFill="1" applyBorder="1"/>
    <xf numFmtId="0" fontId="7" fillId="7" borderId="0" xfId="0" applyFont="1" applyFill="1"/>
    <xf numFmtId="0" fontId="4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43" fontId="3" fillId="7" borderId="1" xfId="1" applyFont="1" applyFill="1" applyBorder="1" applyAlignment="1">
      <alignment horizontal="left" vertical="center"/>
    </xf>
    <xf numFmtId="164" fontId="8" fillId="7" borderId="1" xfId="1" applyNumberFormat="1" applyFont="1" applyFill="1" applyBorder="1"/>
    <xf numFmtId="43" fontId="8" fillId="5" borderId="1" xfId="1" applyFont="1" applyFill="1" applyBorder="1" applyAlignment="1">
      <alignment horizontal="center"/>
    </xf>
    <xf numFmtId="0" fontId="21" fillId="0" borderId="0" xfId="0" applyFont="1"/>
    <xf numFmtId="43" fontId="8" fillId="5" borderId="1" xfId="1" applyFont="1" applyFill="1" applyBorder="1" applyAlignment="1">
      <alignment horizontal="center"/>
    </xf>
    <xf numFmtId="4" fontId="1" fillId="0" borderId="0" xfId="0" applyNumberFormat="1" applyFont="1"/>
    <xf numFmtId="43" fontId="8" fillId="5" borderId="1" xfId="1" applyFont="1" applyFill="1" applyBorder="1" applyAlignment="1">
      <alignment horizontal="center"/>
    </xf>
    <xf numFmtId="43" fontId="8" fillId="0" borderId="3" xfId="1" applyFont="1" applyBorder="1"/>
    <xf numFmtId="43" fontId="8" fillId="0" borderId="1" xfId="0" applyNumberFormat="1" applyFont="1" applyFill="1" applyBorder="1" applyAlignment="1">
      <alignment horizontal="center" vertical="center"/>
    </xf>
    <xf numFmtId="43" fontId="8" fillId="7" borderId="1" xfId="0" applyNumberFormat="1" applyFont="1" applyFill="1" applyBorder="1" applyAlignment="1">
      <alignment horizontal="center" vertical="center"/>
    </xf>
    <xf numFmtId="43" fontId="9" fillId="7" borderId="1" xfId="0" applyNumberFormat="1" applyFont="1" applyFill="1" applyBorder="1" applyAlignment="1">
      <alignment horizontal="center" vertical="center"/>
    </xf>
    <xf numFmtId="43" fontId="8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1" fontId="1" fillId="0" borderId="0" xfId="0" applyNumberFormat="1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/>
    </xf>
    <xf numFmtId="0" fontId="1" fillId="0" borderId="1" xfId="0" quotePrefix="1" applyFont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1" fillId="8" borderId="4" xfId="0" applyFont="1" applyFill="1" applyBorder="1"/>
    <xf numFmtId="0" fontId="1" fillId="8" borderId="4" xfId="0" applyFont="1" applyFill="1" applyBorder="1" applyAlignment="1">
      <alignment horizontal="center"/>
    </xf>
    <xf numFmtId="1" fontId="1" fillId="8" borderId="4" xfId="0" quotePrefix="1" applyNumberFormat="1" applyFont="1" applyFill="1" applyBorder="1" applyAlignment="1">
      <alignment horizontal="center"/>
    </xf>
    <xf numFmtId="0" fontId="1" fillId="8" borderId="4" xfId="0" applyFont="1" applyFill="1" applyBorder="1" applyAlignment="1">
      <alignment horizontal="left"/>
    </xf>
    <xf numFmtId="43" fontId="8" fillId="8" borderId="4" xfId="1" applyFont="1" applyFill="1" applyBorder="1"/>
    <xf numFmtId="43" fontId="1" fillId="8" borderId="4" xfId="1" applyFont="1" applyFill="1" applyBorder="1"/>
    <xf numFmtId="43" fontId="8" fillId="8" borderId="4" xfId="1" applyFont="1" applyFill="1" applyBorder="1" applyAlignment="1"/>
    <xf numFmtId="164" fontId="8" fillId="8" borderId="4" xfId="1" applyNumberFormat="1" applyFont="1" applyFill="1" applyBorder="1"/>
    <xf numFmtId="164" fontId="1" fillId="8" borderId="4" xfId="1" applyNumberFormat="1" applyFont="1" applyFill="1" applyBorder="1"/>
    <xf numFmtId="0" fontId="8" fillId="8" borderId="4" xfId="0" applyFont="1" applyFill="1" applyBorder="1" applyAlignment="1">
      <alignment horizontal="left"/>
    </xf>
    <xf numFmtId="43" fontId="8" fillId="5" borderId="1" xfId="1" applyFont="1" applyFill="1" applyBorder="1" applyAlignment="1">
      <alignment horizontal="center"/>
    </xf>
    <xf numFmtId="43" fontId="7" fillId="8" borderId="1" xfId="1" applyFont="1" applyFill="1" applyBorder="1" applyAlignment="1">
      <alignment horizontal="left" vertical="center"/>
    </xf>
    <xf numFmtId="43" fontId="7" fillId="8" borderId="1" xfId="1" applyFont="1" applyFill="1" applyBorder="1" applyAlignment="1">
      <alignment horizontal="right"/>
    </xf>
    <xf numFmtId="43" fontId="7" fillId="8" borderId="1" xfId="1" applyFont="1" applyFill="1" applyBorder="1"/>
    <xf numFmtId="43" fontId="1" fillId="8" borderId="0" xfId="1" applyFont="1" applyFill="1"/>
    <xf numFmtId="0" fontId="4" fillId="8" borderId="7" xfId="0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1" fontId="1" fillId="8" borderId="1" xfId="0" applyNumberFormat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quotePrefix="1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 wrapText="1"/>
    </xf>
    <xf numFmtId="43" fontId="8" fillId="8" borderId="1" xfId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/>
    </xf>
    <xf numFmtId="164" fontId="1" fillId="8" borderId="1" xfId="1" applyNumberFormat="1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1" fillId="8" borderId="0" xfId="0" applyFont="1" applyFill="1" applyAlignment="1">
      <alignment vertical="center"/>
    </xf>
    <xf numFmtId="0" fontId="4" fillId="8" borderId="0" xfId="0" applyFont="1" applyFill="1" applyBorder="1" applyAlignment="1">
      <alignment horizontal="center" vertical="center"/>
    </xf>
    <xf numFmtId="49" fontId="3" fillId="8" borderId="3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left" vertical="center"/>
    </xf>
    <xf numFmtId="43" fontId="3" fillId="8" borderId="1" xfId="1" applyFont="1" applyFill="1" applyBorder="1" applyAlignment="1">
      <alignment horizontal="left" vertical="center"/>
    </xf>
    <xf numFmtId="43" fontId="3" fillId="8" borderId="1" xfId="1" applyFont="1" applyFill="1" applyBorder="1" applyAlignment="1">
      <alignment horizontal="left"/>
    </xf>
    <xf numFmtId="43" fontId="8" fillId="5" borderId="1" xfId="1" applyFont="1" applyFill="1" applyBorder="1" applyAlignment="1">
      <alignment horizontal="center"/>
    </xf>
    <xf numFmtId="43" fontId="8" fillId="0" borderId="0" xfId="1" quotePrefix="1" applyFont="1"/>
    <xf numFmtId="17" fontId="1" fillId="0" borderId="1" xfId="0" applyNumberFormat="1" applyFont="1" applyBorder="1" applyAlignment="1">
      <alignment horizontal="center"/>
    </xf>
    <xf numFmtId="43" fontId="9" fillId="8" borderId="1" xfId="1" applyFont="1" applyFill="1" applyBorder="1"/>
    <xf numFmtId="164" fontId="1" fillId="8" borderId="1" xfId="1" applyNumberFormat="1" applyFont="1" applyFill="1" applyBorder="1" applyAlignment="1"/>
    <xf numFmtId="164" fontId="8" fillId="8" borderId="1" xfId="1" applyNumberFormat="1" applyFont="1" applyFill="1" applyBorder="1" applyAlignment="1"/>
    <xf numFmtId="43" fontId="2" fillId="0" borderId="9" xfId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43" fontId="20" fillId="10" borderId="1" xfId="2" applyNumberFormat="1" applyFont="1" applyFill="1" applyBorder="1" applyAlignment="1">
      <alignment horizontal="center" vertical="center"/>
    </xf>
    <xf numFmtId="43" fontId="20" fillId="10" borderId="1" xfId="2" applyNumberFormat="1" applyFont="1" applyFill="1" applyBorder="1" applyAlignment="1">
      <alignment vertical="center"/>
    </xf>
    <xf numFmtId="43" fontId="8" fillId="5" borderId="1" xfId="1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43" fontId="8" fillId="5" borderId="1" xfId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43" fontId="8" fillId="0" borderId="1" xfId="1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43" fontId="8" fillId="8" borderId="1" xfId="0" applyNumberFormat="1" applyFont="1" applyFill="1" applyBorder="1" applyAlignment="1">
      <alignment horizontal="center"/>
    </xf>
    <xf numFmtId="43" fontId="8" fillId="8" borderId="1" xfId="0" applyNumberFormat="1" applyFont="1" applyFill="1" applyBorder="1"/>
    <xf numFmtId="0" fontId="3" fillId="8" borderId="2" xfId="0" applyFont="1" applyFill="1" applyBorder="1" applyAlignment="1">
      <alignment horizontal="left"/>
    </xf>
    <xf numFmtId="43" fontId="2" fillId="7" borderId="1" xfId="1" applyFont="1" applyFill="1" applyBorder="1" applyAlignment="1"/>
    <xf numFmtId="0" fontId="2" fillId="7" borderId="1" xfId="0" applyFont="1" applyFill="1" applyBorder="1" applyAlignment="1"/>
    <xf numFmtId="164" fontId="2" fillId="7" borderId="1" xfId="1" applyNumberFormat="1" applyFont="1" applyFill="1" applyBorder="1" applyAlignment="1"/>
    <xf numFmtId="49" fontId="3" fillId="8" borderId="3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 wrapText="1"/>
    </xf>
    <xf numFmtId="164" fontId="8" fillId="8" borderId="1" xfId="1" applyNumberFormat="1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43" fontId="8" fillId="8" borderId="1" xfId="0" applyNumberFormat="1" applyFont="1" applyFill="1" applyBorder="1" applyAlignment="1">
      <alignment horizontal="center" vertical="center"/>
    </xf>
    <xf numFmtId="0" fontId="8" fillId="8" borderId="0" xfId="0" applyFont="1" applyFill="1" applyAlignment="1">
      <alignment vertical="center"/>
    </xf>
    <xf numFmtId="49" fontId="1" fillId="8" borderId="3" xfId="0" applyNumberFormat="1" applyFont="1" applyFill="1" applyBorder="1" applyAlignment="1">
      <alignment horizontal="center"/>
    </xf>
    <xf numFmtId="0" fontId="1" fillId="8" borderId="2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/>
    </xf>
    <xf numFmtId="43" fontId="1" fillId="0" borderId="1" xfId="1" quotePrefix="1" applyFont="1" applyBorder="1"/>
    <xf numFmtId="0" fontId="3" fillId="7" borderId="1" xfId="0" applyFont="1" applyFill="1" applyBorder="1" applyAlignment="1"/>
    <xf numFmtId="43" fontId="1" fillId="0" borderId="0" xfId="1" applyFont="1" applyAlignment="1">
      <alignment horizontal="left"/>
    </xf>
    <xf numFmtId="43" fontId="2" fillId="7" borderId="1" xfId="1" applyFont="1" applyFill="1" applyBorder="1" applyAlignment="1">
      <alignment horizontal="left"/>
    </xf>
    <xf numFmtId="43" fontId="1" fillId="0" borderId="0" xfId="1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43" fontId="1" fillId="8" borderId="1" xfId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43" fontId="2" fillId="8" borderId="1" xfId="1" applyFont="1" applyFill="1" applyBorder="1" applyAlignment="1">
      <alignment horizontal="left" vertical="center"/>
    </xf>
    <xf numFmtId="43" fontId="2" fillId="0" borderId="1" xfId="1" applyFont="1" applyFill="1" applyBorder="1" applyAlignment="1">
      <alignment horizontal="left" vertical="center"/>
    </xf>
    <xf numFmtId="43" fontId="2" fillId="4" borderId="1" xfId="1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left" vertical="center"/>
    </xf>
    <xf numFmtId="43" fontId="8" fillId="4" borderId="1" xfId="1" applyFont="1" applyFill="1" applyBorder="1" applyAlignment="1">
      <alignment horizontal="left" vertical="center"/>
    </xf>
    <xf numFmtId="43" fontId="8" fillId="8" borderId="1" xfId="1" applyFont="1" applyFill="1" applyBorder="1" applyAlignment="1">
      <alignment horizontal="left" vertical="center"/>
    </xf>
    <xf numFmtId="43" fontId="3" fillId="7" borderId="1" xfId="1" applyFont="1" applyFill="1" applyBorder="1" applyAlignment="1"/>
    <xf numFmtId="43" fontId="8" fillId="8" borderId="1" xfId="0" applyNumberFormat="1" applyFont="1" applyFill="1" applyBorder="1" applyAlignment="1">
      <alignment vertical="center"/>
    </xf>
    <xf numFmtId="164" fontId="8" fillId="0" borderId="0" xfId="1" applyNumberFormat="1" applyFont="1" applyAlignment="1">
      <alignment horizontal="center"/>
    </xf>
    <xf numFmtId="164" fontId="8" fillId="8" borderId="1" xfId="1" applyNumberFormat="1" applyFont="1" applyFill="1" applyBorder="1" applyAlignment="1">
      <alignment horizontal="center" vertical="center"/>
    </xf>
    <xf numFmtId="164" fontId="8" fillId="0" borderId="0" xfId="1" applyNumberFormat="1" applyFont="1" applyBorder="1" applyAlignment="1">
      <alignment horizontal="center"/>
    </xf>
    <xf numFmtId="0" fontId="4" fillId="8" borderId="4" xfId="0" applyFont="1" applyFill="1" applyBorder="1" applyAlignment="1">
      <alignment vertical="center"/>
    </xf>
    <xf numFmtId="0" fontId="4" fillId="8" borderId="4" xfId="0" applyFont="1" applyFill="1" applyBorder="1" applyAlignment="1">
      <alignment horizontal="center" vertical="center"/>
    </xf>
    <xf numFmtId="43" fontId="1" fillId="8" borderId="1" xfId="1" applyFont="1" applyFill="1" applyBorder="1" applyAlignment="1"/>
    <xf numFmtId="0" fontId="1" fillId="8" borderId="1" xfId="0" quotePrefix="1" applyFont="1" applyFill="1" applyBorder="1"/>
    <xf numFmtId="0" fontId="8" fillId="8" borderId="0" xfId="0" applyFont="1" applyFill="1"/>
    <xf numFmtId="0" fontId="8" fillId="0" borderId="1" xfId="0" applyFont="1" applyBorder="1" applyAlignment="1">
      <alignment horizontal="center"/>
    </xf>
    <xf numFmtId="43" fontId="8" fillId="5" borderId="1" xfId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43" fontId="1" fillId="0" borderId="3" xfId="1" applyFont="1" applyBorder="1" applyAlignment="1">
      <alignment horizontal="center" vertical="center"/>
    </xf>
    <xf numFmtId="2" fontId="1" fillId="0" borderId="1" xfId="1" applyNumberFormat="1" applyFont="1" applyBorder="1" applyAlignment="1">
      <alignment horizontal="center" vertical="center"/>
    </xf>
    <xf numFmtId="43" fontId="7" fillId="8" borderId="1" xfId="1" applyFont="1" applyFill="1" applyBorder="1" applyAlignment="1">
      <alignment horizontal="right" vertical="center" wrapText="1"/>
    </xf>
    <xf numFmtId="43" fontId="9" fillId="8" borderId="1" xfId="1" applyFont="1" applyFill="1" applyBorder="1" applyAlignment="1">
      <alignment vertical="center"/>
    </xf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/>
    <xf numFmtId="1" fontId="7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/>
    </xf>
    <xf numFmtId="0" fontId="9" fillId="8" borderId="1" xfId="0" applyFont="1" applyFill="1" applyBorder="1"/>
    <xf numFmtId="43" fontId="9" fillId="8" borderId="1" xfId="0" applyNumberFormat="1" applyFont="1" applyFill="1" applyBorder="1" applyAlignment="1">
      <alignment horizontal="center"/>
    </xf>
    <xf numFmtId="0" fontId="7" fillId="8" borderId="0" xfId="0" applyFont="1" applyFill="1"/>
    <xf numFmtId="0" fontId="9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vertical="center"/>
    </xf>
    <xf numFmtId="1" fontId="7" fillId="8" borderId="1" xfId="0" quotePrefix="1" applyNumberFormat="1" applyFont="1" applyFill="1" applyBorder="1" applyAlignment="1">
      <alignment horizontal="center"/>
    </xf>
    <xf numFmtId="43" fontId="9" fillId="8" borderId="1" xfId="1" applyFont="1" applyFill="1" applyBorder="1" applyAlignment="1"/>
    <xf numFmtId="164" fontId="9" fillId="8" borderId="1" xfId="1" applyNumberFormat="1" applyFont="1" applyFill="1" applyBorder="1" applyAlignment="1">
      <alignment horizontal="center"/>
    </xf>
    <xf numFmtId="43" fontId="9" fillId="8" borderId="1" xfId="1" applyFont="1" applyFill="1" applyBorder="1" applyAlignment="1">
      <alignment horizontal="center"/>
    </xf>
    <xf numFmtId="43" fontId="1" fillId="8" borderId="3" xfId="1" applyFont="1" applyFill="1" applyBorder="1"/>
    <xf numFmtId="2" fontId="1" fillId="8" borderId="1" xfId="1" applyNumberFormat="1" applyFont="1" applyFill="1" applyBorder="1" applyAlignment="1">
      <alignment horizontal="left"/>
    </xf>
    <xf numFmtId="43" fontId="8" fillId="5" borderId="1" xfId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43" fontId="1" fillId="0" borderId="0" xfId="0" applyNumberFormat="1" applyFont="1"/>
    <xf numFmtId="1" fontId="1" fillId="0" borderId="1" xfId="0" quotePrefix="1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3" fillId="8" borderId="3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>
      <alignment horizontal="center"/>
    </xf>
    <xf numFmtId="1" fontId="1" fillId="4" borderId="3" xfId="0" applyNumberFormat="1" applyFont="1" applyFill="1" applyBorder="1" applyAlignment="1">
      <alignment horizontal="center"/>
    </xf>
    <xf numFmtId="1" fontId="3" fillId="8" borderId="3" xfId="0" applyNumberFormat="1" applyFont="1" applyFill="1" applyBorder="1" applyAlignment="1">
      <alignment horizontal="center" vertical="center"/>
    </xf>
    <xf numFmtId="1" fontId="1" fillId="8" borderId="3" xfId="0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1" fontId="1" fillId="8" borderId="4" xfId="0" applyNumberFormat="1" applyFont="1" applyFill="1" applyBorder="1" applyAlignment="1">
      <alignment horizontal="center"/>
    </xf>
    <xf numFmtId="1" fontId="3" fillId="7" borderId="3" xfId="0" applyNumberFormat="1" applyFont="1" applyFill="1" applyBorder="1" applyAlignment="1">
      <alignment horizontal="center"/>
    </xf>
    <xf numFmtId="1" fontId="1" fillId="0" borderId="1" xfId="0" quotePrefix="1" applyNumberFormat="1" applyFont="1" applyBorder="1" applyAlignment="1">
      <alignment horizontal="center"/>
    </xf>
    <xf numFmtId="43" fontId="8" fillId="5" borderId="1" xfId="1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43" fontId="9" fillId="5" borderId="1" xfId="1" applyFont="1" applyFill="1" applyBorder="1" applyAlignment="1">
      <alignment horizontal="center" vertical="center" wrapText="1"/>
    </xf>
    <xf numFmtId="43" fontId="8" fillId="5" borderId="4" xfId="1" applyFont="1" applyFill="1" applyBorder="1" applyAlignment="1">
      <alignment horizontal="center" vertical="center" wrapText="1"/>
    </xf>
    <xf numFmtId="43" fontId="8" fillId="5" borderId="6" xfId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center"/>
    </xf>
    <xf numFmtId="0" fontId="2" fillId="2" borderId="6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164" fontId="8" fillId="5" borderId="1" xfId="1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43" fontId="8" fillId="5" borderId="1" xfId="1" applyFont="1" applyFill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2" xfId="1" applyNumberFormat="1" applyFont="1" applyBorder="1" applyAlignment="1">
      <alignment horizontal="center"/>
    </xf>
    <xf numFmtId="164" fontId="8" fillId="0" borderId="3" xfId="1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8" fillId="0" borderId="4" xfId="1" applyNumberFormat="1" applyFont="1" applyBorder="1" applyAlignment="1">
      <alignment horizontal="center" vertical="center" wrapText="1"/>
    </xf>
    <xf numFmtId="164" fontId="8" fillId="0" borderId="6" xfId="1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3" fontId="8" fillId="0" borderId="2" xfId="1" applyFont="1" applyBorder="1" applyAlignment="1">
      <alignment horizontal="center" vertical="center"/>
    </xf>
    <xf numFmtId="43" fontId="8" fillId="0" borderId="3" xfId="1" applyFont="1" applyBorder="1" applyAlignment="1">
      <alignment horizontal="center" vertical="center"/>
    </xf>
    <xf numFmtId="43" fontId="8" fillId="5" borderId="1" xfId="1" applyFont="1" applyFill="1" applyBorder="1" applyAlignment="1">
      <alignment horizontal="center"/>
    </xf>
    <xf numFmtId="43" fontId="8" fillId="5" borderId="2" xfId="1" applyFont="1" applyFill="1" applyBorder="1" applyAlignment="1">
      <alignment horizontal="center"/>
    </xf>
    <xf numFmtId="43" fontId="8" fillId="5" borderId="3" xfId="1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43" fontId="8" fillId="5" borderId="5" xfId="1" applyFont="1" applyFill="1" applyBorder="1" applyAlignment="1">
      <alignment horizontal="center" vertical="center" wrapText="1"/>
    </xf>
    <xf numFmtId="2" fontId="8" fillId="5" borderId="10" xfId="0" applyNumberFormat="1" applyFont="1" applyFill="1" applyBorder="1" applyAlignment="1">
      <alignment horizontal="center" vertical="center" wrapText="1"/>
    </xf>
    <xf numFmtId="2" fontId="8" fillId="5" borderId="11" xfId="0" applyNumberFormat="1" applyFont="1" applyFill="1" applyBorder="1" applyAlignment="1">
      <alignment horizontal="center" vertical="center" wrapText="1"/>
    </xf>
    <xf numFmtId="2" fontId="8" fillId="5" borderId="15" xfId="0" applyNumberFormat="1" applyFont="1" applyFill="1" applyBorder="1" applyAlignment="1">
      <alignment horizontal="center" vertical="center" wrapText="1"/>
    </xf>
    <xf numFmtId="2" fontId="8" fillId="5" borderId="14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 vertical="center" wrapText="1"/>
    </xf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N767"/>
  <sheetViews>
    <sheetView view="pageBreakPreview" zoomScale="90" zoomScaleNormal="100" zoomScaleSheetLayoutView="90" workbookViewId="0">
      <pane ySplit="5" topLeftCell="A52" activePane="bottomLeft" state="frozen"/>
      <selection pane="bottomLeft" activeCell="B76" sqref="B76"/>
    </sheetView>
  </sheetViews>
  <sheetFormatPr defaultRowHeight="16.5" x14ac:dyDescent="0.3"/>
  <cols>
    <col min="1" max="1" width="5.85546875" style="27" customWidth="1"/>
    <col min="2" max="2" width="63.7109375" style="1" customWidth="1"/>
    <col min="3" max="3" width="11.140625" style="15" bestFit="1" customWidth="1"/>
    <col min="4" max="4" width="23" style="185" customWidth="1"/>
    <col min="5" max="5" width="11.42578125" style="185" bestFit="1" customWidth="1"/>
    <col min="6" max="6" width="14.42578125" style="15" bestFit="1" customWidth="1"/>
    <col min="7" max="7" width="13.85546875" style="15" bestFit="1" customWidth="1"/>
    <col min="8" max="8" width="38.5703125" style="21" bestFit="1" customWidth="1"/>
    <col min="9" max="9" width="14.42578125" style="120" bestFit="1" customWidth="1"/>
    <col min="10" max="10" width="24.28515625" style="78" bestFit="1" customWidth="1"/>
    <col min="11" max="11" width="10.140625" style="78" bestFit="1" customWidth="1"/>
    <col min="12" max="12" width="14" style="80" bestFit="1" customWidth="1"/>
    <col min="13" max="13" width="40.85546875" style="78" bestFit="1" customWidth="1"/>
    <col min="14" max="14" width="11.28515625" style="78" bestFit="1" customWidth="1"/>
    <col min="15" max="15" width="14" style="120" bestFit="1" customWidth="1"/>
    <col min="16" max="16" width="40.85546875" style="78" bestFit="1" customWidth="1"/>
    <col min="17" max="17" width="12.28515625" style="78" customWidth="1"/>
    <col min="18" max="18" width="14" style="120" bestFit="1" customWidth="1"/>
    <col min="19" max="19" width="86.7109375" style="78" bestFit="1" customWidth="1"/>
    <col min="20" max="20" width="10" style="78" bestFit="1" customWidth="1"/>
    <col min="21" max="21" width="14" style="120" bestFit="1" customWidth="1"/>
    <col min="22" max="22" width="59.28515625" style="78" bestFit="1" customWidth="1"/>
    <col min="23" max="23" width="14" style="78" customWidth="1"/>
    <col min="24" max="24" width="14" style="120" customWidth="1"/>
    <col min="25" max="25" width="15.85546875" style="120" bestFit="1" customWidth="1"/>
    <col min="26" max="26" width="18.7109375" style="293" bestFit="1" customWidth="1"/>
    <col min="27" max="27" width="18.7109375" style="120" customWidth="1"/>
    <col min="28" max="28" width="38.28515625" style="188" bestFit="1" customWidth="1"/>
    <col min="29" max="29" width="41.42578125" style="289" bestFit="1" customWidth="1"/>
    <col min="30" max="16384" width="9.140625" style="1"/>
  </cols>
  <sheetData>
    <row r="1" spans="1:30" x14ac:dyDescent="0.3">
      <c r="A1" s="36" t="s">
        <v>0</v>
      </c>
      <c r="B1" s="48"/>
      <c r="C1" s="313"/>
      <c r="D1" s="183" t="s">
        <v>570</v>
      </c>
      <c r="E1" s="385"/>
      <c r="F1" s="146" t="s">
        <v>713</v>
      </c>
      <c r="G1" s="24"/>
    </row>
    <row r="2" spans="1:30" x14ac:dyDescent="0.3">
      <c r="A2" s="36" t="s">
        <v>43</v>
      </c>
      <c r="B2" s="48"/>
      <c r="C2" s="313"/>
      <c r="D2" t="s">
        <v>2757</v>
      </c>
      <c r="E2" s="184"/>
      <c r="F2" s="24"/>
      <c r="H2" s="551" t="s">
        <v>3030</v>
      </c>
    </row>
    <row r="3" spans="1:30" x14ac:dyDescent="0.3">
      <c r="A3" s="50" t="s">
        <v>491</v>
      </c>
    </row>
    <row r="4" spans="1:30" s="27" customFormat="1" ht="16.5" customHeight="1" x14ac:dyDescent="0.3">
      <c r="A4" s="640" t="s">
        <v>1</v>
      </c>
      <c r="B4" s="642" t="s">
        <v>2</v>
      </c>
      <c r="C4" s="493"/>
      <c r="D4" s="644" t="s">
        <v>3</v>
      </c>
      <c r="E4" s="404"/>
      <c r="F4" s="642" t="s">
        <v>4</v>
      </c>
      <c r="G4" s="642" t="s">
        <v>5</v>
      </c>
      <c r="H4" s="642" t="s">
        <v>6</v>
      </c>
      <c r="I4" s="259" t="s">
        <v>520</v>
      </c>
      <c r="J4" s="646" t="s">
        <v>521</v>
      </c>
      <c r="K4" s="647"/>
      <c r="L4" s="508" t="s">
        <v>522</v>
      </c>
      <c r="M4" s="633" t="s">
        <v>521</v>
      </c>
      <c r="N4" s="634"/>
      <c r="O4" s="480" t="s">
        <v>522</v>
      </c>
      <c r="P4" s="633" t="s">
        <v>521</v>
      </c>
      <c r="Q4" s="634"/>
      <c r="R4" s="480" t="s">
        <v>522</v>
      </c>
      <c r="S4" s="633" t="s">
        <v>521</v>
      </c>
      <c r="T4" s="634"/>
      <c r="U4" s="480" t="s">
        <v>522</v>
      </c>
      <c r="V4" s="633" t="s">
        <v>521</v>
      </c>
      <c r="W4" s="634"/>
      <c r="X4" s="508" t="s">
        <v>522</v>
      </c>
      <c r="Y4" s="296" t="s">
        <v>523</v>
      </c>
      <c r="Z4" s="637" t="s">
        <v>524</v>
      </c>
      <c r="AA4" s="638" t="s">
        <v>755</v>
      </c>
      <c r="AB4" s="635" t="s">
        <v>571</v>
      </c>
      <c r="AC4" s="632" t="s">
        <v>1328</v>
      </c>
    </row>
    <row r="5" spans="1:30" s="27" customFormat="1" ht="16.5" customHeight="1" x14ac:dyDescent="0.3">
      <c r="A5" s="641"/>
      <c r="B5" s="643"/>
      <c r="C5" s="494" t="s">
        <v>1502</v>
      </c>
      <c r="D5" s="645"/>
      <c r="E5" s="405" t="s">
        <v>1499</v>
      </c>
      <c r="F5" s="643"/>
      <c r="G5" s="643"/>
      <c r="H5" s="643"/>
      <c r="I5" s="259" t="s">
        <v>525</v>
      </c>
      <c r="J5" s="646">
        <v>2012</v>
      </c>
      <c r="K5" s="647"/>
      <c r="L5" s="508" t="s">
        <v>525</v>
      </c>
      <c r="M5" s="633">
        <v>2013</v>
      </c>
      <c r="N5" s="634"/>
      <c r="O5" s="480" t="s">
        <v>525</v>
      </c>
      <c r="P5" s="633">
        <v>2014</v>
      </c>
      <c r="Q5" s="634"/>
      <c r="R5" s="480" t="s">
        <v>525</v>
      </c>
      <c r="S5" s="633">
        <v>2015</v>
      </c>
      <c r="T5" s="634"/>
      <c r="U5" s="480" t="s">
        <v>525</v>
      </c>
      <c r="V5" s="633">
        <v>2016</v>
      </c>
      <c r="W5" s="634"/>
      <c r="X5" s="508" t="s">
        <v>525</v>
      </c>
      <c r="Y5" s="407" t="s">
        <v>525</v>
      </c>
      <c r="Z5" s="637"/>
      <c r="AA5" s="639"/>
      <c r="AB5" s="636"/>
      <c r="AC5" s="632"/>
    </row>
    <row r="6" spans="1:30" s="119" customFormat="1" ht="17.25" customHeight="1" x14ac:dyDescent="0.3">
      <c r="A6" s="11">
        <v>1</v>
      </c>
      <c r="B6" s="587" t="s">
        <v>208</v>
      </c>
      <c r="C6" s="588" t="s">
        <v>1624</v>
      </c>
      <c r="D6" s="514">
        <v>861007295353</v>
      </c>
      <c r="E6" s="514" t="s">
        <v>1625</v>
      </c>
      <c r="F6" s="497" t="s">
        <v>7</v>
      </c>
      <c r="G6" s="497" t="s">
        <v>8</v>
      </c>
      <c r="H6" s="515" t="s">
        <v>9</v>
      </c>
      <c r="I6" s="123">
        <v>10000</v>
      </c>
      <c r="J6" s="117" t="s">
        <v>616</v>
      </c>
      <c r="K6" s="117">
        <v>1200</v>
      </c>
      <c r="L6" s="118">
        <v>1200</v>
      </c>
      <c r="M6" s="117" t="s">
        <v>617</v>
      </c>
      <c r="N6" s="117">
        <f>3300+1200+1200+3600</f>
        <v>9300</v>
      </c>
      <c r="O6" s="123">
        <f>3250+1200+1200+3150</f>
        <v>8800</v>
      </c>
      <c r="P6" s="589">
        <v>0</v>
      </c>
      <c r="Q6" s="537">
        <v>0</v>
      </c>
      <c r="R6" s="538">
        <v>0</v>
      </c>
      <c r="S6" s="589">
        <v>0</v>
      </c>
      <c r="T6" s="537">
        <v>0</v>
      </c>
      <c r="U6" s="118">
        <v>0</v>
      </c>
      <c r="V6" s="589"/>
      <c r="W6" s="589"/>
      <c r="X6" s="118"/>
      <c r="Y6" s="123">
        <f t="shared" ref="Y6:Y37" si="0">I6-L6-O6-R6-U6-X6</f>
        <v>0</v>
      </c>
      <c r="Z6" s="511">
        <f t="shared" ref="Z6:Z37" si="1">I6-K6 -N6 -Q6-T6-W6</f>
        <v>-500</v>
      </c>
      <c r="AA6" s="123">
        <f t="shared" ref="AA6:AA37" si="2">L6+O6+R6+U6+X6</f>
        <v>10000</v>
      </c>
      <c r="AB6" s="236" t="s">
        <v>570</v>
      </c>
      <c r="AC6" s="292"/>
    </row>
    <row r="7" spans="1:30" s="119" customFormat="1" ht="17.25" customHeight="1" x14ac:dyDescent="0.3">
      <c r="A7" s="182">
        <v>2</v>
      </c>
      <c r="B7" s="65" t="s">
        <v>209</v>
      </c>
      <c r="C7" s="495" t="s">
        <v>1626</v>
      </c>
      <c r="D7" s="148" t="s">
        <v>10</v>
      </c>
      <c r="E7" s="148" t="s">
        <v>1627</v>
      </c>
      <c r="F7" s="66" t="s">
        <v>7</v>
      </c>
      <c r="G7" s="66" t="s">
        <v>8</v>
      </c>
      <c r="H7" s="67" t="s">
        <v>11</v>
      </c>
      <c r="I7" s="123">
        <v>10000</v>
      </c>
      <c r="J7" s="117">
        <v>0</v>
      </c>
      <c r="K7" s="117">
        <v>0</v>
      </c>
      <c r="L7" s="118">
        <v>0</v>
      </c>
      <c r="M7" s="117">
        <v>0</v>
      </c>
      <c r="N7" s="117">
        <v>0</v>
      </c>
      <c r="O7" s="123">
        <v>0</v>
      </c>
      <c r="P7" s="117">
        <v>0</v>
      </c>
      <c r="Q7" s="117">
        <v>0</v>
      </c>
      <c r="R7" s="123">
        <v>0</v>
      </c>
      <c r="S7" s="117" t="s">
        <v>1200</v>
      </c>
      <c r="T7" s="117">
        <f>3600+3600+2800</f>
        <v>10000</v>
      </c>
      <c r="U7" s="123">
        <f>3600+3600+2800</f>
        <v>10000</v>
      </c>
      <c r="V7" s="117"/>
      <c r="W7" s="117"/>
      <c r="X7" s="123"/>
      <c r="Y7" s="123">
        <f t="shared" si="0"/>
        <v>0</v>
      </c>
      <c r="Z7" s="511">
        <f t="shared" si="1"/>
        <v>0</v>
      </c>
      <c r="AA7" s="123">
        <f t="shared" si="2"/>
        <v>10000</v>
      </c>
      <c r="AB7" s="236" t="s">
        <v>570</v>
      </c>
      <c r="AC7" s="292">
        <f>10000-10000</f>
        <v>0</v>
      </c>
    </row>
    <row r="8" spans="1:30" s="27" customFormat="1" ht="17.25" customHeight="1" x14ac:dyDescent="0.3">
      <c r="A8" s="11">
        <v>3</v>
      </c>
      <c r="B8" s="40" t="s">
        <v>698</v>
      </c>
      <c r="C8" s="12" t="s">
        <v>1749</v>
      </c>
      <c r="D8" s="124" t="s">
        <v>699</v>
      </c>
      <c r="E8" s="124" t="s">
        <v>1750</v>
      </c>
      <c r="F8" s="12" t="s">
        <v>113</v>
      </c>
      <c r="G8" s="12" t="s">
        <v>8</v>
      </c>
      <c r="H8" s="86" t="s">
        <v>350</v>
      </c>
      <c r="I8" s="122">
        <v>10000</v>
      </c>
      <c r="J8" s="75">
        <v>0</v>
      </c>
      <c r="K8" s="75">
        <v>0</v>
      </c>
      <c r="L8" s="81">
        <v>0</v>
      </c>
      <c r="M8" s="75">
        <v>0</v>
      </c>
      <c r="N8" s="75">
        <v>0</v>
      </c>
      <c r="O8" s="122">
        <v>0</v>
      </c>
      <c r="P8" s="75">
        <v>0</v>
      </c>
      <c r="Q8" s="75">
        <v>0</v>
      </c>
      <c r="R8" s="122">
        <v>0</v>
      </c>
      <c r="S8" s="75" t="s">
        <v>892</v>
      </c>
      <c r="T8" s="75">
        <f>3600+4800</f>
        <v>8400</v>
      </c>
      <c r="U8" s="122">
        <f>3600+4800</f>
        <v>8400</v>
      </c>
      <c r="V8" s="75" t="s">
        <v>2890</v>
      </c>
      <c r="W8" s="75">
        <v>1600</v>
      </c>
      <c r="X8" s="122"/>
      <c r="Y8" s="145">
        <f t="shared" si="0"/>
        <v>1600</v>
      </c>
      <c r="Z8" s="294">
        <f t="shared" si="1"/>
        <v>0</v>
      </c>
      <c r="AA8" s="121">
        <f t="shared" si="2"/>
        <v>8400</v>
      </c>
      <c r="AB8" s="300" t="s">
        <v>570</v>
      </c>
      <c r="AC8" s="291" t="s">
        <v>2892</v>
      </c>
      <c r="AD8" s="27" t="s">
        <v>893</v>
      </c>
    </row>
    <row r="9" spans="1:30" s="119" customFormat="1" ht="17.25" customHeight="1" x14ac:dyDescent="0.3">
      <c r="A9" s="11">
        <v>4</v>
      </c>
      <c r="B9" s="590" t="s">
        <v>731</v>
      </c>
      <c r="C9" s="381" t="s">
        <v>1757</v>
      </c>
      <c r="D9" s="152">
        <v>900716035852</v>
      </c>
      <c r="E9" s="152" t="s">
        <v>1758</v>
      </c>
      <c r="F9" s="66" t="s">
        <v>113</v>
      </c>
      <c r="G9" s="66" t="s">
        <v>8</v>
      </c>
      <c r="H9" s="67" t="s">
        <v>324</v>
      </c>
      <c r="I9" s="123">
        <v>10000</v>
      </c>
      <c r="J9" s="117">
        <v>0</v>
      </c>
      <c r="K9" s="117">
        <v>0</v>
      </c>
      <c r="L9" s="118">
        <v>0</v>
      </c>
      <c r="M9" s="117">
        <v>0</v>
      </c>
      <c r="N9" s="117">
        <v>0</v>
      </c>
      <c r="O9" s="123">
        <v>0</v>
      </c>
      <c r="P9" s="117">
        <v>0</v>
      </c>
      <c r="Q9" s="117">
        <v>0</v>
      </c>
      <c r="R9" s="123">
        <v>0</v>
      </c>
      <c r="S9" s="117" t="s">
        <v>1109</v>
      </c>
      <c r="T9" s="117">
        <f>3600+3600+2800</f>
        <v>10000</v>
      </c>
      <c r="U9" s="123">
        <f>3600+3600+2800</f>
        <v>10000</v>
      </c>
      <c r="V9" s="117"/>
      <c r="W9" s="117"/>
      <c r="X9" s="123"/>
      <c r="Y9" s="123">
        <f t="shared" si="0"/>
        <v>0</v>
      </c>
      <c r="Z9" s="511">
        <f t="shared" si="1"/>
        <v>0</v>
      </c>
      <c r="AA9" s="123">
        <f t="shared" si="2"/>
        <v>10000</v>
      </c>
      <c r="AB9" s="237" t="s">
        <v>570</v>
      </c>
      <c r="AC9" s="292"/>
    </row>
    <row r="10" spans="1:30" ht="17.25" customHeight="1" x14ac:dyDescent="0.3">
      <c r="A10" s="182">
        <v>5</v>
      </c>
      <c r="B10" s="83" t="s">
        <v>952</v>
      </c>
      <c r="C10" s="82" t="s">
        <v>1766</v>
      </c>
      <c r="D10" s="125">
        <v>830618035153</v>
      </c>
      <c r="E10" s="125" t="s">
        <v>1285</v>
      </c>
      <c r="F10" s="82" t="s">
        <v>7</v>
      </c>
      <c r="G10" s="82" t="s">
        <v>8</v>
      </c>
      <c r="H10" s="85" t="s">
        <v>503</v>
      </c>
      <c r="I10" s="121">
        <v>10000</v>
      </c>
      <c r="J10" s="89">
        <v>0</v>
      </c>
      <c r="K10" s="89">
        <v>0</v>
      </c>
      <c r="L10" s="99">
        <v>0</v>
      </c>
      <c r="M10" s="89">
        <v>0</v>
      </c>
      <c r="N10" s="89">
        <v>0</v>
      </c>
      <c r="O10" s="121">
        <v>0</v>
      </c>
      <c r="P10" s="89">
        <v>0</v>
      </c>
      <c r="Q10" s="89">
        <v>0</v>
      </c>
      <c r="R10" s="121">
        <v>0</v>
      </c>
      <c r="S10" s="89">
        <v>0</v>
      </c>
      <c r="T10" s="89">
        <v>0</v>
      </c>
      <c r="U10" s="121">
        <v>0</v>
      </c>
      <c r="V10" s="89" t="s">
        <v>2891</v>
      </c>
      <c r="W10" s="89">
        <f>4800+3600+1600</f>
        <v>10000</v>
      </c>
      <c r="X10" s="121"/>
      <c r="Y10" s="145">
        <f t="shared" si="0"/>
        <v>10000</v>
      </c>
      <c r="Z10" s="294">
        <f t="shared" si="1"/>
        <v>0</v>
      </c>
      <c r="AA10" s="121">
        <f t="shared" si="2"/>
        <v>0</v>
      </c>
      <c r="AB10" s="406" t="s">
        <v>570</v>
      </c>
      <c r="AC10" s="290" t="s">
        <v>2892</v>
      </c>
    </row>
    <row r="11" spans="1:30" s="591" customFormat="1" x14ac:dyDescent="0.3">
      <c r="A11" s="11">
        <v>6</v>
      </c>
      <c r="B11" s="590" t="s">
        <v>993</v>
      </c>
      <c r="C11" s="381" t="s">
        <v>1773</v>
      </c>
      <c r="D11" s="516">
        <v>890727105848</v>
      </c>
      <c r="E11" s="516" t="s">
        <v>1774</v>
      </c>
      <c r="F11" s="66" t="s">
        <v>7</v>
      </c>
      <c r="G11" s="66" t="s">
        <v>8</v>
      </c>
      <c r="H11" s="67" t="s">
        <v>994</v>
      </c>
      <c r="I11" s="123">
        <v>10000</v>
      </c>
      <c r="J11" s="117">
        <v>0</v>
      </c>
      <c r="K11" s="117">
        <v>0</v>
      </c>
      <c r="L11" s="123">
        <v>0</v>
      </c>
      <c r="M11" s="151" t="s">
        <v>998</v>
      </c>
      <c r="N11" s="117">
        <f>3300+3600</f>
        <v>6900</v>
      </c>
      <c r="O11" s="123">
        <f>3250+3600</f>
        <v>6850</v>
      </c>
      <c r="P11" s="151" t="s">
        <v>999</v>
      </c>
      <c r="Q11" s="117">
        <v>3150</v>
      </c>
      <c r="R11" s="123">
        <v>3150</v>
      </c>
      <c r="S11" s="151"/>
      <c r="T11" s="117"/>
      <c r="U11" s="123"/>
      <c r="V11" s="117">
        <f>I11-K11-N11-Q11-T11</f>
        <v>-50</v>
      </c>
      <c r="W11" s="117">
        <f>I11-L11-O11-R11-U11</f>
        <v>0</v>
      </c>
      <c r="X11" s="422"/>
      <c r="Y11" s="123">
        <f t="shared" si="0"/>
        <v>0</v>
      </c>
      <c r="Z11" s="511">
        <f t="shared" si="1"/>
        <v>-50</v>
      </c>
      <c r="AA11" s="123">
        <f t="shared" si="2"/>
        <v>10000</v>
      </c>
      <c r="AB11" s="237" t="s">
        <v>570</v>
      </c>
      <c r="AC11" s="237"/>
    </row>
    <row r="12" spans="1:30" s="591" customFormat="1" x14ac:dyDescent="0.3">
      <c r="A12" s="182">
        <v>7</v>
      </c>
      <c r="B12" s="151" t="s">
        <v>1195</v>
      </c>
      <c r="C12" s="66" t="s">
        <v>1775</v>
      </c>
      <c r="D12" s="516">
        <v>880405525701</v>
      </c>
      <c r="E12" s="516" t="s">
        <v>1776</v>
      </c>
      <c r="F12" s="66" t="s">
        <v>7</v>
      </c>
      <c r="G12" s="66" t="s">
        <v>8</v>
      </c>
      <c r="H12" s="67" t="s">
        <v>682</v>
      </c>
      <c r="I12" s="123">
        <v>10000</v>
      </c>
      <c r="J12" s="151" t="s">
        <v>1196</v>
      </c>
      <c r="K12" s="117">
        <v>3300</v>
      </c>
      <c r="L12" s="123">
        <v>3250</v>
      </c>
      <c r="M12" s="151" t="s">
        <v>1197</v>
      </c>
      <c r="N12" s="117">
        <f>1200+1200+4800</f>
        <v>7200</v>
      </c>
      <c r="O12" s="123">
        <f>1200+1200+4350</f>
        <v>6750</v>
      </c>
      <c r="P12" s="151"/>
      <c r="Q12" s="117"/>
      <c r="R12" s="123"/>
      <c r="S12" s="151"/>
      <c r="T12" s="151"/>
      <c r="U12" s="422"/>
      <c r="V12" s="117">
        <f>I12-K12-N12-Q12-T12</f>
        <v>-500</v>
      </c>
      <c r="W12" s="117">
        <f>I12-L12-O12-R12-U12</f>
        <v>0</v>
      </c>
      <c r="X12" s="422"/>
      <c r="Y12" s="123">
        <f t="shared" si="0"/>
        <v>0</v>
      </c>
      <c r="Z12" s="511">
        <f t="shared" si="1"/>
        <v>-500</v>
      </c>
      <c r="AA12" s="123">
        <f t="shared" si="2"/>
        <v>10000</v>
      </c>
      <c r="AB12" s="237" t="s">
        <v>570</v>
      </c>
      <c r="AC12" s="237"/>
    </row>
    <row r="13" spans="1:30" s="119" customFormat="1" ht="17.25" customHeight="1" x14ac:dyDescent="0.3">
      <c r="A13" s="11">
        <v>8</v>
      </c>
      <c r="B13" s="65" t="s">
        <v>210</v>
      </c>
      <c r="C13" s="495" t="s">
        <v>1629</v>
      </c>
      <c r="D13" s="148" t="s">
        <v>12</v>
      </c>
      <c r="E13" s="148" t="s">
        <v>1628</v>
      </c>
      <c r="F13" s="66" t="s">
        <v>7</v>
      </c>
      <c r="G13" s="66" t="s">
        <v>8</v>
      </c>
      <c r="H13" s="67" t="s">
        <v>13</v>
      </c>
      <c r="I13" s="123">
        <v>10000</v>
      </c>
      <c r="J13" s="117">
        <v>0</v>
      </c>
      <c r="K13" s="117">
        <v>0</v>
      </c>
      <c r="L13" s="118">
        <v>0</v>
      </c>
      <c r="M13" s="117" t="s">
        <v>894</v>
      </c>
      <c r="N13" s="117">
        <f>7500+4050</f>
        <v>11550</v>
      </c>
      <c r="O13" s="123">
        <f>7450+2550</f>
        <v>10000</v>
      </c>
      <c r="P13" s="117"/>
      <c r="Q13" s="117"/>
      <c r="R13" s="123"/>
      <c r="S13" s="117"/>
      <c r="T13" s="117"/>
      <c r="U13" s="123"/>
      <c r="V13" s="117"/>
      <c r="W13" s="117"/>
      <c r="X13" s="123"/>
      <c r="Y13" s="123">
        <f t="shared" si="0"/>
        <v>0</v>
      </c>
      <c r="Z13" s="511">
        <f t="shared" si="1"/>
        <v>-1550</v>
      </c>
      <c r="AA13" s="123">
        <f t="shared" si="2"/>
        <v>10000</v>
      </c>
      <c r="AB13" s="236" t="s">
        <v>570</v>
      </c>
      <c r="AC13" s="292"/>
    </row>
    <row r="14" spans="1:30" s="119" customFormat="1" x14ac:dyDescent="0.3">
      <c r="A14" s="11">
        <v>9</v>
      </c>
      <c r="B14" s="151" t="s">
        <v>1336</v>
      </c>
      <c r="C14" s="66" t="s">
        <v>1777</v>
      </c>
      <c r="D14" s="516">
        <v>880305295144</v>
      </c>
      <c r="E14" s="516" t="s">
        <v>1778</v>
      </c>
      <c r="F14" s="66" t="s">
        <v>7</v>
      </c>
      <c r="G14" s="66" t="s">
        <v>8</v>
      </c>
      <c r="H14" s="67" t="s">
        <v>1816</v>
      </c>
      <c r="I14" s="123">
        <v>10000</v>
      </c>
      <c r="J14" s="117">
        <v>0</v>
      </c>
      <c r="K14" s="117">
        <v>0</v>
      </c>
      <c r="L14" s="123">
        <v>0</v>
      </c>
      <c r="M14" s="151" t="s">
        <v>2893</v>
      </c>
      <c r="N14" s="117">
        <f>3300+1200+3600</f>
        <v>8100</v>
      </c>
      <c r="O14" s="123">
        <f>3300+1200+3600</f>
        <v>8100</v>
      </c>
      <c r="P14" s="151" t="s">
        <v>1351</v>
      </c>
      <c r="Q14" s="117">
        <v>1900</v>
      </c>
      <c r="R14" s="123">
        <v>1900</v>
      </c>
      <c r="S14" s="151"/>
      <c r="T14" s="151"/>
      <c r="U14" s="422"/>
      <c r="V14" s="151"/>
      <c r="W14" s="151"/>
      <c r="X14" s="422"/>
      <c r="Y14" s="123">
        <f t="shared" si="0"/>
        <v>0</v>
      </c>
      <c r="Z14" s="511">
        <f t="shared" si="1"/>
        <v>0</v>
      </c>
      <c r="AA14" s="123">
        <f t="shared" si="2"/>
        <v>10000</v>
      </c>
      <c r="AB14" s="237" t="s">
        <v>570</v>
      </c>
      <c r="AC14" s="66"/>
    </row>
    <row r="15" spans="1:30" s="27" customFormat="1" ht="17.25" customHeight="1" x14ac:dyDescent="0.3">
      <c r="A15" s="182">
        <v>10</v>
      </c>
      <c r="B15" s="40" t="s">
        <v>211</v>
      </c>
      <c r="C15" s="315" t="s">
        <v>1631</v>
      </c>
      <c r="D15" s="297" t="s">
        <v>380</v>
      </c>
      <c r="E15" s="297" t="s">
        <v>1630</v>
      </c>
      <c r="F15" s="12" t="s">
        <v>113</v>
      </c>
      <c r="G15" s="12" t="s">
        <v>8</v>
      </c>
      <c r="H15" s="86" t="s">
        <v>381</v>
      </c>
      <c r="I15" s="122">
        <v>10000</v>
      </c>
      <c r="J15" s="75">
        <v>0</v>
      </c>
      <c r="K15" s="75">
        <v>0</v>
      </c>
      <c r="L15" s="81">
        <v>0</v>
      </c>
      <c r="M15" s="75">
        <v>0</v>
      </c>
      <c r="N15" s="75">
        <v>0</v>
      </c>
      <c r="O15" s="122">
        <v>0</v>
      </c>
      <c r="P15" s="75">
        <v>0</v>
      </c>
      <c r="Q15" s="75">
        <v>0</v>
      </c>
      <c r="R15" s="122">
        <v>0</v>
      </c>
      <c r="S15" s="75" t="s">
        <v>1199</v>
      </c>
      <c r="T15" s="75">
        <f>3600+4800</f>
        <v>8400</v>
      </c>
      <c r="U15" s="122">
        <f>3600+4800</f>
        <v>8400</v>
      </c>
      <c r="V15" s="75" t="s">
        <v>2770</v>
      </c>
      <c r="W15" s="75">
        <v>1600</v>
      </c>
      <c r="X15" s="122"/>
      <c r="Y15" s="145">
        <f t="shared" si="0"/>
        <v>1600</v>
      </c>
      <c r="Z15" s="294">
        <f t="shared" si="1"/>
        <v>0</v>
      </c>
      <c r="AA15" s="121">
        <f t="shared" si="2"/>
        <v>8400</v>
      </c>
      <c r="AB15" s="235" t="s">
        <v>570</v>
      </c>
      <c r="AC15" s="291" t="s">
        <v>2892</v>
      </c>
    </row>
    <row r="16" spans="1:30" s="27" customFormat="1" ht="17.25" customHeight="1" x14ac:dyDescent="0.3">
      <c r="A16" s="11">
        <v>11</v>
      </c>
      <c r="B16" s="40" t="s">
        <v>576</v>
      </c>
      <c r="C16" s="12" t="s">
        <v>1735</v>
      </c>
      <c r="D16" s="299">
        <v>860925465062</v>
      </c>
      <c r="E16" s="299" t="s">
        <v>1736</v>
      </c>
      <c r="F16" s="12" t="s">
        <v>113</v>
      </c>
      <c r="G16" s="12" t="s">
        <v>8</v>
      </c>
      <c r="H16" s="86" t="s">
        <v>577</v>
      </c>
      <c r="I16" s="122">
        <v>10000</v>
      </c>
      <c r="J16" s="75">
        <v>0</v>
      </c>
      <c r="K16" s="75">
        <v>0</v>
      </c>
      <c r="L16" s="81">
        <v>0</v>
      </c>
      <c r="M16" s="75">
        <v>0</v>
      </c>
      <c r="N16" s="75">
        <v>0</v>
      </c>
      <c r="O16" s="122">
        <v>0</v>
      </c>
      <c r="P16" s="75">
        <v>0</v>
      </c>
      <c r="Q16" s="75">
        <v>0</v>
      </c>
      <c r="R16" s="122">
        <v>0</v>
      </c>
      <c r="S16" s="75" t="s">
        <v>1201</v>
      </c>
      <c r="T16" s="75">
        <f>5650+3600</f>
        <v>9250</v>
      </c>
      <c r="U16" s="122">
        <f>5650+3600</f>
        <v>9250</v>
      </c>
      <c r="V16" s="75" t="s">
        <v>2772</v>
      </c>
      <c r="W16" s="75">
        <v>750</v>
      </c>
      <c r="X16" s="122"/>
      <c r="Y16" s="145">
        <f t="shared" si="0"/>
        <v>750</v>
      </c>
      <c r="Z16" s="294">
        <f t="shared" si="1"/>
        <v>0</v>
      </c>
      <c r="AA16" s="121">
        <f t="shared" si="2"/>
        <v>9250</v>
      </c>
      <c r="AB16" s="300" t="s">
        <v>570</v>
      </c>
      <c r="AC16" s="291" t="s">
        <v>2892</v>
      </c>
      <c r="AD16" s="27" t="s">
        <v>1016</v>
      </c>
    </row>
    <row r="17" spans="1:30" s="27" customFormat="1" ht="17.25" customHeight="1" x14ac:dyDescent="0.3">
      <c r="A17" s="182">
        <v>12</v>
      </c>
      <c r="B17" s="40" t="s">
        <v>390</v>
      </c>
      <c r="C17" s="315" t="s">
        <v>1632</v>
      </c>
      <c r="D17" s="297" t="s">
        <v>391</v>
      </c>
      <c r="E17" s="297" t="s">
        <v>1633</v>
      </c>
      <c r="F17" s="12" t="s">
        <v>113</v>
      </c>
      <c r="G17" s="12" t="s">
        <v>8</v>
      </c>
      <c r="H17" s="298" t="s">
        <v>385</v>
      </c>
      <c r="I17" s="122">
        <v>10000</v>
      </c>
      <c r="J17" s="75">
        <v>0</v>
      </c>
      <c r="K17" s="75">
        <v>0</v>
      </c>
      <c r="L17" s="81">
        <v>0</v>
      </c>
      <c r="M17" s="75">
        <v>0</v>
      </c>
      <c r="N17" s="75">
        <v>0</v>
      </c>
      <c r="O17" s="122">
        <v>0</v>
      </c>
      <c r="P17" s="75">
        <v>0</v>
      </c>
      <c r="Q17" s="75">
        <v>0</v>
      </c>
      <c r="R17" s="122">
        <v>0</v>
      </c>
      <c r="S17" s="75" t="s">
        <v>663</v>
      </c>
      <c r="T17" s="75">
        <v>2700</v>
      </c>
      <c r="U17" s="122">
        <v>2700</v>
      </c>
      <c r="V17" s="75" t="s">
        <v>2894</v>
      </c>
      <c r="W17" s="75">
        <f>1350+1350+1350+1350+1350+550</f>
        <v>7300</v>
      </c>
      <c r="X17" s="122"/>
      <c r="Y17" s="145">
        <f t="shared" si="0"/>
        <v>7300</v>
      </c>
      <c r="Z17" s="294">
        <f t="shared" si="1"/>
        <v>0</v>
      </c>
      <c r="AA17" s="121">
        <f t="shared" si="2"/>
        <v>2700</v>
      </c>
      <c r="AB17" s="235" t="s">
        <v>570</v>
      </c>
      <c r="AC17" s="291" t="s">
        <v>2892</v>
      </c>
    </row>
    <row r="18" spans="1:30" s="119" customFormat="1" ht="17.25" customHeight="1" x14ac:dyDescent="0.3">
      <c r="A18" s="11">
        <v>13</v>
      </c>
      <c r="B18" s="65" t="s">
        <v>212</v>
      </c>
      <c r="C18" s="513" t="s">
        <v>1634</v>
      </c>
      <c r="D18" s="144" t="s">
        <v>14</v>
      </c>
      <c r="E18" s="144" t="s">
        <v>1635</v>
      </c>
      <c r="F18" s="66" t="s">
        <v>7</v>
      </c>
      <c r="G18" s="66" t="s">
        <v>8</v>
      </c>
      <c r="H18" s="67" t="s">
        <v>9</v>
      </c>
      <c r="I18" s="123">
        <v>10000</v>
      </c>
      <c r="J18" s="117">
        <v>0</v>
      </c>
      <c r="K18" s="117">
        <v>0</v>
      </c>
      <c r="L18" s="118">
        <v>0</v>
      </c>
      <c r="M18" s="117" t="s">
        <v>1337</v>
      </c>
      <c r="N18" s="117">
        <f>7500+4050</f>
        <v>11550</v>
      </c>
      <c r="O18" s="123">
        <f>7450+2550</f>
        <v>10000</v>
      </c>
      <c r="P18" s="117"/>
      <c r="Q18" s="117"/>
      <c r="R18" s="123"/>
      <c r="S18" s="117"/>
      <c r="T18" s="117"/>
      <c r="U18" s="123"/>
      <c r="V18" s="117"/>
      <c r="W18" s="117"/>
      <c r="X18" s="123"/>
      <c r="Y18" s="123">
        <f t="shared" si="0"/>
        <v>0</v>
      </c>
      <c r="Z18" s="511">
        <f t="shared" si="1"/>
        <v>-1550</v>
      </c>
      <c r="AA18" s="123">
        <f t="shared" si="2"/>
        <v>10000</v>
      </c>
      <c r="AB18" s="236" t="s">
        <v>570</v>
      </c>
      <c r="AC18" s="292"/>
    </row>
    <row r="19" spans="1:30" s="119" customFormat="1" ht="17.25" customHeight="1" x14ac:dyDescent="0.3">
      <c r="A19" s="11">
        <v>14</v>
      </c>
      <c r="B19" s="65" t="s">
        <v>213</v>
      </c>
      <c r="C19" s="513" t="s">
        <v>1637</v>
      </c>
      <c r="D19" s="514">
        <v>891125035306</v>
      </c>
      <c r="E19" s="514" t="s">
        <v>1636</v>
      </c>
      <c r="F19" s="497" t="s">
        <v>7</v>
      </c>
      <c r="G19" s="497" t="s">
        <v>8</v>
      </c>
      <c r="H19" s="515" t="s">
        <v>15</v>
      </c>
      <c r="I19" s="123">
        <v>10000</v>
      </c>
      <c r="J19" s="117">
        <v>0</v>
      </c>
      <c r="K19" s="117">
        <v>0</v>
      </c>
      <c r="L19" s="118">
        <v>0</v>
      </c>
      <c r="M19" s="117" t="s">
        <v>690</v>
      </c>
      <c r="N19" s="117">
        <v>5700</v>
      </c>
      <c r="O19" s="123">
        <v>5650</v>
      </c>
      <c r="P19" s="117" t="s">
        <v>691</v>
      </c>
      <c r="Q19" s="117">
        <v>3600</v>
      </c>
      <c r="R19" s="123">
        <v>3600</v>
      </c>
      <c r="S19" s="117" t="s">
        <v>1061</v>
      </c>
      <c r="T19" s="117">
        <v>750</v>
      </c>
      <c r="U19" s="123">
        <v>750</v>
      </c>
      <c r="V19" s="117"/>
      <c r="W19" s="117"/>
      <c r="X19" s="123"/>
      <c r="Y19" s="123">
        <f t="shared" si="0"/>
        <v>0</v>
      </c>
      <c r="Z19" s="511">
        <f t="shared" si="1"/>
        <v>-50</v>
      </c>
      <c r="AA19" s="123">
        <f t="shared" si="2"/>
        <v>10000</v>
      </c>
      <c r="AB19" s="236" t="s">
        <v>570</v>
      </c>
      <c r="AC19" s="292">
        <f>10000-5650-3600-750</f>
        <v>0</v>
      </c>
    </row>
    <row r="20" spans="1:30" s="119" customFormat="1" ht="17.25" customHeight="1" x14ac:dyDescent="0.3">
      <c r="A20" s="182">
        <v>15</v>
      </c>
      <c r="B20" s="65" t="s">
        <v>214</v>
      </c>
      <c r="C20" s="513" t="s">
        <v>1639</v>
      </c>
      <c r="D20" s="144" t="s">
        <v>16</v>
      </c>
      <c r="E20" s="144" t="s">
        <v>1638</v>
      </c>
      <c r="F20" s="66" t="s">
        <v>113</v>
      </c>
      <c r="G20" s="66" t="s">
        <v>8</v>
      </c>
      <c r="H20" s="67" t="s">
        <v>379</v>
      </c>
      <c r="I20" s="123">
        <v>10000</v>
      </c>
      <c r="J20" s="117">
        <v>0</v>
      </c>
      <c r="K20" s="117">
        <v>0</v>
      </c>
      <c r="L20" s="118">
        <v>0</v>
      </c>
      <c r="M20" s="117" t="s">
        <v>1163</v>
      </c>
      <c r="N20" s="117">
        <v>1200</v>
      </c>
      <c r="O20" s="123">
        <v>1200</v>
      </c>
      <c r="P20" s="117" t="s">
        <v>1164</v>
      </c>
      <c r="Q20" s="117">
        <v>3600</v>
      </c>
      <c r="R20" s="123">
        <v>3600</v>
      </c>
      <c r="S20" s="117" t="s">
        <v>1165</v>
      </c>
      <c r="T20" s="117">
        <f>1200+1200+3600</f>
        <v>6000</v>
      </c>
      <c r="U20" s="123">
        <f>1200+1200+2800</f>
        <v>5200</v>
      </c>
      <c r="V20" s="117"/>
      <c r="W20" s="117"/>
      <c r="X20" s="123"/>
      <c r="Y20" s="123">
        <f t="shared" si="0"/>
        <v>0</v>
      </c>
      <c r="Z20" s="511">
        <f t="shared" si="1"/>
        <v>-800</v>
      </c>
      <c r="AA20" s="123">
        <f t="shared" si="2"/>
        <v>10000</v>
      </c>
      <c r="AB20" s="236" t="s">
        <v>570</v>
      </c>
      <c r="AC20" s="292"/>
      <c r="AD20" s="119" t="s">
        <v>1166</v>
      </c>
    </row>
    <row r="21" spans="1:30" s="119" customFormat="1" ht="17.25" customHeight="1" x14ac:dyDescent="0.3">
      <c r="A21" s="11">
        <v>16</v>
      </c>
      <c r="B21" s="65" t="s">
        <v>215</v>
      </c>
      <c r="C21" s="527" t="s">
        <v>1640</v>
      </c>
      <c r="D21" s="144" t="s">
        <v>129</v>
      </c>
      <c r="E21" s="144" t="s">
        <v>1641</v>
      </c>
      <c r="F21" s="66" t="s">
        <v>7</v>
      </c>
      <c r="G21" s="66" t="s">
        <v>8</v>
      </c>
      <c r="H21" s="67" t="s">
        <v>130</v>
      </c>
      <c r="I21" s="123">
        <v>10000</v>
      </c>
      <c r="J21" s="117">
        <v>0</v>
      </c>
      <c r="K21" s="117">
        <v>0</v>
      </c>
      <c r="L21" s="118">
        <v>0</v>
      </c>
      <c r="M21" s="117">
        <v>0</v>
      </c>
      <c r="N21" s="117">
        <v>0</v>
      </c>
      <c r="O21" s="123">
        <v>0</v>
      </c>
      <c r="P21" s="117">
        <v>0</v>
      </c>
      <c r="Q21" s="117">
        <v>0</v>
      </c>
      <c r="R21" s="123">
        <v>0</v>
      </c>
      <c r="S21" s="117" t="s">
        <v>1202</v>
      </c>
      <c r="T21" s="117">
        <f>2400+1200+3600</f>
        <v>7200</v>
      </c>
      <c r="U21" s="123">
        <f>2400+1200+3600</f>
        <v>7200</v>
      </c>
      <c r="V21" s="117" t="s">
        <v>2780</v>
      </c>
      <c r="W21" s="117">
        <f>2400+400</f>
        <v>2800</v>
      </c>
      <c r="X21" s="123"/>
      <c r="Y21" s="123">
        <f t="shared" si="0"/>
        <v>2800</v>
      </c>
      <c r="Z21" s="511">
        <f t="shared" si="1"/>
        <v>0</v>
      </c>
      <c r="AA21" s="123">
        <f t="shared" si="2"/>
        <v>7200</v>
      </c>
      <c r="AB21" s="236" t="s">
        <v>570</v>
      </c>
      <c r="AC21" s="292">
        <f>10000-7200</f>
        <v>2800</v>
      </c>
    </row>
    <row r="22" spans="1:30" s="119" customFormat="1" ht="17.25" customHeight="1" x14ac:dyDescent="0.3">
      <c r="A22" s="182">
        <v>17</v>
      </c>
      <c r="B22" s="65" t="s">
        <v>216</v>
      </c>
      <c r="C22" s="513" t="s">
        <v>1642</v>
      </c>
      <c r="D22" s="516" t="s">
        <v>485</v>
      </c>
      <c r="E22" s="516" t="s">
        <v>1643</v>
      </c>
      <c r="F22" s="66" t="s">
        <v>7</v>
      </c>
      <c r="G22" s="66" t="s">
        <v>8</v>
      </c>
      <c r="H22" s="67" t="s">
        <v>381</v>
      </c>
      <c r="I22" s="123">
        <v>10000</v>
      </c>
      <c r="J22" s="117">
        <v>0</v>
      </c>
      <c r="K22" s="117">
        <v>0</v>
      </c>
      <c r="L22" s="118">
        <v>0</v>
      </c>
      <c r="M22" s="117">
        <v>0</v>
      </c>
      <c r="N22" s="117">
        <v>0</v>
      </c>
      <c r="O22" s="123">
        <v>0</v>
      </c>
      <c r="P22" s="117">
        <v>0</v>
      </c>
      <c r="Q22" s="117">
        <v>0</v>
      </c>
      <c r="R22" s="123">
        <v>0</v>
      </c>
      <c r="S22" s="117" t="s">
        <v>1355</v>
      </c>
      <c r="T22" s="117">
        <f>5650+3600+750</f>
        <v>10000</v>
      </c>
      <c r="U22" s="123">
        <f>5650+3600+750</f>
        <v>10000</v>
      </c>
      <c r="V22" s="117"/>
      <c r="W22" s="117"/>
      <c r="X22" s="123"/>
      <c r="Y22" s="123">
        <f t="shared" si="0"/>
        <v>0</v>
      </c>
      <c r="Z22" s="511">
        <f t="shared" si="1"/>
        <v>0</v>
      </c>
      <c r="AA22" s="123">
        <f t="shared" si="2"/>
        <v>10000</v>
      </c>
      <c r="AB22" s="236" t="s">
        <v>570</v>
      </c>
      <c r="AC22" s="292">
        <f>10000-10000</f>
        <v>0</v>
      </c>
    </row>
    <row r="23" spans="1:30" ht="17.25" customHeight="1" x14ac:dyDescent="0.3">
      <c r="A23" s="11">
        <v>18</v>
      </c>
      <c r="B23" s="83" t="s">
        <v>1068</v>
      </c>
      <c r="C23" s="82" t="s">
        <v>1769</v>
      </c>
      <c r="D23" s="125">
        <v>890101035200</v>
      </c>
      <c r="E23" s="125" t="s">
        <v>1283</v>
      </c>
      <c r="F23" s="82" t="s">
        <v>7</v>
      </c>
      <c r="G23" s="82" t="s">
        <v>8</v>
      </c>
      <c r="H23" s="85" t="s">
        <v>1069</v>
      </c>
      <c r="I23" s="121">
        <v>10000</v>
      </c>
      <c r="J23" s="89">
        <v>0</v>
      </c>
      <c r="K23" s="89">
        <v>0</v>
      </c>
      <c r="L23" s="99">
        <v>0</v>
      </c>
      <c r="M23" s="89">
        <v>0</v>
      </c>
      <c r="N23" s="89">
        <v>0</v>
      </c>
      <c r="O23" s="121">
        <v>0</v>
      </c>
      <c r="P23" s="89">
        <v>0</v>
      </c>
      <c r="Q23" s="89">
        <v>0</v>
      </c>
      <c r="R23" s="121">
        <v>0</v>
      </c>
      <c r="S23" s="89">
        <v>0</v>
      </c>
      <c r="T23" s="89">
        <v>0</v>
      </c>
      <c r="U23" s="121">
        <v>0</v>
      </c>
      <c r="V23" s="89" t="s">
        <v>2800</v>
      </c>
      <c r="W23" s="89">
        <v>3600</v>
      </c>
      <c r="X23" s="121"/>
      <c r="Y23" s="145">
        <f t="shared" si="0"/>
        <v>10000</v>
      </c>
      <c r="Z23" s="294">
        <f t="shared" si="1"/>
        <v>6400</v>
      </c>
      <c r="AA23" s="121">
        <f t="shared" si="2"/>
        <v>0</v>
      </c>
      <c r="AB23" s="406"/>
      <c r="AC23" s="290">
        <f>10000</f>
        <v>10000</v>
      </c>
    </row>
    <row r="24" spans="1:30" s="119" customFormat="1" ht="17.25" customHeight="1" x14ac:dyDescent="0.3">
      <c r="A24" s="11">
        <v>19</v>
      </c>
      <c r="B24" s="65" t="s">
        <v>217</v>
      </c>
      <c r="C24" s="495" t="s">
        <v>1644</v>
      </c>
      <c r="D24" s="148" t="s">
        <v>18</v>
      </c>
      <c r="E24" s="148" t="s">
        <v>1645</v>
      </c>
      <c r="F24" s="66" t="s">
        <v>113</v>
      </c>
      <c r="G24" s="66" t="s">
        <v>8</v>
      </c>
      <c r="H24" s="67" t="s">
        <v>379</v>
      </c>
      <c r="I24" s="123">
        <v>10000</v>
      </c>
      <c r="J24" s="117">
        <v>0</v>
      </c>
      <c r="K24" s="117">
        <v>0</v>
      </c>
      <c r="L24" s="118">
        <v>0</v>
      </c>
      <c r="M24" s="117">
        <v>0</v>
      </c>
      <c r="N24" s="117">
        <v>0</v>
      </c>
      <c r="O24" s="123">
        <v>0</v>
      </c>
      <c r="P24" s="117" t="s">
        <v>675</v>
      </c>
      <c r="Q24" s="117">
        <f>3600+4800</f>
        <v>8400</v>
      </c>
      <c r="R24" s="123">
        <f>3600+4800</f>
        <v>8400</v>
      </c>
      <c r="S24" s="117" t="s">
        <v>676</v>
      </c>
      <c r="T24" s="117">
        <v>1600</v>
      </c>
      <c r="U24" s="123">
        <v>1600</v>
      </c>
      <c r="V24" s="117"/>
      <c r="W24" s="117"/>
      <c r="X24" s="123"/>
      <c r="Y24" s="145">
        <f t="shared" si="0"/>
        <v>0</v>
      </c>
      <c r="Z24" s="294">
        <f t="shared" si="1"/>
        <v>0</v>
      </c>
      <c r="AA24" s="121">
        <f t="shared" si="2"/>
        <v>10000</v>
      </c>
      <c r="AB24" s="236" t="s">
        <v>570</v>
      </c>
      <c r="AC24" s="292"/>
    </row>
    <row r="25" spans="1:30" s="27" customFormat="1" ht="17.25" customHeight="1" x14ac:dyDescent="0.3">
      <c r="A25" s="182">
        <v>20</v>
      </c>
      <c r="B25" s="40" t="s">
        <v>315</v>
      </c>
      <c r="C25" s="315" t="s">
        <v>1646</v>
      </c>
      <c r="D25" s="297" t="s">
        <v>316</v>
      </c>
      <c r="E25" s="297" t="s">
        <v>1647</v>
      </c>
      <c r="F25" s="12" t="s">
        <v>113</v>
      </c>
      <c r="G25" s="12" t="s">
        <v>8</v>
      </c>
      <c r="H25" s="86" t="s">
        <v>25</v>
      </c>
      <c r="I25" s="122">
        <v>10000</v>
      </c>
      <c r="J25" s="75">
        <v>0</v>
      </c>
      <c r="K25" s="75">
        <v>0</v>
      </c>
      <c r="L25" s="81">
        <v>0</v>
      </c>
      <c r="M25" s="75">
        <v>0</v>
      </c>
      <c r="N25" s="75">
        <v>0</v>
      </c>
      <c r="O25" s="122">
        <v>0</v>
      </c>
      <c r="P25" s="75">
        <v>0</v>
      </c>
      <c r="Q25" s="75">
        <v>0</v>
      </c>
      <c r="R25" s="122">
        <v>0</v>
      </c>
      <c r="S25" s="75" t="s">
        <v>1356</v>
      </c>
      <c r="T25" s="75">
        <f>5700+1200</f>
        <v>6900</v>
      </c>
      <c r="U25" s="122">
        <f>5650+1200</f>
        <v>6850</v>
      </c>
      <c r="V25" s="75" t="s">
        <v>2748</v>
      </c>
      <c r="W25" s="75">
        <v>3150</v>
      </c>
      <c r="X25" s="122"/>
      <c r="Y25" s="145">
        <f t="shared" si="0"/>
        <v>3150</v>
      </c>
      <c r="Z25" s="294">
        <f t="shared" si="1"/>
        <v>-50</v>
      </c>
      <c r="AA25" s="121">
        <f t="shared" si="2"/>
        <v>6850</v>
      </c>
      <c r="AB25" s="235" t="s">
        <v>570</v>
      </c>
      <c r="AC25" s="291">
        <f>10000-5650-1200</f>
        <v>3150</v>
      </c>
    </row>
    <row r="26" spans="1:30" s="119" customFormat="1" ht="17.25" customHeight="1" x14ac:dyDescent="0.3">
      <c r="A26" s="11">
        <v>21</v>
      </c>
      <c r="B26" s="151" t="s">
        <v>320</v>
      </c>
      <c r="C26" s="517" t="s">
        <v>1648</v>
      </c>
      <c r="D26" s="148" t="s">
        <v>1206</v>
      </c>
      <c r="E26" s="148" t="s">
        <v>1649</v>
      </c>
      <c r="F26" s="66" t="s">
        <v>113</v>
      </c>
      <c r="G26" s="66" t="s">
        <v>8</v>
      </c>
      <c r="H26" s="67" t="s">
        <v>381</v>
      </c>
      <c r="I26" s="123">
        <v>10000</v>
      </c>
      <c r="J26" s="117">
        <v>0</v>
      </c>
      <c r="K26" s="117">
        <v>0</v>
      </c>
      <c r="L26" s="118">
        <v>0</v>
      </c>
      <c r="M26" s="117">
        <v>0</v>
      </c>
      <c r="N26" s="117">
        <v>0</v>
      </c>
      <c r="O26" s="123">
        <v>0</v>
      </c>
      <c r="P26" s="117">
        <v>0</v>
      </c>
      <c r="Q26" s="117">
        <v>0</v>
      </c>
      <c r="R26" s="123">
        <v>0</v>
      </c>
      <c r="S26" s="117" t="s">
        <v>1205</v>
      </c>
      <c r="T26" s="117">
        <f>5700+3600+750</f>
        <v>10050</v>
      </c>
      <c r="U26" s="123">
        <f>5650+3600+750</f>
        <v>10000</v>
      </c>
      <c r="V26" s="117"/>
      <c r="W26" s="117"/>
      <c r="X26" s="123"/>
      <c r="Y26" s="123">
        <f t="shared" si="0"/>
        <v>0</v>
      </c>
      <c r="Z26" s="511">
        <f t="shared" si="1"/>
        <v>-50</v>
      </c>
      <c r="AA26" s="123">
        <f t="shared" si="2"/>
        <v>10000</v>
      </c>
      <c r="AB26" s="236" t="s">
        <v>570</v>
      </c>
      <c r="AC26" s="292">
        <f>10000-5650-3600-750</f>
        <v>0</v>
      </c>
      <c r="AD26" s="119" t="s">
        <v>2753</v>
      </c>
    </row>
    <row r="27" spans="1:30" s="27" customFormat="1" ht="17.25" customHeight="1" x14ac:dyDescent="0.3">
      <c r="A27" s="182">
        <v>22</v>
      </c>
      <c r="B27" s="26" t="s">
        <v>218</v>
      </c>
      <c r="C27" s="314" t="s">
        <v>1651</v>
      </c>
      <c r="D27" s="297" t="s">
        <v>19</v>
      </c>
      <c r="E27" s="297" t="s">
        <v>1650</v>
      </c>
      <c r="F27" s="12" t="s">
        <v>7</v>
      </c>
      <c r="G27" s="12" t="s">
        <v>8</v>
      </c>
      <c r="H27" s="86" t="s">
        <v>20</v>
      </c>
      <c r="I27" s="122">
        <v>9600</v>
      </c>
      <c r="J27" s="75">
        <v>0</v>
      </c>
      <c r="K27" s="75">
        <v>0</v>
      </c>
      <c r="L27" s="81">
        <v>0</v>
      </c>
      <c r="M27" s="75" t="s">
        <v>1204</v>
      </c>
      <c r="N27" s="75">
        <f>1200+3600</f>
        <v>4800</v>
      </c>
      <c r="O27" s="122">
        <f>1200+3600</f>
        <v>4800</v>
      </c>
      <c r="P27" s="75" t="s">
        <v>1203</v>
      </c>
      <c r="Q27" s="75">
        <v>3600</v>
      </c>
      <c r="R27" s="122">
        <v>3600</v>
      </c>
      <c r="S27" s="75">
        <v>0</v>
      </c>
      <c r="T27" s="75">
        <v>0</v>
      </c>
      <c r="U27" s="122">
        <v>0</v>
      </c>
      <c r="V27" s="75" t="s">
        <v>2936</v>
      </c>
      <c r="W27" s="75">
        <v>1200</v>
      </c>
      <c r="X27" s="122"/>
      <c r="Y27" s="145">
        <f t="shared" si="0"/>
        <v>1200</v>
      </c>
      <c r="Z27" s="294">
        <f t="shared" si="1"/>
        <v>0</v>
      </c>
      <c r="AA27" s="121">
        <f t="shared" si="2"/>
        <v>8400</v>
      </c>
      <c r="AB27" s="235" t="s">
        <v>570</v>
      </c>
      <c r="AC27" s="291">
        <f>9600-4800-3600</f>
        <v>1200</v>
      </c>
    </row>
    <row r="28" spans="1:30" s="119" customFormat="1" ht="17.25" customHeight="1" x14ac:dyDescent="0.3">
      <c r="A28" s="11">
        <v>23</v>
      </c>
      <c r="B28" s="65" t="s">
        <v>219</v>
      </c>
      <c r="C28" s="495" t="s">
        <v>1652</v>
      </c>
      <c r="D28" s="148" t="s">
        <v>21</v>
      </c>
      <c r="E28" s="148" t="s">
        <v>1653</v>
      </c>
      <c r="F28" s="66" t="s">
        <v>113</v>
      </c>
      <c r="G28" s="66" t="s">
        <v>8</v>
      </c>
      <c r="H28" s="67" t="s">
        <v>326</v>
      </c>
      <c r="I28" s="123">
        <v>4800</v>
      </c>
      <c r="J28" s="117">
        <v>0</v>
      </c>
      <c r="K28" s="117">
        <v>0</v>
      </c>
      <c r="L28" s="118">
        <v>0</v>
      </c>
      <c r="M28" s="117">
        <v>0</v>
      </c>
      <c r="N28" s="117">
        <v>0</v>
      </c>
      <c r="O28" s="123">
        <v>0</v>
      </c>
      <c r="P28" s="117">
        <v>0</v>
      </c>
      <c r="Q28" s="117">
        <v>0</v>
      </c>
      <c r="R28" s="123">
        <v>0</v>
      </c>
      <c r="S28" s="117" t="s">
        <v>756</v>
      </c>
      <c r="T28" s="117">
        <f>1200+3600</f>
        <v>4800</v>
      </c>
      <c r="U28" s="123">
        <f>1200+3600</f>
        <v>4800</v>
      </c>
      <c r="V28" s="117"/>
      <c r="W28" s="117"/>
      <c r="X28" s="123"/>
      <c r="Y28" s="145">
        <f t="shared" si="0"/>
        <v>0</v>
      </c>
      <c r="Z28" s="294">
        <f t="shared" si="1"/>
        <v>0</v>
      </c>
      <c r="AA28" s="121">
        <f t="shared" si="2"/>
        <v>4800</v>
      </c>
      <c r="AB28" s="236" t="s">
        <v>570</v>
      </c>
      <c r="AC28" s="292"/>
      <c r="AD28" s="119" t="s">
        <v>738</v>
      </c>
    </row>
    <row r="29" spans="1:30" s="27" customFormat="1" ht="17.25" customHeight="1" x14ac:dyDescent="0.3">
      <c r="A29" s="11">
        <v>24</v>
      </c>
      <c r="B29" s="40" t="s">
        <v>686</v>
      </c>
      <c r="C29" s="12" t="s">
        <v>1743</v>
      </c>
      <c r="D29" s="124" t="s">
        <v>687</v>
      </c>
      <c r="E29" s="124" t="s">
        <v>1744</v>
      </c>
      <c r="F29" s="12" t="s">
        <v>113</v>
      </c>
      <c r="G29" s="12" t="s">
        <v>8</v>
      </c>
      <c r="H29" s="86" t="s">
        <v>350</v>
      </c>
      <c r="I29" s="122">
        <v>10000</v>
      </c>
      <c r="J29" s="75">
        <v>0</v>
      </c>
      <c r="K29" s="75">
        <v>0</v>
      </c>
      <c r="L29" s="81">
        <v>0</v>
      </c>
      <c r="M29" s="75">
        <v>0</v>
      </c>
      <c r="N29" s="75">
        <v>0</v>
      </c>
      <c r="O29" s="122">
        <v>0</v>
      </c>
      <c r="P29" s="75">
        <v>0</v>
      </c>
      <c r="Q29" s="75">
        <v>0</v>
      </c>
      <c r="R29" s="122">
        <v>0</v>
      </c>
      <c r="S29" s="75" t="s">
        <v>872</v>
      </c>
      <c r="T29" s="75">
        <f>3600+4800</f>
        <v>8400</v>
      </c>
      <c r="U29" s="122">
        <f>3600+4800</f>
        <v>8400</v>
      </c>
      <c r="V29" s="75" t="s">
        <v>2937</v>
      </c>
      <c r="W29" s="75">
        <v>1600</v>
      </c>
      <c r="X29" s="122"/>
      <c r="Y29" s="145">
        <f t="shared" si="0"/>
        <v>1600</v>
      </c>
      <c r="Z29" s="294">
        <f t="shared" si="1"/>
        <v>0</v>
      </c>
      <c r="AA29" s="121">
        <f t="shared" si="2"/>
        <v>8400</v>
      </c>
      <c r="AB29" s="300" t="s">
        <v>570</v>
      </c>
      <c r="AC29" s="291">
        <f>10000-8400</f>
        <v>1600</v>
      </c>
    </row>
    <row r="30" spans="1:30" s="119" customFormat="1" ht="17.25" customHeight="1" x14ac:dyDescent="0.3">
      <c r="A30" s="182">
        <v>25</v>
      </c>
      <c r="B30" s="151" t="s">
        <v>317</v>
      </c>
      <c r="C30" s="66" t="s">
        <v>1654</v>
      </c>
      <c r="D30" s="148" t="s">
        <v>318</v>
      </c>
      <c r="E30" s="147" t="s">
        <v>1655</v>
      </c>
      <c r="F30" s="66" t="s">
        <v>113</v>
      </c>
      <c r="G30" s="66" t="s">
        <v>8</v>
      </c>
      <c r="H30" s="67" t="s">
        <v>379</v>
      </c>
      <c r="I30" s="123">
        <v>10000</v>
      </c>
      <c r="J30" s="117">
        <v>0</v>
      </c>
      <c r="K30" s="117">
        <v>0</v>
      </c>
      <c r="L30" s="118">
        <v>0</v>
      </c>
      <c r="M30" s="117">
        <v>0</v>
      </c>
      <c r="N30" s="117">
        <v>0</v>
      </c>
      <c r="O30" s="123">
        <v>0</v>
      </c>
      <c r="P30" s="512">
        <v>0</v>
      </c>
      <c r="Q30" s="117">
        <v>0</v>
      </c>
      <c r="R30" s="123">
        <v>0</v>
      </c>
      <c r="S30" s="117" t="s">
        <v>1357</v>
      </c>
      <c r="T30" s="117">
        <f>1200+1200+1200+1200+1200+1200+1200+1200+400</f>
        <v>10000</v>
      </c>
      <c r="U30" s="123">
        <f>1200+1200+1200+1200+1200+1200+1200+1200+400</f>
        <v>10000</v>
      </c>
      <c r="V30" s="117"/>
      <c r="W30" s="117"/>
      <c r="X30" s="123"/>
      <c r="Y30" s="123">
        <f t="shared" si="0"/>
        <v>0</v>
      </c>
      <c r="Z30" s="511">
        <f t="shared" si="1"/>
        <v>0</v>
      </c>
      <c r="AA30" s="123">
        <f t="shared" si="2"/>
        <v>10000</v>
      </c>
      <c r="AB30" s="236" t="s">
        <v>570</v>
      </c>
      <c r="AC30" s="292">
        <f>10000-10000</f>
        <v>0</v>
      </c>
    </row>
    <row r="31" spans="1:30" s="27" customFormat="1" ht="17.25" customHeight="1" x14ac:dyDescent="0.3">
      <c r="A31" s="11">
        <v>26</v>
      </c>
      <c r="B31" s="26" t="s">
        <v>220</v>
      </c>
      <c r="C31" s="314" t="s">
        <v>1656</v>
      </c>
      <c r="D31" s="297" t="s">
        <v>22</v>
      </c>
      <c r="E31" s="297" t="s">
        <v>1657</v>
      </c>
      <c r="F31" s="12" t="s">
        <v>113</v>
      </c>
      <c r="G31" s="12" t="s">
        <v>8</v>
      </c>
      <c r="H31" s="86" t="s">
        <v>23</v>
      </c>
      <c r="I31" s="122">
        <v>10000</v>
      </c>
      <c r="J31" s="75">
        <v>0</v>
      </c>
      <c r="K31" s="75">
        <v>0</v>
      </c>
      <c r="L31" s="81">
        <v>0</v>
      </c>
      <c r="M31" s="75">
        <v>0</v>
      </c>
      <c r="N31" s="75">
        <v>0</v>
      </c>
      <c r="O31" s="122">
        <v>0</v>
      </c>
      <c r="P31" s="75" t="s">
        <v>1048</v>
      </c>
      <c r="Q31" s="75">
        <v>2400</v>
      </c>
      <c r="R31" s="122">
        <v>2400</v>
      </c>
      <c r="S31" s="75">
        <v>0</v>
      </c>
      <c r="T31" s="75">
        <v>0</v>
      </c>
      <c r="U31" s="122">
        <v>0</v>
      </c>
      <c r="V31" s="75" t="s">
        <v>2938</v>
      </c>
      <c r="W31" s="75">
        <f>1200+1200+1200+1200+1200+1600</f>
        <v>7600</v>
      </c>
      <c r="X31" s="122"/>
      <c r="Y31" s="145">
        <f t="shared" si="0"/>
        <v>7600</v>
      </c>
      <c r="Z31" s="294">
        <f t="shared" si="1"/>
        <v>0</v>
      </c>
      <c r="AA31" s="121">
        <f t="shared" si="2"/>
        <v>2400</v>
      </c>
      <c r="AB31" s="235" t="s">
        <v>570</v>
      </c>
      <c r="AC31" s="291">
        <f>10000-2400</f>
        <v>7600</v>
      </c>
      <c r="AD31" s="27" t="s">
        <v>1047</v>
      </c>
    </row>
    <row r="32" spans="1:30" s="27" customFormat="1" ht="17.25" customHeight="1" x14ac:dyDescent="0.3">
      <c r="A32" s="182">
        <v>27</v>
      </c>
      <c r="B32" s="26" t="s">
        <v>221</v>
      </c>
      <c r="C32" s="314" t="s">
        <v>1658</v>
      </c>
      <c r="D32" s="297" t="s">
        <v>24</v>
      </c>
      <c r="E32" s="297" t="s">
        <v>1659</v>
      </c>
      <c r="F32" s="12" t="s">
        <v>113</v>
      </c>
      <c r="G32" s="12" t="s">
        <v>8</v>
      </c>
      <c r="H32" s="86" t="s">
        <v>25</v>
      </c>
      <c r="I32" s="122">
        <v>10000</v>
      </c>
      <c r="J32" s="75">
        <v>0</v>
      </c>
      <c r="K32" s="75">
        <v>0</v>
      </c>
      <c r="L32" s="81">
        <v>0</v>
      </c>
      <c r="M32" s="75">
        <v>0</v>
      </c>
      <c r="N32" s="75">
        <v>0</v>
      </c>
      <c r="O32" s="122">
        <v>0</v>
      </c>
      <c r="P32" s="75" t="s">
        <v>960</v>
      </c>
      <c r="Q32" s="75">
        <v>5700</v>
      </c>
      <c r="R32" s="122">
        <v>5700</v>
      </c>
      <c r="S32" s="75">
        <v>0</v>
      </c>
      <c r="T32" s="75">
        <v>0</v>
      </c>
      <c r="U32" s="122">
        <v>0</v>
      </c>
      <c r="V32" s="75" t="s">
        <v>2939</v>
      </c>
      <c r="W32" s="75">
        <f>3600+700</f>
        <v>4300</v>
      </c>
      <c r="X32" s="122"/>
      <c r="Y32" s="145">
        <f t="shared" si="0"/>
        <v>4300</v>
      </c>
      <c r="Z32" s="294">
        <f t="shared" si="1"/>
        <v>0</v>
      </c>
      <c r="AA32" s="121">
        <f t="shared" si="2"/>
        <v>5700</v>
      </c>
      <c r="AB32" s="235" t="s">
        <v>570</v>
      </c>
      <c r="AC32" s="291">
        <f>10000-5700</f>
        <v>4300</v>
      </c>
    </row>
    <row r="33" spans="1:30" s="119" customFormat="1" ht="17.25" customHeight="1" x14ac:dyDescent="0.3">
      <c r="A33" s="11">
        <v>28</v>
      </c>
      <c r="B33" s="65" t="s">
        <v>222</v>
      </c>
      <c r="C33" s="495" t="s">
        <v>1661</v>
      </c>
      <c r="D33" s="148" t="s">
        <v>26</v>
      </c>
      <c r="E33" s="148" t="s">
        <v>1660</v>
      </c>
      <c r="F33" s="66" t="s">
        <v>7</v>
      </c>
      <c r="G33" s="66" t="s">
        <v>8</v>
      </c>
      <c r="H33" s="67" t="s">
        <v>27</v>
      </c>
      <c r="I33" s="123">
        <v>10000</v>
      </c>
      <c r="J33" s="117">
        <v>0</v>
      </c>
      <c r="K33" s="117">
        <v>0</v>
      </c>
      <c r="L33" s="118">
        <v>0</v>
      </c>
      <c r="M33" s="117" t="s">
        <v>712</v>
      </c>
      <c r="N33" s="117">
        <f>6900+3600</f>
        <v>10500</v>
      </c>
      <c r="O33" s="123">
        <f>6850+3150</f>
        <v>10000</v>
      </c>
      <c r="P33" s="117">
        <v>0</v>
      </c>
      <c r="Q33" s="117">
        <v>0</v>
      </c>
      <c r="R33" s="123">
        <v>0</v>
      </c>
      <c r="S33" s="117">
        <v>0</v>
      </c>
      <c r="T33" s="117">
        <v>0</v>
      </c>
      <c r="U33" s="123">
        <v>0</v>
      </c>
      <c r="V33" s="117"/>
      <c r="W33" s="117"/>
      <c r="X33" s="123"/>
      <c r="Y33" s="123">
        <f t="shared" si="0"/>
        <v>0</v>
      </c>
      <c r="Z33" s="511">
        <f t="shared" si="1"/>
        <v>-500</v>
      </c>
      <c r="AA33" s="123">
        <f t="shared" si="2"/>
        <v>10000</v>
      </c>
      <c r="AB33" s="236" t="s">
        <v>570</v>
      </c>
      <c r="AC33" s="292"/>
    </row>
    <row r="34" spans="1:30" s="119" customFormat="1" ht="17.25" customHeight="1" x14ac:dyDescent="0.3">
      <c r="A34" s="11">
        <v>29</v>
      </c>
      <c r="B34" s="65" t="s">
        <v>223</v>
      </c>
      <c r="C34" s="495" t="s">
        <v>1543</v>
      </c>
      <c r="D34" s="148" t="s">
        <v>205</v>
      </c>
      <c r="E34" s="148" t="s">
        <v>1662</v>
      </c>
      <c r="F34" s="66" t="s">
        <v>113</v>
      </c>
      <c r="G34" s="66" t="s">
        <v>8</v>
      </c>
      <c r="H34" s="67" t="s">
        <v>322</v>
      </c>
      <c r="I34" s="123">
        <v>9600</v>
      </c>
      <c r="J34" s="117">
        <v>0</v>
      </c>
      <c r="K34" s="117">
        <v>0</v>
      </c>
      <c r="L34" s="118">
        <v>0</v>
      </c>
      <c r="M34" s="117">
        <v>0</v>
      </c>
      <c r="N34" s="117">
        <v>0</v>
      </c>
      <c r="O34" s="123">
        <v>0</v>
      </c>
      <c r="P34" s="117">
        <v>0</v>
      </c>
      <c r="Q34" s="117">
        <v>0</v>
      </c>
      <c r="R34" s="123">
        <v>0</v>
      </c>
      <c r="S34" s="117" t="s">
        <v>2752</v>
      </c>
      <c r="T34" s="117">
        <f>3600+3600+2400</f>
        <v>9600</v>
      </c>
      <c r="U34" s="123">
        <f>3600+3600+2400</f>
        <v>9600</v>
      </c>
      <c r="V34" s="117"/>
      <c r="W34" s="117"/>
      <c r="X34" s="123"/>
      <c r="Y34" s="123">
        <f t="shared" si="0"/>
        <v>0</v>
      </c>
      <c r="Z34" s="511">
        <f t="shared" si="1"/>
        <v>0</v>
      </c>
      <c r="AA34" s="123">
        <f t="shared" si="2"/>
        <v>9600</v>
      </c>
      <c r="AB34" s="236" t="s">
        <v>570</v>
      </c>
      <c r="AC34" s="237" t="s">
        <v>789</v>
      </c>
    </row>
    <row r="35" spans="1:30" s="27" customFormat="1" ht="17.25" customHeight="1" x14ac:dyDescent="0.3">
      <c r="A35" s="182">
        <v>30</v>
      </c>
      <c r="B35" s="26" t="s">
        <v>224</v>
      </c>
      <c r="C35" s="314" t="s">
        <v>1663</v>
      </c>
      <c r="D35" s="297" t="s">
        <v>28</v>
      </c>
      <c r="E35" s="297" t="s">
        <v>1664</v>
      </c>
      <c r="F35" s="12" t="s">
        <v>113</v>
      </c>
      <c r="G35" s="12" t="s">
        <v>8</v>
      </c>
      <c r="H35" s="86" t="s">
        <v>116</v>
      </c>
      <c r="I35" s="122">
        <v>10000</v>
      </c>
      <c r="J35" s="75">
        <v>0</v>
      </c>
      <c r="K35" s="75">
        <v>0</v>
      </c>
      <c r="L35" s="81">
        <v>0</v>
      </c>
      <c r="M35" s="75">
        <v>0</v>
      </c>
      <c r="N35" s="75">
        <v>0</v>
      </c>
      <c r="O35" s="122">
        <v>0</v>
      </c>
      <c r="P35" s="75" t="s">
        <v>841</v>
      </c>
      <c r="Q35" s="75">
        <v>2400</v>
      </c>
      <c r="R35" s="122">
        <v>2400</v>
      </c>
      <c r="S35" s="75" t="s">
        <v>1354</v>
      </c>
      <c r="T35" s="75">
        <v>6000</v>
      </c>
      <c r="U35" s="122">
        <f>6000</f>
        <v>6000</v>
      </c>
      <c r="V35" s="75" t="s">
        <v>2773</v>
      </c>
      <c r="W35" s="75">
        <v>1600</v>
      </c>
      <c r="X35" s="122"/>
      <c r="Y35" s="145">
        <f t="shared" si="0"/>
        <v>1600</v>
      </c>
      <c r="Z35" s="294">
        <f t="shared" si="1"/>
        <v>0</v>
      </c>
      <c r="AA35" s="121">
        <f t="shared" si="2"/>
        <v>8400</v>
      </c>
      <c r="AB35" s="235" t="s">
        <v>570</v>
      </c>
      <c r="AC35" s="291">
        <f>10000-2400-6000</f>
        <v>1600</v>
      </c>
    </row>
    <row r="36" spans="1:30" s="27" customFormat="1" ht="17.25" customHeight="1" x14ac:dyDescent="0.3">
      <c r="A36" s="11">
        <v>31</v>
      </c>
      <c r="B36" s="40" t="s">
        <v>608</v>
      </c>
      <c r="C36" s="12" t="s">
        <v>1739</v>
      </c>
      <c r="D36" s="299">
        <v>891220035777</v>
      </c>
      <c r="E36" s="299" t="s">
        <v>1740</v>
      </c>
      <c r="F36" s="12" t="s">
        <v>113</v>
      </c>
      <c r="G36" s="12" t="s">
        <v>8</v>
      </c>
      <c r="H36" s="86" t="s">
        <v>350</v>
      </c>
      <c r="I36" s="122">
        <v>10000</v>
      </c>
      <c r="J36" s="75">
        <v>0</v>
      </c>
      <c r="K36" s="75">
        <v>0</v>
      </c>
      <c r="L36" s="81">
        <v>0</v>
      </c>
      <c r="M36" s="75">
        <v>0</v>
      </c>
      <c r="N36" s="75">
        <v>0</v>
      </c>
      <c r="O36" s="122">
        <v>0</v>
      </c>
      <c r="P36" s="75">
        <v>0</v>
      </c>
      <c r="Q36" s="75">
        <v>0</v>
      </c>
      <c r="R36" s="122">
        <v>0</v>
      </c>
      <c r="S36" s="75" t="s">
        <v>1366</v>
      </c>
      <c r="T36" s="75">
        <v>4800</v>
      </c>
      <c r="U36" s="122">
        <v>4800</v>
      </c>
      <c r="V36" s="75" t="s">
        <v>2771</v>
      </c>
      <c r="W36" s="75">
        <v>3600</v>
      </c>
      <c r="X36" s="122"/>
      <c r="Y36" s="145">
        <f t="shared" si="0"/>
        <v>5200</v>
      </c>
      <c r="Z36" s="294">
        <f t="shared" si="1"/>
        <v>1600</v>
      </c>
      <c r="AA36" s="121">
        <f t="shared" si="2"/>
        <v>4800</v>
      </c>
      <c r="AB36" s="300"/>
      <c r="AC36" s="291">
        <f>10000-4800</f>
        <v>5200</v>
      </c>
      <c r="AD36" s="27" t="s">
        <v>889</v>
      </c>
    </row>
    <row r="37" spans="1:30" ht="17.25" customHeight="1" x14ac:dyDescent="0.3">
      <c r="A37" s="182">
        <v>32</v>
      </c>
      <c r="B37" s="83" t="s">
        <v>951</v>
      </c>
      <c r="C37" s="82" t="s">
        <v>1764</v>
      </c>
      <c r="D37" s="125">
        <v>880423035271</v>
      </c>
      <c r="E37" s="125" t="s">
        <v>1765</v>
      </c>
      <c r="F37" s="82" t="s">
        <v>7</v>
      </c>
      <c r="G37" s="82" t="s">
        <v>8</v>
      </c>
      <c r="H37" s="85" t="s">
        <v>350</v>
      </c>
      <c r="I37" s="121">
        <v>10000</v>
      </c>
      <c r="J37" s="89">
        <v>0</v>
      </c>
      <c r="K37" s="89">
        <v>0</v>
      </c>
      <c r="L37" s="99">
        <v>0</v>
      </c>
      <c r="M37" s="89">
        <v>0</v>
      </c>
      <c r="N37" s="89">
        <v>0</v>
      </c>
      <c r="O37" s="121">
        <v>0</v>
      </c>
      <c r="P37" s="89">
        <v>0</v>
      </c>
      <c r="Q37" s="89">
        <v>0</v>
      </c>
      <c r="R37" s="121">
        <v>0</v>
      </c>
      <c r="S37" s="89">
        <v>0</v>
      </c>
      <c r="T37" s="89">
        <v>0</v>
      </c>
      <c r="U37" s="121">
        <v>0</v>
      </c>
      <c r="V37" s="89" t="s">
        <v>2758</v>
      </c>
      <c r="W37" s="89">
        <f>3600+4800+1600</f>
        <v>10000</v>
      </c>
      <c r="X37" s="121"/>
      <c r="Y37" s="145">
        <f t="shared" si="0"/>
        <v>10000</v>
      </c>
      <c r="Z37" s="294">
        <f t="shared" si="1"/>
        <v>0</v>
      </c>
      <c r="AA37" s="121">
        <f t="shared" si="2"/>
        <v>0</v>
      </c>
      <c r="AB37" s="406" t="s">
        <v>570</v>
      </c>
      <c r="AC37" s="290">
        <f>10000</f>
        <v>10000</v>
      </c>
    </row>
    <row r="38" spans="1:30" s="27" customFormat="1" ht="17.25" customHeight="1" x14ac:dyDescent="0.3">
      <c r="A38" s="11">
        <v>33</v>
      </c>
      <c r="B38" s="26" t="s">
        <v>225</v>
      </c>
      <c r="C38" s="314" t="s">
        <v>1665</v>
      </c>
      <c r="D38" s="297" t="s">
        <v>29</v>
      </c>
      <c r="E38" s="297" t="s">
        <v>1666</v>
      </c>
      <c r="F38" s="12" t="s">
        <v>113</v>
      </c>
      <c r="G38" s="12" t="s">
        <v>8</v>
      </c>
      <c r="H38" s="86" t="s">
        <v>23</v>
      </c>
      <c r="I38" s="122">
        <v>10000</v>
      </c>
      <c r="J38" s="75">
        <v>0</v>
      </c>
      <c r="K38" s="75">
        <v>0</v>
      </c>
      <c r="L38" s="81">
        <v>0</v>
      </c>
      <c r="M38" s="75">
        <v>0</v>
      </c>
      <c r="N38" s="75">
        <v>0</v>
      </c>
      <c r="O38" s="122">
        <v>0</v>
      </c>
      <c r="P38" s="75" t="s">
        <v>1352</v>
      </c>
      <c r="Q38" s="75">
        <v>2700</v>
      </c>
      <c r="R38" s="122">
        <v>2700</v>
      </c>
      <c r="S38" s="75">
        <v>0</v>
      </c>
      <c r="T38" s="75">
        <v>0</v>
      </c>
      <c r="U38" s="122">
        <v>0</v>
      </c>
      <c r="V38" s="75" t="s">
        <v>2935</v>
      </c>
      <c r="W38" s="75">
        <f>1350+1350+1350+1350+1350+550</f>
        <v>7300</v>
      </c>
      <c r="X38" s="122"/>
      <c r="Y38" s="145">
        <f t="shared" ref="Y38:Y69" si="3">I38-L38-O38-R38-U38-X38</f>
        <v>7300</v>
      </c>
      <c r="Z38" s="294">
        <f t="shared" ref="Z38:Z69" si="4">I38-K38 -N38 -Q38-T38-W38</f>
        <v>0</v>
      </c>
      <c r="AA38" s="121">
        <f t="shared" ref="AA38:AA69" si="5">L38+O38+R38+U38+X38</f>
        <v>2700</v>
      </c>
      <c r="AB38" s="235" t="s">
        <v>570</v>
      </c>
      <c r="AC38" s="291">
        <f>10000-2700</f>
        <v>7300</v>
      </c>
    </row>
    <row r="39" spans="1:30" s="27" customFormat="1" ht="17.25" customHeight="1" x14ac:dyDescent="0.3">
      <c r="A39" s="11">
        <v>34</v>
      </c>
      <c r="B39" s="26" t="s">
        <v>226</v>
      </c>
      <c r="C39" s="314" t="s">
        <v>1667</v>
      </c>
      <c r="D39" s="297" t="s">
        <v>30</v>
      </c>
      <c r="E39" s="297" t="s">
        <v>1668</v>
      </c>
      <c r="F39" s="12" t="s">
        <v>113</v>
      </c>
      <c r="G39" s="12" t="s">
        <v>8</v>
      </c>
      <c r="H39" s="86" t="s">
        <v>55</v>
      </c>
      <c r="I39" s="122">
        <v>7200</v>
      </c>
      <c r="J39" s="75">
        <v>0</v>
      </c>
      <c r="K39" s="75">
        <v>0</v>
      </c>
      <c r="L39" s="81">
        <v>0</v>
      </c>
      <c r="M39" s="75">
        <v>0</v>
      </c>
      <c r="N39" s="75">
        <v>0</v>
      </c>
      <c r="O39" s="122">
        <v>0</v>
      </c>
      <c r="P39" s="75" t="s">
        <v>1219</v>
      </c>
      <c r="Q39" s="75">
        <v>2400</v>
      </c>
      <c r="R39" s="122">
        <v>2400</v>
      </c>
      <c r="S39" s="75">
        <v>0</v>
      </c>
      <c r="T39" s="75">
        <v>0</v>
      </c>
      <c r="U39" s="122">
        <v>0</v>
      </c>
      <c r="V39" s="75" t="s">
        <v>2940</v>
      </c>
      <c r="W39" s="75">
        <f>1200+3600</f>
        <v>4800</v>
      </c>
      <c r="X39" s="122"/>
      <c r="Y39" s="145">
        <f t="shared" si="3"/>
        <v>4800</v>
      </c>
      <c r="Z39" s="294">
        <f t="shared" si="4"/>
        <v>0</v>
      </c>
      <c r="AA39" s="121">
        <f t="shared" si="5"/>
        <v>2400</v>
      </c>
      <c r="AB39" s="235" t="s">
        <v>570</v>
      </c>
      <c r="AC39" s="291">
        <f>8400-2400</f>
        <v>6000</v>
      </c>
    </row>
    <row r="40" spans="1:30" s="27" customFormat="1" ht="17.25" customHeight="1" x14ac:dyDescent="0.3">
      <c r="A40" s="182">
        <v>35</v>
      </c>
      <c r="B40" s="59" t="s">
        <v>303</v>
      </c>
      <c r="C40" s="318" t="s">
        <v>1669</v>
      </c>
      <c r="D40" s="297" t="s">
        <v>304</v>
      </c>
      <c r="E40" s="297" t="s">
        <v>1670</v>
      </c>
      <c r="F40" s="12" t="s">
        <v>113</v>
      </c>
      <c r="G40" s="12" t="s">
        <v>8</v>
      </c>
      <c r="H40" s="86" t="s">
        <v>331</v>
      </c>
      <c r="I40" s="122">
        <v>10000</v>
      </c>
      <c r="J40" s="75">
        <v>0</v>
      </c>
      <c r="K40" s="75">
        <v>0</v>
      </c>
      <c r="L40" s="81">
        <v>0</v>
      </c>
      <c r="M40" s="75">
        <v>0</v>
      </c>
      <c r="N40" s="75">
        <v>0</v>
      </c>
      <c r="O40" s="122">
        <v>0</v>
      </c>
      <c r="P40" s="75">
        <v>0</v>
      </c>
      <c r="Q40" s="75">
        <v>0</v>
      </c>
      <c r="R40" s="122">
        <v>0</v>
      </c>
      <c r="S40" s="75" t="s">
        <v>1066</v>
      </c>
      <c r="T40" s="75">
        <f>1500+1500+1500</f>
        <v>4500</v>
      </c>
      <c r="U40" s="122">
        <f>1500+1500+1500</f>
        <v>4500</v>
      </c>
      <c r="V40" s="75" t="s">
        <v>2567</v>
      </c>
      <c r="W40" s="75">
        <f>1500+1500+2500</f>
        <v>5500</v>
      </c>
      <c r="X40" s="122"/>
      <c r="Y40" s="145">
        <f t="shared" si="3"/>
        <v>5500</v>
      </c>
      <c r="Z40" s="294">
        <f t="shared" si="4"/>
        <v>0</v>
      </c>
      <c r="AA40" s="121">
        <f t="shared" si="5"/>
        <v>4500</v>
      </c>
      <c r="AB40" s="235" t="s">
        <v>570</v>
      </c>
      <c r="AC40" s="291">
        <f>10000-4500</f>
        <v>5500</v>
      </c>
    </row>
    <row r="41" spans="1:30" s="119" customFormat="1" ht="17.25" customHeight="1" x14ac:dyDescent="0.3">
      <c r="A41" s="11">
        <v>36</v>
      </c>
      <c r="B41" s="65" t="s">
        <v>227</v>
      </c>
      <c r="C41" s="495" t="s">
        <v>1671</v>
      </c>
      <c r="D41" s="148" t="s">
        <v>31</v>
      </c>
      <c r="E41" s="148" t="s">
        <v>1672</v>
      </c>
      <c r="F41" s="66" t="s">
        <v>7</v>
      </c>
      <c r="G41" s="66" t="s">
        <v>8</v>
      </c>
      <c r="H41" s="67" t="s">
        <v>32</v>
      </c>
      <c r="I41" s="122">
        <v>10000</v>
      </c>
      <c r="J41" s="117">
        <v>0</v>
      </c>
      <c r="K41" s="117">
        <v>0</v>
      </c>
      <c r="L41" s="118">
        <v>0</v>
      </c>
      <c r="M41" s="117" t="s">
        <v>692</v>
      </c>
      <c r="N41" s="117">
        <f>1200+1200+1200+3600</f>
        <v>7200</v>
      </c>
      <c r="O41" s="123">
        <f>1200+1200+1200+3600</f>
        <v>7200</v>
      </c>
      <c r="P41" s="117" t="s">
        <v>693</v>
      </c>
      <c r="Q41" s="117">
        <v>2800</v>
      </c>
      <c r="R41" s="123">
        <v>2800</v>
      </c>
      <c r="S41" s="117">
        <v>0</v>
      </c>
      <c r="T41" s="117">
        <v>0</v>
      </c>
      <c r="U41" s="123">
        <v>0</v>
      </c>
      <c r="V41" s="117"/>
      <c r="W41" s="117"/>
      <c r="X41" s="123"/>
      <c r="Y41" s="145">
        <f t="shared" si="3"/>
        <v>0</v>
      </c>
      <c r="Z41" s="294">
        <f t="shared" si="4"/>
        <v>0</v>
      </c>
      <c r="AA41" s="121">
        <f t="shared" si="5"/>
        <v>10000</v>
      </c>
      <c r="AB41" s="236" t="s">
        <v>570</v>
      </c>
      <c r="AC41" s="292"/>
    </row>
    <row r="42" spans="1:30" s="119" customFormat="1" x14ac:dyDescent="0.3">
      <c r="A42" s="182">
        <v>37</v>
      </c>
      <c r="B42" s="151" t="s">
        <v>995</v>
      </c>
      <c r="C42" s="66" t="s">
        <v>1781</v>
      </c>
      <c r="D42" s="516">
        <v>881018035061</v>
      </c>
      <c r="E42" s="516" t="s">
        <v>1782</v>
      </c>
      <c r="F42" s="66" t="s">
        <v>7</v>
      </c>
      <c r="G42" s="66" t="s">
        <v>8</v>
      </c>
      <c r="H42" s="67" t="s">
        <v>994</v>
      </c>
      <c r="I42" s="123">
        <v>10000</v>
      </c>
      <c r="J42" s="117">
        <v>0</v>
      </c>
      <c r="K42" s="117">
        <v>0</v>
      </c>
      <c r="L42" s="123">
        <v>0</v>
      </c>
      <c r="M42" s="151" t="s">
        <v>996</v>
      </c>
      <c r="N42" s="117">
        <f>3300+1200+3600</f>
        <v>8100</v>
      </c>
      <c r="O42" s="123">
        <f>3300+1200+3600</f>
        <v>8100</v>
      </c>
      <c r="P42" s="151" t="s">
        <v>997</v>
      </c>
      <c r="Q42" s="117">
        <v>1900</v>
      </c>
      <c r="R42" s="123">
        <v>1900</v>
      </c>
      <c r="S42" s="151"/>
      <c r="T42" s="117"/>
      <c r="U42" s="123"/>
      <c r="V42" s="117">
        <f>I42-K42-N42-Q42-T42</f>
        <v>0</v>
      </c>
      <c r="W42" s="117">
        <f>I42-L42-O42-R42-U42</f>
        <v>0</v>
      </c>
      <c r="X42" s="422"/>
      <c r="Y42" s="123">
        <f t="shared" si="3"/>
        <v>0</v>
      </c>
      <c r="Z42" s="511">
        <f t="shared" si="4"/>
        <v>0</v>
      </c>
      <c r="AA42" s="123">
        <f t="shared" si="5"/>
        <v>10000</v>
      </c>
      <c r="AB42" s="237" t="s">
        <v>570</v>
      </c>
      <c r="AC42" s="66"/>
    </row>
    <row r="43" spans="1:30" s="27" customFormat="1" x14ac:dyDescent="0.3">
      <c r="A43" s="11">
        <v>38</v>
      </c>
      <c r="B43" s="40" t="s">
        <v>634</v>
      </c>
      <c r="C43" s="12" t="s">
        <v>1783</v>
      </c>
      <c r="D43" s="324">
        <v>881002086921</v>
      </c>
      <c r="E43" s="324" t="s">
        <v>1784</v>
      </c>
      <c r="F43" s="12" t="s">
        <v>113</v>
      </c>
      <c r="G43" s="12" t="s">
        <v>8</v>
      </c>
      <c r="H43" s="86" t="s">
        <v>635</v>
      </c>
      <c r="I43" s="122">
        <v>7200</v>
      </c>
      <c r="J43" s="75">
        <v>0</v>
      </c>
      <c r="K43" s="75">
        <v>0</v>
      </c>
      <c r="L43" s="122">
        <v>0</v>
      </c>
      <c r="M43" s="75" t="s">
        <v>636</v>
      </c>
      <c r="N43" s="75">
        <v>6000</v>
      </c>
      <c r="O43" s="122">
        <v>6000</v>
      </c>
      <c r="P43" s="75" t="s">
        <v>637</v>
      </c>
      <c r="Q43" s="75">
        <v>1200</v>
      </c>
      <c r="R43" s="122">
        <v>1200</v>
      </c>
      <c r="S43" s="75">
        <v>0</v>
      </c>
      <c r="T43" s="75">
        <v>0</v>
      </c>
      <c r="U43" s="122">
        <v>0</v>
      </c>
      <c r="V43" s="75">
        <f>I43-K43-N43-Q43-T43</f>
        <v>0</v>
      </c>
      <c r="W43" s="75">
        <f>I43-L43-O43-R43-U43</f>
        <v>0</v>
      </c>
      <c r="X43" s="76"/>
      <c r="Y43" s="145">
        <f t="shared" si="3"/>
        <v>0</v>
      </c>
      <c r="Z43" s="294">
        <f t="shared" si="4"/>
        <v>0</v>
      </c>
      <c r="AA43" s="121">
        <f t="shared" si="5"/>
        <v>7200</v>
      </c>
      <c r="AB43" s="291" t="s">
        <v>683</v>
      </c>
      <c r="AC43" s="12"/>
    </row>
    <row r="44" spans="1:30" s="27" customFormat="1" ht="16.5" customHeight="1" x14ac:dyDescent="0.3">
      <c r="A44" s="11">
        <v>39</v>
      </c>
      <c r="B44" s="40" t="s">
        <v>1051</v>
      </c>
      <c r="C44" s="12" t="s">
        <v>1785</v>
      </c>
      <c r="D44" s="324">
        <v>891220035267</v>
      </c>
      <c r="E44" s="324" t="s">
        <v>1786</v>
      </c>
      <c r="F44" s="12" t="s">
        <v>7</v>
      </c>
      <c r="G44" s="12" t="s">
        <v>8</v>
      </c>
      <c r="H44" s="86" t="s">
        <v>682</v>
      </c>
      <c r="I44" s="122">
        <v>10000</v>
      </c>
      <c r="J44" s="40" t="s">
        <v>1052</v>
      </c>
      <c r="K44" s="75">
        <v>3300</v>
      </c>
      <c r="L44" s="122">
        <v>3250</v>
      </c>
      <c r="M44" s="40" t="s">
        <v>1053</v>
      </c>
      <c r="N44" s="75">
        <f>1200+1200+1200+3600</f>
        <v>7200</v>
      </c>
      <c r="O44" s="122">
        <f>1200+1200+750+3600</f>
        <v>6750</v>
      </c>
      <c r="P44" s="40"/>
      <c r="Q44" s="75"/>
      <c r="R44" s="122"/>
      <c r="S44" s="40"/>
      <c r="T44" s="75"/>
      <c r="U44" s="122"/>
      <c r="V44" s="75">
        <f>I44-K44-N44-Q44-T44</f>
        <v>-500</v>
      </c>
      <c r="W44" s="75">
        <f>I44-L44-O44-R44-U44</f>
        <v>0</v>
      </c>
      <c r="X44" s="76"/>
      <c r="Y44" s="145">
        <f t="shared" si="3"/>
        <v>0</v>
      </c>
      <c r="Z44" s="294">
        <f t="shared" si="4"/>
        <v>-500</v>
      </c>
      <c r="AA44" s="121">
        <f t="shared" si="5"/>
        <v>10000</v>
      </c>
      <c r="AB44" s="300" t="s">
        <v>570</v>
      </c>
      <c r="AC44" s="12"/>
    </row>
    <row r="45" spans="1:30" s="27" customFormat="1" x14ac:dyDescent="0.3">
      <c r="A45" s="182">
        <v>40</v>
      </c>
      <c r="B45" s="40" t="s">
        <v>1114</v>
      </c>
      <c r="C45" s="12" t="s">
        <v>1787</v>
      </c>
      <c r="D45" s="324">
        <v>870720035084</v>
      </c>
      <c r="E45" s="324" t="s">
        <v>1788</v>
      </c>
      <c r="F45" s="12" t="s">
        <v>7</v>
      </c>
      <c r="G45" s="12" t="s">
        <v>8</v>
      </c>
      <c r="H45" s="86" t="s">
        <v>1115</v>
      </c>
      <c r="I45" s="122">
        <v>4810</v>
      </c>
      <c r="J45" s="40" t="s">
        <v>1116</v>
      </c>
      <c r="K45" s="75">
        <f>1495+1105</f>
        <v>2600</v>
      </c>
      <c r="L45" s="122">
        <f>1495+1105</f>
        <v>2600</v>
      </c>
      <c r="M45" s="40" t="s">
        <v>1117</v>
      </c>
      <c r="N45" s="75">
        <f>1105+1105</f>
        <v>2210</v>
      </c>
      <c r="O45" s="122">
        <f>1105+1105</f>
        <v>2210</v>
      </c>
      <c r="P45" s="40"/>
      <c r="Q45" s="75"/>
      <c r="R45" s="122"/>
      <c r="S45" s="40"/>
      <c r="T45" s="75"/>
      <c r="U45" s="122"/>
      <c r="V45" s="75">
        <f>I45-K45-N45-Q45-T45</f>
        <v>0</v>
      </c>
      <c r="W45" s="75">
        <f>I45-L45-O45-R45-U45</f>
        <v>0</v>
      </c>
      <c r="X45" s="76"/>
      <c r="Y45" s="145">
        <f t="shared" si="3"/>
        <v>0</v>
      </c>
      <c r="Z45" s="294">
        <f t="shared" si="4"/>
        <v>0</v>
      </c>
      <c r="AA45" s="121">
        <f t="shared" si="5"/>
        <v>4810</v>
      </c>
      <c r="AB45" s="291" t="s">
        <v>683</v>
      </c>
      <c r="AC45" s="12"/>
    </row>
    <row r="46" spans="1:30" s="27" customFormat="1" x14ac:dyDescent="0.3">
      <c r="A46" s="11">
        <v>41</v>
      </c>
      <c r="B46" s="40" t="s">
        <v>1345</v>
      </c>
      <c r="C46" s="12" t="s">
        <v>1789</v>
      </c>
      <c r="D46" s="324">
        <v>880318035676</v>
      </c>
      <c r="E46" s="324" t="s">
        <v>1790</v>
      </c>
      <c r="F46" s="12" t="s">
        <v>7</v>
      </c>
      <c r="G46" s="12" t="s">
        <v>8</v>
      </c>
      <c r="H46" s="86" t="s">
        <v>1983</v>
      </c>
      <c r="I46" s="122">
        <v>4470</v>
      </c>
      <c r="J46" s="40" t="s">
        <v>1431</v>
      </c>
      <c r="K46" s="75">
        <v>1320</v>
      </c>
      <c r="L46" s="122">
        <v>1320</v>
      </c>
      <c r="M46" s="40" t="s">
        <v>1432</v>
      </c>
      <c r="N46" s="75">
        <f>1050+1050+1050</f>
        <v>3150</v>
      </c>
      <c r="O46" s="122">
        <f>1050+1050+1050</f>
        <v>3150</v>
      </c>
      <c r="P46" s="40"/>
      <c r="Q46" s="75"/>
      <c r="R46" s="122"/>
      <c r="S46" s="40"/>
      <c r="T46" s="40"/>
      <c r="U46" s="76"/>
      <c r="V46" s="40"/>
      <c r="W46" s="40"/>
      <c r="X46" s="76"/>
      <c r="Y46" s="145">
        <f t="shared" si="3"/>
        <v>0</v>
      </c>
      <c r="Z46" s="294">
        <f t="shared" si="4"/>
        <v>0</v>
      </c>
      <c r="AA46" s="121">
        <f t="shared" si="5"/>
        <v>4470</v>
      </c>
      <c r="AB46" s="12"/>
      <c r="AC46" s="12"/>
    </row>
    <row r="47" spans="1:30" s="27" customFormat="1" ht="17.25" customHeight="1" x14ac:dyDescent="0.3">
      <c r="A47" s="182">
        <v>42</v>
      </c>
      <c r="B47" s="26" t="s">
        <v>228</v>
      </c>
      <c r="C47" s="314" t="s">
        <v>1673</v>
      </c>
      <c r="D47" s="297" t="s">
        <v>33</v>
      </c>
      <c r="E47" s="297" t="s">
        <v>1674</v>
      </c>
      <c r="F47" s="12" t="s">
        <v>113</v>
      </c>
      <c r="G47" s="12" t="s">
        <v>8</v>
      </c>
      <c r="H47" s="86" t="s">
        <v>25</v>
      </c>
      <c r="I47" s="122">
        <v>10000</v>
      </c>
      <c r="J47" s="75">
        <v>0</v>
      </c>
      <c r="K47" s="75">
        <v>0</v>
      </c>
      <c r="L47" s="81">
        <v>0</v>
      </c>
      <c r="M47" s="75">
        <v>0</v>
      </c>
      <c r="N47" s="75">
        <v>0</v>
      </c>
      <c r="O47" s="122">
        <v>0</v>
      </c>
      <c r="P47" s="75" t="s">
        <v>1353</v>
      </c>
      <c r="Q47" s="75">
        <v>5700</v>
      </c>
      <c r="R47" s="122">
        <v>5700</v>
      </c>
      <c r="S47" s="75">
        <v>0</v>
      </c>
      <c r="T47" s="75">
        <v>0</v>
      </c>
      <c r="U47" s="122">
        <v>0</v>
      </c>
      <c r="V47" s="75" t="s">
        <v>2946</v>
      </c>
      <c r="W47" s="75">
        <f>3600+700</f>
        <v>4300</v>
      </c>
      <c r="X47" s="122"/>
      <c r="Y47" s="145">
        <f t="shared" si="3"/>
        <v>4300</v>
      </c>
      <c r="Z47" s="294">
        <f t="shared" si="4"/>
        <v>0</v>
      </c>
      <c r="AA47" s="121">
        <f t="shared" si="5"/>
        <v>5700</v>
      </c>
      <c r="AB47" s="235" t="s">
        <v>570</v>
      </c>
      <c r="AC47" s="291">
        <f>10000-5700</f>
        <v>4300</v>
      </c>
    </row>
    <row r="48" spans="1:30" s="27" customFormat="1" ht="17.25" customHeight="1" x14ac:dyDescent="0.3">
      <c r="A48" s="11">
        <v>43</v>
      </c>
      <c r="B48" s="26" t="s">
        <v>229</v>
      </c>
      <c r="C48" s="314" t="s">
        <v>1675</v>
      </c>
      <c r="D48" s="297">
        <v>880208075262</v>
      </c>
      <c r="E48" s="297" t="s">
        <v>1676</v>
      </c>
      <c r="F48" s="12" t="s">
        <v>7</v>
      </c>
      <c r="G48" s="12" t="s">
        <v>8</v>
      </c>
      <c r="H48" s="86" t="s">
        <v>381</v>
      </c>
      <c r="I48" s="122">
        <v>10000</v>
      </c>
      <c r="J48" s="75">
        <v>0</v>
      </c>
      <c r="K48" s="75">
        <v>0</v>
      </c>
      <c r="L48" s="81">
        <v>0</v>
      </c>
      <c r="M48" s="75">
        <v>0</v>
      </c>
      <c r="N48" s="75">
        <v>0</v>
      </c>
      <c r="O48" s="122">
        <v>0</v>
      </c>
      <c r="P48" s="75">
        <v>0</v>
      </c>
      <c r="Q48" s="75">
        <v>0</v>
      </c>
      <c r="R48" s="122">
        <v>0</v>
      </c>
      <c r="S48" s="75">
        <v>0</v>
      </c>
      <c r="T48" s="75">
        <v>0</v>
      </c>
      <c r="U48" s="122">
        <v>0</v>
      </c>
      <c r="V48" s="75" t="s">
        <v>2947</v>
      </c>
      <c r="W48" s="75">
        <f>3600+4800</f>
        <v>8400</v>
      </c>
      <c r="X48" s="122"/>
      <c r="Y48" s="145">
        <f t="shared" si="3"/>
        <v>10000</v>
      </c>
      <c r="Z48" s="294">
        <f t="shared" si="4"/>
        <v>1600</v>
      </c>
      <c r="AA48" s="121">
        <f t="shared" si="5"/>
        <v>0</v>
      </c>
      <c r="AB48" s="235"/>
      <c r="AC48" s="291">
        <f>I48</f>
        <v>10000</v>
      </c>
    </row>
    <row r="49" spans="1:30" s="119" customFormat="1" ht="17.25" customHeight="1" x14ac:dyDescent="0.3">
      <c r="A49" s="11">
        <v>44</v>
      </c>
      <c r="B49" s="65" t="s">
        <v>230</v>
      </c>
      <c r="C49" s="495" t="s">
        <v>1677</v>
      </c>
      <c r="D49" s="148" t="s">
        <v>34</v>
      </c>
      <c r="E49" s="148" t="s">
        <v>1678</v>
      </c>
      <c r="F49" s="66" t="s">
        <v>7</v>
      </c>
      <c r="G49" s="66" t="s">
        <v>8</v>
      </c>
      <c r="H49" s="67" t="s">
        <v>27</v>
      </c>
      <c r="I49" s="123">
        <v>10000</v>
      </c>
      <c r="J49" s="117">
        <v>0</v>
      </c>
      <c r="K49" s="117">
        <v>0</v>
      </c>
      <c r="L49" s="118">
        <v>0</v>
      </c>
      <c r="M49" s="117" t="s">
        <v>1331</v>
      </c>
      <c r="N49" s="117">
        <f>7500+4050</f>
        <v>11550</v>
      </c>
      <c r="O49" s="123">
        <f>7450+2550</f>
        <v>10000</v>
      </c>
      <c r="P49" s="117">
        <v>0</v>
      </c>
      <c r="Q49" s="117">
        <v>0</v>
      </c>
      <c r="R49" s="123">
        <v>0</v>
      </c>
      <c r="S49" s="117">
        <v>0</v>
      </c>
      <c r="T49" s="117">
        <v>0</v>
      </c>
      <c r="U49" s="123">
        <v>0</v>
      </c>
      <c r="V49" s="117">
        <v>0</v>
      </c>
      <c r="W49" s="117">
        <v>0</v>
      </c>
      <c r="X49" s="123">
        <v>0</v>
      </c>
      <c r="Y49" s="123">
        <f t="shared" si="3"/>
        <v>0</v>
      </c>
      <c r="Z49" s="511">
        <f t="shared" si="4"/>
        <v>-1550</v>
      </c>
      <c r="AA49" s="123">
        <f t="shared" si="5"/>
        <v>10000</v>
      </c>
      <c r="AB49" s="236" t="s">
        <v>570</v>
      </c>
      <c r="AC49" s="292"/>
      <c r="AD49" s="119" t="s">
        <v>713</v>
      </c>
    </row>
    <row r="50" spans="1:30" s="27" customFormat="1" ht="17.25" customHeight="1" x14ac:dyDescent="0.3">
      <c r="A50" s="182">
        <v>45</v>
      </c>
      <c r="B50" s="26" t="s">
        <v>231</v>
      </c>
      <c r="C50" s="314" t="s">
        <v>1679</v>
      </c>
      <c r="D50" s="297" t="s">
        <v>35</v>
      </c>
      <c r="E50" s="297" t="s">
        <v>1680</v>
      </c>
      <c r="F50" s="12" t="s">
        <v>113</v>
      </c>
      <c r="G50" s="12" t="s">
        <v>8</v>
      </c>
      <c r="H50" s="86" t="s">
        <v>379</v>
      </c>
      <c r="I50" s="122">
        <v>10000</v>
      </c>
      <c r="J50" s="75">
        <v>0</v>
      </c>
      <c r="K50" s="75">
        <v>0</v>
      </c>
      <c r="L50" s="81">
        <v>0</v>
      </c>
      <c r="M50" s="75">
        <v>0</v>
      </c>
      <c r="N50" s="75">
        <v>0</v>
      </c>
      <c r="O50" s="122">
        <v>0</v>
      </c>
      <c r="P50" s="75" t="s">
        <v>2948</v>
      </c>
      <c r="Q50" s="75">
        <f>2400+4800</f>
        <v>7200</v>
      </c>
      <c r="R50" s="122">
        <f>2400+4800</f>
        <v>7200</v>
      </c>
      <c r="S50" s="75">
        <v>0</v>
      </c>
      <c r="T50" s="75">
        <v>0</v>
      </c>
      <c r="U50" s="122">
        <v>0</v>
      </c>
      <c r="V50" s="75" t="s">
        <v>2949</v>
      </c>
      <c r="W50" s="75">
        <v>2800</v>
      </c>
      <c r="X50" s="122"/>
      <c r="Y50" s="145">
        <f t="shared" si="3"/>
        <v>2800</v>
      </c>
      <c r="Z50" s="294">
        <f t="shared" si="4"/>
        <v>0</v>
      </c>
      <c r="AA50" s="121">
        <f t="shared" si="5"/>
        <v>7200</v>
      </c>
      <c r="AB50" s="235" t="s">
        <v>570</v>
      </c>
      <c r="AC50" s="291">
        <f>10000-7200</f>
        <v>2800</v>
      </c>
    </row>
    <row r="51" spans="1:30" s="119" customFormat="1" ht="17.25" customHeight="1" x14ac:dyDescent="0.3">
      <c r="A51" s="11">
        <v>46</v>
      </c>
      <c r="B51" s="65" t="s">
        <v>232</v>
      </c>
      <c r="C51" s="495" t="s">
        <v>1681</v>
      </c>
      <c r="D51" s="148" t="s">
        <v>39</v>
      </c>
      <c r="E51" s="148" t="s">
        <v>1682</v>
      </c>
      <c r="F51" s="66" t="s">
        <v>113</v>
      </c>
      <c r="G51" s="66" t="s">
        <v>8</v>
      </c>
      <c r="H51" s="67" t="s">
        <v>25</v>
      </c>
      <c r="I51" s="123">
        <v>10000</v>
      </c>
      <c r="J51" s="117">
        <v>0</v>
      </c>
      <c r="K51" s="117">
        <v>0</v>
      </c>
      <c r="L51" s="118">
        <v>0</v>
      </c>
      <c r="M51" s="117">
        <v>0</v>
      </c>
      <c r="N51" s="117">
        <v>0</v>
      </c>
      <c r="O51" s="123">
        <v>0</v>
      </c>
      <c r="P51" s="117" t="s">
        <v>890</v>
      </c>
      <c r="Q51" s="117">
        <v>3300</v>
      </c>
      <c r="R51" s="123">
        <v>3300</v>
      </c>
      <c r="S51" s="117"/>
      <c r="T51" s="117"/>
      <c r="U51" s="123"/>
      <c r="V51" s="117"/>
      <c r="W51" s="117"/>
      <c r="X51" s="123"/>
      <c r="Y51" s="123">
        <f t="shared" si="3"/>
        <v>6700</v>
      </c>
      <c r="Z51" s="511">
        <f t="shared" si="4"/>
        <v>6700</v>
      </c>
      <c r="AA51" s="123">
        <f t="shared" si="5"/>
        <v>3300</v>
      </c>
      <c r="AB51" s="236"/>
      <c r="AC51" s="292">
        <f>10000-3300</f>
        <v>6700</v>
      </c>
    </row>
    <row r="52" spans="1:30" s="119" customFormat="1" ht="17.25" customHeight="1" x14ac:dyDescent="0.3">
      <c r="A52" s="182">
        <v>47</v>
      </c>
      <c r="B52" s="151" t="s">
        <v>406</v>
      </c>
      <c r="C52" s="517" t="s">
        <v>1683</v>
      </c>
      <c r="D52" s="148" t="s">
        <v>414</v>
      </c>
      <c r="E52" s="148" t="s">
        <v>1684</v>
      </c>
      <c r="F52" s="66" t="s">
        <v>113</v>
      </c>
      <c r="G52" s="66" t="s">
        <v>8</v>
      </c>
      <c r="H52" s="67" t="s">
        <v>407</v>
      </c>
      <c r="I52" s="123">
        <v>10000</v>
      </c>
      <c r="J52" s="117">
        <v>0</v>
      </c>
      <c r="K52" s="117">
        <v>0</v>
      </c>
      <c r="L52" s="118">
        <v>0</v>
      </c>
      <c r="M52" s="117">
        <v>0</v>
      </c>
      <c r="N52" s="117">
        <v>0</v>
      </c>
      <c r="O52" s="123">
        <v>0</v>
      </c>
      <c r="P52" s="117">
        <v>0</v>
      </c>
      <c r="Q52" s="117">
        <v>0</v>
      </c>
      <c r="R52" s="123">
        <v>0</v>
      </c>
      <c r="S52" s="117" t="s">
        <v>1358</v>
      </c>
      <c r="T52" s="117">
        <f>2400+2400+2400+2400</f>
        <v>9600</v>
      </c>
      <c r="U52" s="123">
        <f>2400+2400+2400+2400</f>
        <v>9600</v>
      </c>
      <c r="V52" s="117" t="s">
        <v>2776</v>
      </c>
      <c r="W52" s="117">
        <v>400</v>
      </c>
      <c r="X52" s="123"/>
      <c r="Y52" s="123">
        <f t="shared" si="3"/>
        <v>400</v>
      </c>
      <c r="Z52" s="511">
        <f t="shared" si="4"/>
        <v>0</v>
      </c>
      <c r="AA52" s="123">
        <f t="shared" si="5"/>
        <v>9600</v>
      </c>
      <c r="AB52" s="236" t="s">
        <v>570</v>
      </c>
      <c r="AC52" s="292">
        <f>10000-9600</f>
        <v>400</v>
      </c>
    </row>
    <row r="53" spans="1:30" s="119" customFormat="1" ht="17.25" customHeight="1" x14ac:dyDescent="0.3">
      <c r="A53" s="11">
        <v>48</v>
      </c>
      <c r="B53" s="65" t="s">
        <v>233</v>
      </c>
      <c r="C53" s="495" t="s">
        <v>1685</v>
      </c>
      <c r="D53" s="148" t="s">
        <v>364</v>
      </c>
      <c r="E53" s="148" t="s">
        <v>1686</v>
      </c>
      <c r="F53" s="66" t="s">
        <v>113</v>
      </c>
      <c r="G53" s="66" t="s">
        <v>8</v>
      </c>
      <c r="H53" s="67" t="s">
        <v>322</v>
      </c>
      <c r="I53" s="123">
        <v>9600</v>
      </c>
      <c r="J53" s="117">
        <v>0</v>
      </c>
      <c r="K53" s="117">
        <v>0</v>
      </c>
      <c r="L53" s="118">
        <v>0</v>
      </c>
      <c r="M53" s="117">
        <v>0</v>
      </c>
      <c r="N53" s="117">
        <v>0</v>
      </c>
      <c r="O53" s="123">
        <v>0</v>
      </c>
      <c r="P53" s="117">
        <v>0</v>
      </c>
      <c r="Q53" s="117">
        <v>0</v>
      </c>
      <c r="R53" s="123">
        <v>0</v>
      </c>
      <c r="S53" s="117" t="s">
        <v>788</v>
      </c>
      <c r="T53" s="117">
        <f>3600+3600+2400</f>
        <v>9600</v>
      </c>
      <c r="U53" s="123">
        <f>3600+3600+2400</f>
        <v>9600</v>
      </c>
      <c r="V53" s="117"/>
      <c r="W53" s="117"/>
      <c r="X53" s="123"/>
      <c r="Y53" s="145">
        <f t="shared" si="3"/>
        <v>0</v>
      </c>
      <c r="Z53" s="294">
        <f t="shared" si="4"/>
        <v>0</v>
      </c>
      <c r="AA53" s="121">
        <f t="shared" si="5"/>
        <v>9600</v>
      </c>
      <c r="AB53" s="237" t="s">
        <v>570</v>
      </c>
      <c r="AC53" s="292"/>
      <c r="AD53" s="149" t="s">
        <v>738</v>
      </c>
    </row>
    <row r="54" spans="1:30" s="119" customFormat="1" ht="17.25" customHeight="1" x14ac:dyDescent="0.3">
      <c r="A54" s="11">
        <v>49</v>
      </c>
      <c r="B54" s="151" t="s">
        <v>694</v>
      </c>
      <c r="C54" s="66" t="s">
        <v>1745</v>
      </c>
      <c r="D54" s="144" t="s">
        <v>695</v>
      </c>
      <c r="E54" s="144" t="s">
        <v>1746</v>
      </c>
      <c r="F54" s="66" t="s">
        <v>113</v>
      </c>
      <c r="G54" s="66" t="s">
        <v>8</v>
      </c>
      <c r="H54" s="67" t="s">
        <v>328</v>
      </c>
      <c r="I54" s="123">
        <v>10000</v>
      </c>
      <c r="J54" s="117">
        <v>0</v>
      </c>
      <c r="K54" s="117">
        <v>0</v>
      </c>
      <c r="L54" s="118">
        <v>0</v>
      </c>
      <c r="M54" s="117">
        <v>0</v>
      </c>
      <c r="N54" s="117">
        <v>0</v>
      </c>
      <c r="O54" s="123">
        <v>0</v>
      </c>
      <c r="P54" s="117">
        <v>0</v>
      </c>
      <c r="Q54" s="117">
        <v>0</v>
      </c>
      <c r="R54" s="123">
        <v>0</v>
      </c>
      <c r="S54" s="117" t="s">
        <v>1058</v>
      </c>
      <c r="T54" s="117">
        <f>5650+3600+750</f>
        <v>10000</v>
      </c>
      <c r="U54" s="123">
        <f>5650+3600+750</f>
        <v>10000</v>
      </c>
      <c r="V54" s="117"/>
      <c r="W54" s="117"/>
      <c r="X54" s="123"/>
      <c r="Y54" s="123">
        <f t="shared" si="3"/>
        <v>0</v>
      </c>
      <c r="Z54" s="511">
        <f t="shared" si="4"/>
        <v>0</v>
      </c>
      <c r="AA54" s="123">
        <f t="shared" si="5"/>
        <v>10000</v>
      </c>
      <c r="AB54" s="237" t="s">
        <v>570</v>
      </c>
      <c r="AC54" s="292"/>
    </row>
    <row r="55" spans="1:30" ht="17.25" customHeight="1" x14ac:dyDescent="0.3">
      <c r="A55" s="182">
        <v>50</v>
      </c>
      <c r="B55" s="83" t="s">
        <v>954</v>
      </c>
      <c r="C55" s="82" t="s">
        <v>1767</v>
      </c>
      <c r="D55" s="125">
        <v>900827035476</v>
      </c>
      <c r="E55" s="125" t="s">
        <v>1768</v>
      </c>
      <c r="F55" s="82" t="s">
        <v>7</v>
      </c>
      <c r="G55" s="82" t="s">
        <v>8</v>
      </c>
      <c r="H55" s="85" t="s">
        <v>404</v>
      </c>
      <c r="I55" s="121">
        <v>10000</v>
      </c>
      <c r="J55" s="89">
        <v>0</v>
      </c>
      <c r="K55" s="89">
        <v>0</v>
      </c>
      <c r="L55" s="99">
        <v>0</v>
      </c>
      <c r="M55" s="89">
        <v>0</v>
      </c>
      <c r="N55" s="89">
        <v>0</v>
      </c>
      <c r="O55" s="121">
        <v>0</v>
      </c>
      <c r="P55" s="89">
        <v>0</v>
      </c>
      <c r="Q55" s="89">
        <v>0</v>
      </c>
      <c r="R55" s="121">
        <v>0</v>
      </c>
      <c r="S55" s="89">
        <v>0</v>
      </c>
      <c r="T55" s="89">
        <v>0</v>
      </c>
      <c r="U55" s="121">
        <v>0</v>
      </c>
      <c r="V55" s="89" t="s">
        <v>2950</v>
      </c>
      <c r="W55" s="89">
        <f>1200+1200+1200+1200+2400</f>
        <v>7200</v>
      </c>
      <c r="X55" s="121"/>
      <c r="Y55" s="145">
        <f t="shared" si="3"/>
        <v>10000</v>
      </c>
      <c r="Z55" s="294">
        <f t="shared" si="4"/>
        <v>2800</v>
      </c>
      <c r="AA55" s="121">
        <f t="shared" si="5"/>
        <v>0</v>
      </c>
      <c r="AB55" s="406"/>
      <c r="AC55" s="290">
        <f>10000</f>
        <v>10000</v>
      </c>
    </row>
    <row r="56" spans="1:30" s="119" customFormat="1" ht="17.25" customHeight="1" x14ac:dyDescent="0.3">
      <c r="A56" s="11">
        <v>51</v>
      </c>
      <c r="B56" s="65" t="s">
        <v>234</v>
      </c>
      <c r="C56" s="495" t="s">
        <v>1687</v>
      </c>
      <c r="D56" s="148" t="s">
        <v>37</v>
      </c>
      <c r="E56" s="148" t="s">
        <v>1688</v>
      </c>
      <c r="F56" s="66" t="s">
        <v>7</v>
      </c>
      <c r="G56" s="66" t="s">
        <v>8</v>
      </c>
      <c r="H56" s="67" t="s">
        <v>27</v>
      </c>
      <c r="I56" s="123">
        <v>10000</v>
      </c>
      <c r="J56" s="117">
        <v>0</v>
      </c>
      <c r="K56" s="117">
        <v>0</v>
      </c>
      <c r="L56" s="118">
        <v>0</v>
      </c>
      <c r="M56" s="117" t="s">
        <v>2951</v>
      </c>
      <c r="N56" s="117">
        <f>7500+4050</f>
        <v>11550</v>
      </c>
      <c r="O56" s="123">
        <f>5950+4050</f>
        <v>10000</v>
      </c>
      <c r="P56" s="117"/>
      <c r="Q56" s="117"/>
      <c r="R56" s="123"/>
      <c r="S56" s="117"/>
      <c r="T56" s="117"/>
      <c r="U56" s="123"/>
      <c r="V56" s="117"/>
      <c r="W56" s="117"/>
      <c r="X56" s="123"/>
      <c r="Y56" s="123">
        <f t="shared" si="3"/>
        <v>0</v>
      </c>
      <c r="Z56" s="511">
        <f t="shared" si="4"/>
        <v>-1550</v>
      </c>
      <c r="AA56" s="123">
        <f t="shared" si="5"/>
        <v>10000</v>
      </c>
      <c r="AB56" s="236" t="s">
        <v>570</v>
      </c>
      <c r="AC56" s="292"/>
    </row>
    <row r="57" spans="1:30" s="27" customFormat="1" ht="17.25" customHeight="1" x14ac:dyDescent="0.3">
      <c r="A57" s="182">
        <v>52</v>
      </c>
      <c r="B57" s="26" t="s">
        <v>235</v>
      </c>
      <c r="C57" s="314" t="s">
        <v>1689</v>
      </c>
      <c r="D57" s="297" t="s">
        <v>40</v>
      </c>
      <c r="E57" s="297" t="s">
        <v>1690</v>
      </c>
      <c r="F57" s="12" t="s">
        <v>113</v>
      </c>
      <c r="G57" s="12" t="s">
        <v>8</v>
      </c>
      <c r="H57" s="86" t="s">
        <v>23</v>
      </c>
      <c r="I57" s="122">
        <v>10000</v>
      </c>
      <c r="J57" s="75">
        <v>0</v>
      </c>
      <c r="K57" s="75">
        <v>0</v>
      </c>
      <c r="L57" s="81">
        <v>0</v>
      </c>
      <c r="M57" s="75">
        <v>0</v>
      </c>
      <c r="N57" s="75">
        <v>0</v>
      </c>
      <c r="O57" s="122">
        <v>0</v>
      </c>
      <c r="P57" s="75">
        <v>0</v>
      </c>
      <c r="Q57" s="75">
        <v>0</v>
      </c>
      <c r="R57" s="122">
        <v>0</v>
      </c>
      <c r="S57" s="75">
        <v>0</v>
      </c>
      <c r="T57" s="75">
        <v>0</v>
      </c>
      <c r="U57" s="122">
        <v>0</v>
      </c>
      <c r="V57" s="75" t="s">
        <v>2952</v>
      </c>
      <c r="W57" s="75">
        <f>1200+1200+1200+2400+1200+2800</f>
        <v>10000</v>
      </c>
      <c r="X57" s="122"/>
      <c r="Y57" s="145">
        <f t="shared" si="3"/>
        <v>10000</v>
      </c>
      <c r="Z57" s="294">
        <f t="shared" si="4"/>
        <v>0</v>
      </c>
      <c r="AA57" s="121">
        <f t="shared" si="5"/>
        <v>0</v>
      </c>
      <c r="AB57" s="235" t="s">
        <v>570</v>
      </c>
      <c r="AC57" s="291">
        <f>I57</f>
        <v>10000</v>
      </c>
      <c r="AD57" s="27" t="s">
        <v>1691</v>
      </c>
    </row>
    <row r="58" spans="1:30" s="119" customFormat="1" ht="17.25" customHeight="1" x14ac:dyDescent="0.3">
      <c r="A58" s="11">
        <v>53</v>
      </c>
      <c r="B58" s="65" t="s">
        <v>236</v>
      </c>
      <c r="C58" s="495" t="s">
        <v>1692</v>
      </c>
      <c r="D58" s="148" t="s">
        <v>36</v>
      </c>
      <c r="E58" s="148" t="s">
        <v>1693</v>
      </c>
      <c r="F58" s="66" t="s">
        <v>7</v>
      </c>
      <c r="G58" s="66" t="s">
        <v>8</v>
      </c>
      <c r="H58" s="67" t="s">
        <v>27</v>
      </c>
      <c r="I58" s="123">
        <v>10000</v>
      </c>
      <c r="J58" s="117"/>
      <c r="K58" s="117"/>
      <c r="L58" s="118"/>
      <c r="M58" s="117" t="s">
        <v>1333</v>
      </c>
      <c r="N58" s="117">
        <f>7500+2700</f>
        <v>10200</v>
      </c>
      <c r="O58" s="123">
        <f>7450+2550</f>
        <v>10000</v>
      </c>
      <c r="P58" s="117"/>
      <c r="Q58" s="117"/>
      <c r="R58" s="123"/>
      <c r="S58" s="117"/>
      <c r="T58" s="117"/>
      <c r="U58" s="123"/>
      <c r="V58" s="117"/>
      <c r="W58" s="117"/>
      <c r="X58" s="123"/>
      <c r="Y58" s="123">
        <f t="shared" si="3"/>
        <v>0</v>
      </c>
      <c r="Z58" s="511">
        <f t="shared" si="4"/>
        <v>-200</v>
      </c>
      <c r="AA58" s="123">
        <f t="shared" si="5"/>
        <v>10000</v>
      </c>
      <c r="AB58" s="236" t="s">
        <v>570</v>
      </c>
      <c r="AC58" s="292"/>
    </row>
    <row r="59" spans="1:30" s="27" customFormat="1" ht="17.25" customHeight="1" x14ac:dyDescent="0.3">
      <c r="A59" s="11">
        <v>54</v>
      </c>
      <c r="B59" s="26" t="s">
        <v>237</v>
      </c>
      <c r="C59" s="314" t="s">
        <v>1694</v>
      </c>
      <c r="D59" s="297" t="s">
        <v>38</v>
      </c>
      <c r="E59" s="297" t="s">
        <v>1695</v>
      </c>
      <c r="F59" s="12" t="s">
        <v>113</v>
      </c>
      <c r="G59" s="12" t="s">
        <v>8</v>
      </c>
      <c r="H59" s="86" t="s">
        <v>23</v>
      </c>
      <c r="I59" s="122">
        <v>10000</v>
      </c>
      <c r="J59" s="75">
        <v>0</v>
      </c>
      <c r="K59" s="75">
        <v>0</v>
      </c>
      <c r="L59" s="81">
        <v>0</v>
      </c>
      <c r="M59" s="75">
        <v>0</v>
      </c>
      <c r="N59" s="75">
        <v>0</v>
      </c>
      <c r="O59" s="122">
        <v>0</v>
      </c>
      <c r="P59" s="75" t="s">
        <v>1350</v>
      </c>
      <c r="Q59" s="75">
        <v>2700</v>
      </c>
      <c r="R59" s="122">
        <v>2700</v>
      </c>
      <c r="S59" s="75">
        <v>0</v>
      </c>
      <c r="T59" s="75">
        <v>0</v>
      </c>
      <c r="U59" s="122">
        <v>0</v>
      </c>
      <c r="V59" s="75" t="s">
        <v>2953</v>
      </c>
      <c r="W59" s="75">
        <f>1350+1350+1350+1350+1350+550</f>
        <v>7300</v>
      </c>
      <c r="X59" s="122"/>
      <c r="Y59" s="145">
        <f t="shared" si="3"/>
        <v>7300</v>
      </c>
      <c r="Z59" s="294">
        <f t="shared" si="4"/>
        <v>0</v>
      </c>
      <c r="AA59" s="121">
        <f t="shared" si="5"/>
        <v>2700</v>
      </c>
      <c r="AB59" s="235" t="s">
        <v>570</v>
      </c>
      <c r="AC59" s="291">
        <f>10000-2700</f>
        <v>7300</v>
      </c>
    </row>
    <row r="60" spans="1:30" s="119" customFormat="1" ht="17.25" customHeight="1" x14ac:dyDescent="0.3">
      <c r="A60" s="182">
        <v>55</v>
      </c>
      <c r="B60" s="151" t="s">
        <v>305</v>
      </c>
      <c r="C60" s="517" t="s">
        <v>1696</v>
      </c>
      <c r="D60" s="148" t="s">
        <v>306</v>
      </c>
      <c r="E60" s="148" t="s">
        <v>1697</v>
      </c>
      <c r="F60" s="66" t="s">
        <v>113</v>
      </c>
      <c r="G60" s="66" t="s">
        <v>8</v>
      </c>
      <c r="H60" s="67" t="s">
        <v>381</v>
      </c>
      <c r="I60" s="123">
        <v>10000</v>
      </c>
      <c r="J60" s="117">
        <v>0</v>
      </c>
      <c r="K60" s="117">
        <v>0</v>
      </c>
      <c r="L60" s="118">
        <v>0</v>
      </c>
      <c r="M60" s="117">
        <v>0</v>
      </c>
      <c r="N60" s="117">
        <v>0</v>
      </c>
      <c r="O60" s="123">
        <v>0</v>
      </c>
      <c r="P60" s="117">
        <v>0</v>
      </c>
      <c r="Q60" s="117">
        <v>0</v>
      </c>
      <c r="R60" s="123">
        <v>0</v>
      </c>
      <c r="S60" s="117" t="s">
        <v>1359</v>
      </c>
      <c r="T60" s="117">
        <f>5700+3600+750</f>
        <v>10050</v>
      </c>
      <c r="U60" s="123">
        <f>5650+3600+750</f>
        <v>10000</v>
      </c>
      <c r="V60" s="117"/>
      <c r="W60" s="117"/>
      <c r="X60" s="123"/>
      <c r="Y60" s="123">
        <f t="shared" si="3"/>
        <v>0</v>
      </c>
      <c r="Z60" s="511">
        <f t="shared" si="4"/>
        <v>-50</v>
      </c>
      <c r="AA60" s="123">
        <f t="shared" si="5"/>
        <v>10000</v>
      </c>
      <c r="AB60" s="236" t="s">
        <v>570</v>
      </c>
      <c r="AC60" s="292">
        <f>10000-5650-3600-750</f>
        <v>0</v>
      </c>
      <c r="AD60" s="119" t="s">
        <v>2764</v>
      </c>
    </row>
    <row r="61" spans="1:30" s="27" customFormat="1" ht="17.25" customHeight="1" x14ac:dyDescent="0.3">
      <c r="A61" s="11">
        <v>56</v>
      </c>
      <c r="B61" s="40" t="s">
        <v>572</v>
      </c>
      <c r="C61" s="12" t="s">
        <v>1734</v>
      </c>
      <c r="D61" s="299">
        <v>890107015390</v>
      </c>
      <c r="E61" s="299" t="s">
        <v>574</v>
      </c>
      <c r="F61" s="12" t="s">
        <v>113</v>
      </c>
      <c r="G61" s="12" t="s">
        <v>8</v>
      </c>
      <c r="H61" s="86" t="s">
        <v>582</v>
      </c>
      <c r="I61" s="122">
        <v>10000</v>
      </c>
      <c r="J61" s="75">
        <v>0</v>
      </c>
      <c r="K61" s="75">
        <v>0</v>
      </c>
      <c r="L61" s="81">
        <v>0</v>
      </c>
      <c r="M61" s="75">
        <v>0</v>
      </c>
      <c r="N61" s="75">
        <v>0</v>
      </c>
      <c r="O61" s="122">
        <v>0</v>
      </c>
      <c r="P61" s="75">
        <v>0</v>
      </c>
      <c r="Q61" s="75">
        <v>0</v>
      </c>
      <c r="R61" s="122">
        <v>0</v>
      </c>
      <c r="S61" s="75" t="s">
        <v>1365</v>
      </c>
      <c r="T61" s="75">
        <f>4050+1350+1350</f>
        <v>6750</v>
      </c>
      <c r="U61" s="122">
        <f>4050+1350+1350</f>
        <v>6750</v>
      </c>
      <c r="V61" s="75" t="s">
        <v>2778</v>
      </c>
      <c r="W61" s="75">
        <f>1350+1350</f>
        <v>2700</v>
      </c>
      <c r="X61" s="122"/>
      <c r="Y61" s="145">
        <f t="shared" si="3"/>
        <v>3250</v>
      </c>
      <c r="Z61" s="294">
        <f t="shared" si="4"/>
        <v>550</v>
      </c>
      <c r="AA61" s="121">
        <f t="shared" si="5"/>
        <v>6750</v>
      </c>
      <c r="AB61" s="300"/>
      <c r="AC61" s="291">
        <f>10000-6750</f>
        <v>3250</v>
      </c>
    </row>
    <row r="62" spans="1:30" s="27" customFormat="1" ht="17.25" customHeight="1" x14ac:dyDescent="0.3">
      <c r="A62" s="182">
        <v>57</v>
      </c>
      <c r="B62" s="40" t="s">
        <v>2561</v>
      </c>
      <c r="C62" s="12" t="s">
        <v>1737</v>
      </c>
      <c r="D62" s="299">
        <v>830202035678</v>
      </c>
      <c r="E62" s="299" t="s">
        <v>1738</v>
      </c>
      <c r="F62" s="12" t="s">
        <v>113</v>
      </c>
      <c r="G62" s="12" t="s">
        <v>8</v>
      </c>
      <c r="H62" s="86" t="s">
        <v>404</v>
      </c>
      <c r="I62" s="122">
        <v>10000</v>
      </c>
      <c r="J62" s="75">
        <v>0</v>
      </c>
      <c r="K62" s="75">
        <v>0</v>
      </c>
      <c r="L62" s="81">
        <v>0</v>
      </c>
      <c r="M62" s="75">
        <v>0</v>
      </c>
      <c r="N62" s="75">
        <v>0</v>
      </c>
      <c r="O62" s="122">
        <v>0</v>
      </c>
      <c r="P62" s="75">
        <v>0</v>
      </c>
      <c r="Q62" s="75">
        <v>0</v>
      </c>
      <c r="R62" s="122">
        <v>0</v>
      </c>
      <c r="S62" s="75">
        <v>0</v>
      </c>
      <c r="T62" s="75">
        <v>0</v>
      </c>
      <c r="U62" s="122">
        <v>0</v>
      </c>
      <c r="V62" s="75" t="s">
        <v>2954</v>
      </c>
      <c r="W62" s="75">
        <f>1350+1350+1350+1350+1350+1350</f>
        <v>8100</v>
      </c>
      <c r="X62" s="122"/>
      <c r="Y62" s="145">
        <f t="shared" si="3"/>
        <v>10000</v>
      </c>
      <c r="Z62" s="294">
        <f t="shared" si="4"/>
        <v>1900</v>
      </c>
      <c r="AA62" s="121">
        <f t="shared" si="5"/>
        <v>0</v>
      </c>
      <c r="AB62" s="300"/>
      <c r="AC62" s="291">
        <f>10000</f>
        <v>10000</v>
      </c>
    </row>
    <row r="63" spans="1:30" s="27" customFormat="1" ht="17.25" customHeight="1" x14ac:dyDescent="0.3">
      <c r="A63" s="11">
        <v>58</v>
      </c>
      <c r="B63" s="40" t="s">
        <v>768</v>
      </c>
      <c r="C63" s="12" t="s">
        <v>1759</v>
      </c>
      <c r="D63" s="299">
        <v>741110035940</v>
      </c>
      <c r="E63" s="299" t="s">
        <v>1760</v>
      </c>
      <c r="F63" s="12" t="s">
        <v>113</v>
      </c>
      <c r="G63" s="12" t="s">
        <v>8</v>
      </c>
      <c r="H63" s="86" t="s">
        <v>577</v>
      </c>
      <c r="I63" s="122">
        <v>10000</v>
      </c>
      <c r="J63" s="75">
        <v>0</v>
      </c>
      <c r="K63" s="75">
        <v>0</v>
      </c>
      <c r="L63" s="81">
        <v>0</v>
      </c>
      <c r="M63" s="75">
        <v>0</v>
      </c>
      <c r="N63" s="75">
        <v>0</v>
      </c>
      <c r="O63" s="122">
        <v>0</v>
      </c>
      <c r="P63" s="75">
        <v>0</v>
      </c>
      <c r="Q63" s="75">
        <v>0</v>
      </c>
      <c r="R63" s="122">
        <v>0</v>
      </c>
      <c r="S63" s="75" t="s">
        <v>1368</v>
      </c>
      <c r="T63" s="75">
        <f>1200+1200+1200</f>
        <v>3600</v>
      </c>
      <c r="U63" s="122">
        <f>1200+1200+1200</f>
        <v>3600</v>
      </c>
      <c r="V63" s="75" t="s">
        <v>2775</v>
      </c>
      <c r="W63" s="75">
        <f>2400+2400+1600</f>
        <v>6400</v>
      </c>
      <c r="X63" s="122"/>
      <c r="Y63" s="145">
        <f t="shared" si="3"/>
        <v>6400</v>
      </c>
      <c r="Z63" s="294">
        <f t="shared" si="4"/>
        <v>0</v>
      </c>
      <c r="AA63" s="121">
        <f t="shared" si="5"/>
        <v>3600</v>
      </c>
      <c r="AB63" s="300" t="s">
        <v>570</v>
      </c>
      <c r="AC63" s="291">
        <f>10000-3600</f>
        <v>6400</v>
      </c>
    </row>
    <row r="64" spans="1:30" ht="17.25" customHeight="1" x14ac:dyDescent="0.3">
      <c r="A64" s="11">
        <v>59</v>
      </c>
      <c r="B64" s="104" t="s">
        <v>1139</v>
      </c>
      <c r="C64" s="105" t="s">
        <v>2955</v>
      </c>
      <c r="D64" s="319">
        <v>890228035064</v>
      </c>
      <c r="E64" s="319" t="s">
        <v>1771</v>
      </c>
      <c r="F64" s="105" t="s">
        <v>113</v>
      </c>
      <c r="G64" s="105" t="s">
        <v>8</v>
      </c>
      <c r="H64" s="320" t="s">
        <v>1140</v>
      </c>
      <c r="I64" s="245">
        <v>10000</v>
      </c>
      <c r="J64" s="181">
        <v>0</v>
      </c>
      <c r="K64" s="181">
        <v>0</v>
      </c>
      <c r="L64" s="244">
        <v>0</v>
      </c>
      <c r="M64" s="181">
        <v>0</v>
      </c>
      <c r="N64" s="181">
        <v>0</v>
      </c>
      <c r="O64" s="245">
        <v>0</v>
      </c>
      <c r="P64" s="181">
        <v>0</v>
      </c>
      <c r="Q64" s="181">
        <v>0</v>
      </c>
      <c r="R64" s="245">
        <v>0</v>
      </c>
      <c r="S64" s="181">
        <v>0</v>
      </c>
      <c r="T64" s="181">
        <v>0</v>
      </c>
      <c r="U64" s="245">
        <v>0</v>
      </c>
      <c r="V64" s="181" t="s">
        <v>2956</v>
      </c>
      <c r="W64" s="181">
        <f>3600+3600+2800</f>
        <v>10000</v>
      </c>
      <c r="X64" s="245"/>
      <c r="Y64" s="145">
        <f t="shared" si="3"/>
        <v>10000</v>
      </c>
      <c r="Z64" s="294">
        <f t="shared" si="4"/>
        <v>0</v>
      </c>
      <c r="AA64" s="121">
        <f t="shared" si="5"/>
        <v>0</v>
      </c>
      <c r="AB64" s="321" t="s">
        <v>570</v>
      </c>
      <c r="AC64" s="322">
        <f>10000</f>
        <v>10000</v>
      </c>
    </row>
    <row r="65" spans="1:144" s="119" customFormat="1" ht="17.25" customHeight="1" x14ac:dyDescent="0.3">
      <c r="A65" s="182">
        <v>60</v>
      </c>
      <c r="B65" s="65" t="s">
        <v>238</v>
      </c>
      <c r="C65" s="495" t="s">
        <v>1521</v>
      </c>
      <c r="D65" s="148" t="s">
        <v>41</v>
      </c>
      <c r="E65" s="148" t="s">
        <v>1698</v>
      </c>
      <c r="F65" s="66" t="s">
        <v>7</v>
      </c>
      <c r="G65" s="66" t="s">
        <v>8</v>
      </c>
      <c r="H65" s="67" t="s">
        <v>27</v>
      </c>
      <c r="I65" s="123">
        <v>10000</v>
      </c>
      <c r="J65" s="117" t="s">
        <v>568</v>
      </c>
      <c r="K65" s="117">
        <v>1200</v>
      </c>
      <c r="L65" s="118">
        <v>1200</v>
      </c>
      <c r="M65" s="117" t="s">
        <v>569</v>
      </c>
      <c r="N65" s="117">
        <f>3300+1200+1200+3600</f>
        <v>9300</v>
      </c>
      <c r="O65" s="536">
        <f>3250+1200+1200+3150</f>
        <v>8800</v>
      </c>
      <c r="P65" s="537"/>
      <c r="Q65" s="537"/>
      <c r="R65" s="538"/>
      <c r="S65" s="537"/>
      <c r="T65" s="537"/>
      <c r="U65" s="538"/>
      <c r="V65" s="537"/>
      <c r="W65" s="537"/>
      <c r="X65" s="538"/>
      <c r="Y65" s="123">
        <f t="shared" si="3"/>
        <v>0</v>
      </c>
      <c r="Z65" s="511">
        <f t="shared" si="4"/>
        <v>-500</v>
      </c>
      <c r="AA65" s="123">
        <f t="shared" si="5"/>
        <v>10000</v>
      </c>
      <c r="AB65" s="236" t="s">
        <v>570</v>
      </c>
      <c r="AC65" s="292"/>
    </row>
    <row r="66" spans="1:144" s="27" customFormat="1" ht="17.25" customHeight="1" x14ac:dyDescent="0.3">
      <c r="A66" s="11">
        <v>61</v>
      </c>
      <c r="B66" s="26" t="s">
        <v>239</v>
      </c>
      <c r="C66" s="314" t="s">
        <v>1699</v>
      </c>
      <c r="D66" s="297" t="s">
        <v>42</v>
      </c>
      <c r="E66" s="297" t="s">
        <v>1700</v>
      </c>
      <c r="F66" s="12" t="s">
        <v>113</v>
      </c>
      <c r="G66" s="12" t="s">
        <v>8</v>
      </c>
      <c r="H66" s="86" t="s">
        <v>1084</v>
      </c>
      <c r="I66" s="122">
        <v>10000</v>
      </c>
      <c r="J66" s="75">
        <v>0</v>
      </c>
      <c r="K66" s="75">
        <v>0</v>
      </c>
      <c r="L66" s="81">
        <v>0</v>
      </c>
      <c r="M66" s="75" t="s">
        <v>1085</v>
      </c>
      <c r="N66" s="75">
        <v>5700</v>
      </c>
      <c r="O66" s="122">
        <v>5700</v>
      </c>
      <c r="P66" s="75" t="s">
        <v>1086</v>
      </c>
      <c r="Q66" s="75">
        <v>3600</v>
      </c>
      <c r="R66" s="122">
        <v>3600</v>
      </c>
      <c r="S66" s="75">
        <v>0</v>
      </c>
      <c r="T66" s="75">
        <v>0</v>
      </c>
      <c r="U66" s="122">
        <v>0</v>
      </c>
      <c r="V66" s="75" t="s">
        <v>2957</v>
      </c>
      <c r="W66" s="75">
        <v>700</v>
      </c>
      <c r="X66" s="122"/>
      <c r="Y66" s="145">
        <f t="shared" si="3"/>
        <v>700</v>
      </c>
      <c r="Z66" s="294">
        <f t="shared" si="4"/>
        <v>0</v>
      </c>
      <c r="AA66" s="121">
        <f t="shared" si="5"/>
        <v>9300</v>
      </c>
      <c r="AB66" s="235" t="s">
        <v>570</v>
      </c>
      <c r="AC66" s="291">
        <f>10000-5700-3600</f>
        <v>700</v>
      </c>
    </row>
    <row r="67" spans="1:144" s="27" customFormat="1" ht="17.25" customHeight="1" x14ac:dyDescent="0.3">
      <c r="A67" s="182">
        <v>62</v>
      </c>
      <c r="B67" s="26" t="s">
        <v>240</v>
      </c>
      <c r="C67" s="314" t="s">
        <v>1701</v>
      </c>
      <c r="D67" s="297" t="s">
        <v>45</v>
      </c>
      <c r="E67" s="297" t="s">
        <v>1702</v>
      </c>
      <c r="F67" s="12" t="s">
        <v>113</v>
      </c>
      <c r="G67" s="12" t="s">
        <v>8</v>
      </c>
      <c r="H67" s="86" t="s">
        <v>23</v>
      </c>
      <c r="I67" s="122">
        <v>10000</v>
      </c>
      <c r="J67" s="75">
        <v>0</v>
      </c>
      <c r="K67" s="75">
        <v>0</v>
      </c>
      <c r="L67" s="81">
        <v>0</v>
      </c>
      <c r="M67" s="75">
        <v>0</v>
      </c>
      <c r="N67" s="75">
        <v>0</v>
      </c>
      <c r="O67" s="122">
        <v>0</v>
      </c>
      <c r="P67" s="75" t="s">
        <v>790</v>
      </c>
      <c r="Q67" s="75">
        <v>2400</v>
      </c>
      <c r="R67" s="122">
        <v>2400</v>
      </c>
      <c r="S67" s="75" t="s">
        <v>1360</v>
      </c>
      <c r="T67" s="75">
        <v>7200</v>
      </c>
      <c r="U67" s="122">
        <f>6000</f>
        <v>6000</v>
      </c>
      <c r="V67" s="75" t="s">
        <v>2774</v>
      </c>
      <c r="W67" s="75">
        <v>400</v>
      </c>
      <c r="X67" s="122"/>
      <c r="Y67" s="145">
        <f t="shared" si="3"/>
        <v>1600</v>
      </c>
      <c r="Z67" s="294">
        <f t="shared" si="4"/>
        <v>0</v>
      </c>
      <c r="AA67" s="121">
        <f t="shared" si="5"/>
        <v>8400</v>
      </c>
      <c r="AB67" s="235"/>
      <c r="AC67" s="291">
        <f>10000-2400-7200</f>
        <v>400</v>
      </c>
    </row>
    <row r="68" spans="1:144" s="119" customFormat="1" ht="17.25" customHeight="1" x14ac:dyDescent="0.3">
      <c r="A68" s="11">
        <v>63</v>
      </c>
      <c r="B68" s="65" t="s">
        <v>241</v>
      </c>
      <c r="C68" s="495" t="s">
        <v>1703</v>
      </c>
      <c r="D68" s="148" t="s">
        <v>44</v>
      </c>
      <c r="E68" s="148" t="s">
        <v>1704</v>
      </c>
      <c r="F68" s="66" t="s">
        <v>113</v>
      </c>
      <c r="G68" s="66" t="s">
        <v>8</v>
      </c>
      <c r="H68" s="67" t="s">
        <v>745</v>
      </c>
      <c r="I68" s="123">
        <v>10000</v>
      </c>
      <c r="J68" s="117">
        <v>0</v>
      </c>
      <c r="K68" s="117">
        <v>0</v>
      </c>
      <c r="L68" s="118">
        <v>0</v>
      </c>
      <c r="M68" s="117" t="s">
        <v>746</v>
      </c>
      <c r="N68" s="117">
        <v>1200</v>
      </c>
      <c r="O68" s="123">
        <v>1200</v>
      </c>
      <c r="P68" s="509" t="s">
        <v>610</v>
      </c>
      <c r="Q68" s="510">
        <v>7200</v>
      </c>
      <c r="R68" s="123">
        <v>7200</v>
      </c>
      <c r="S68" s="117" t="s">
        <v>1361</v>
      </c>
      <c r="T68" s="117">
        <v>1600</v>
      </c>
      <c r="U68" s="123">
        <v>1600</v>
      </c>
      <c r="V68" s="117"/>
      <c r="W68" s="117"/>
      <c r="X68" s="123"/>
      <c r="Y68" s="123">
        <f t="shared" si="3"/>
        <v>0</v>
      </c>
      <c r="Z68" s="511">
        <f t="shared" si="4"/>
        <v>0</v>
      </c>
      <c r="AA68" s="123">
        <f t="shared" si="5"/>
        <v>10000</v>
      </c>
      <c r="AB68" s="236" t="s">
        <v>570</v>
      </c>
      <c r="AC68" s="292">
        <f>10000-1200-7200-1600</f>
        <v>0</v>
      </c>
      <c r="AD68" s="119" t="s">
        <v>2958</v>
      </c>
    </row>
    <row r="69" spans="1:144" s="27" customFormat="1" ht="17.25" customHeight="1" x14ac:dyDescent="0.3">
      <c r="A69" s="11">
        <v>64</v>
      </c>
      <c r="B69" s="40" t="s">
        <v>323</v>
      </c>
      <c r="C69" s="315" t="s">
        <v>1705</v>
      </c>
      <c r="D69" s="297" t="s">
        <v>325</v>
      </c>
      <c r="E69" s="297" t="s">
        <v>1706</v>
      </c>
      <c r="F69" s="12" t="s">
        <v>113</v>
      </c>
      <c r="G69" s="12" t="s">
        <v>8</v>
      </c>
      <c r="H69" s="86" t="s">
        <v>324</v>
      </c>
      <c r="I69" s="122">
        <v>10000</v>
      </c>
      <c r="J69" s="75">
        <v>0</v>
      </c>
      <c r="K69" s="75">
        <v>0</v>
      </c>
      <c r="L69" s="81">
        <v>0</v>
      </c>
      <c r="M69" s="75">
        <v>0</v>
      </c>
      <c r="N69" s="75">
        <v>0</v>
      </c>
      <c r="O69" s="122">
        <v>0</v>
      </c>
      <c r="P69" s="75">
        <v>0</v>
      </c>
      <c r="Q69" s="75">
        <v>0</v>
      </c>
      <c r="R69" s="122">
        <v>0</v>
      </c>
      <c r="S69" s="75" t="s">
        <v>659</v>
      </c>
      <c r="T69" s="75">
        <v>2700</v>
      </c>
      <c r="U69" s="122">
        <v>2700</v>
      </c>
      <c r="V69" s="75" t="s">
        <v>2959</v>
      </c>
      <c r="W69" s="75">
        <f>1350+1350+1350+1350+1350+550</f>
        <v>7300</v>
      </c>
      <c r="X69" s="122"/>
      <c r="Y69" s="145">
        <f t="shared" si="3"/>
        <v>7300</v>
      </c>
      <c r="Z69" s="294">
        <f t="shared" si="4"/>
        <v>0</v>
      </c>
      <c r="AA69" s="121">
        <f t="shared" si="5"/>
        <v>2700</v>
      </c>
      <c r="AB69" s="235" t="s">
        <v>570</v>
      </c>
      <c r="AC69" s="291">
        <f>10000-2700</f>
        <v>7300</v>
      </c>
    </row>
    <row r="70" spans="1:144" s="119" customFormat="1" ht="17.25" customHeight="1" x14ac:dyDescent="0.3">
      <c r="A70" s="182">
        <v>65</v>
      </c>
      <c r="B70" s="151" t="s">
        <v>309</v>
      </c>
      <c r="C70" s="66" t="s">
        <v>1707</v>
      </c>
      <c r="D70" s="144" t="s">
        <v>310</v>
      </c>
      <c r="E70" s="144" t="s">
        <v>1708</v>
      </c>
      <c r="F70" s="66" t="s">
        <v>113</v>
      </c>
      <c r="G70" s="66" t="s">
        <v>8</v>
      </c>
      <c r="H70" s="67" t="s">
        <v>381</v>
      </c>
      <c r="I70" s="123">
        <v>10000</v>
      </c>
      <c r="J70" s="117">
        <v>0</v>
      </c>
      <c r="K70" s="117">
        <v>0</v>
      </c>
      <c r="L70" s="118">
        <v>0</v>
      </c>
      <c r="M70" s="117">
        <v>0</v>
      </c>
      <c r="N70" s="117">
        <v>0</v>
      </c>
      <c r="O70" s="123">
        <v>0</v>
      </c>
      <c r="P70" s="117">
        <v>0</v>
      </c>
      <c r="Q70" s="117">
        <v>0</v>
      </c>
      <c r="R70" s="123">
        <v>0</v>
      </c>
      <c r="S70" s="117" t="s">
        <v>2960</v>
      </c>
      <c r="T70" s="117">
        <f>5700+3600+750</f>
        <v>10050</v>
      </c>
      <c r="U70" s="123">
        <f>5650+3600+750</f>
        <v>10000</v>
      </c>
      <c r="V70" s="117"/>
      <c r="W70" s="117"/>
      <c r="X70" s="123"/>
      <c r="Y70" s="123">
        <f t="shared" ref="Y70:Y99" si="6">I70-L70-O70-R70-U70-X70</f>
        <v>0</v>
      </c>
      <c r="Z70" s="511">
        <f t="shared" ref="Z70:Z99" si="7">I70-K70 -N70 -Q70-T70-W70</f>
        <v>-50</v>
      </c>
      <c r="AA70" s="123">
        <f t="shared" ref="AA70:AA99" si="8">L70+O70+R70+U70+X70</f>
        <v>10000</v>
      </c>
      <c r="AB70" s="236" t="s">
        <v>570</v>
      </c>
      <c r="AC70" s="292">
        <f>10000-5650-3600-750</f>
        <v>0</v>
      </c>
    </row>
    <row r="71" spans="1:144" s="119" customFormat="1" ht="17.25" customHeight="1" x14ac:dyDescent="0.3">
      <c r="A71" s="11">
        <v>66</v>
      </c>
      <c r="B71" s="65" t="s">
        <v>242</v>
      </c>
      <c r="C71" s="496" t="s">
        <v>1709</v>
      </c>
      <c r="D71" s="144" t="s">
        <v>46</v>
      </c>
      <c r="E71" s="144" t="s">
        <v>1710</v>
      </c>
      <c r="F71" s="66" t="s">
        <v>448</v>
      </c>
      <c r="G71" s="66" t="s">
        <v>8</v>
      </c>
      <c r="H71" s="67" t="s">
        <v>871</v>
      </c>
      <c r="I71" s="123">
        <v>10000</v>
      </c>
      <c r="J71" s="117">
        <v>0</v>
      </c>
      <c r="K71" s="117">
        <v>0</v>
      </c>
      <c r="L71" s="118">
        <v>0</v>
      </c>
      <c r="M71" s="117" t="s">
        <v>869</v>
      </c>
      <c r="N71" s="117">
        <f>3300+1200</f>
        <v>4500</v>
      </c>
      <c r="O71" s="123">
        <f>3300+1200</f>
        <v>4500</v>
      </c>
      <c r="P71" s="117" t="s">
        <v>870</v>
      </c>
      <c r="Q71" s="117">
        <v>4800</v>
      </c>
      <c r="R71" s="123">
        <v>3600</v>
      </c>
      <c r="S71" s="117" t="s">
        <v>1362</v>
      </c>
      <c r="T71" s="117">
        <f>700+1200</f>
        <v>1900</v>
      </c>
      <c r="U71" s="123">
        <f>700+1200</f>
        <v>1900</v>
      </c>
      <c r="V71" s="117"/>
      <c r="W71" s="117"/>
      <c r="X71" s="123"/>
      <c r="Y71" s="123">
        <f t="shared" si="6"/>
        <v>0</v>
      </c>
      <c r="Z71" s="511">
        <f t="shared" si="7"/>
        <v>-1200</v>
      </c>
      <c r="AA71" s="123">
        <f t="shared" si="8"/>
        <v>10000</v>
      </c>
      <c r="AB71" s="236" t="s">
        <v>570</v>
      </c>
      <c r="AC71" s="292">
        <f>10000-4500-3600-1900</f>
        <v>0</v>
      </c>
      <c r="AD71" s="119" t="s">
        <v>2777</v>
      </c>
    </row>
    <row r="72" spans="1:144" s="119" customFormat="1" ht="17.25" customHeight="1" x14ac:dyDescent="0.3">
      <c r="A72" s="182">
        <v>67</v>
      </c>
      <c r="B72" s="65" t="s">
        <v>243</v>
      </c>
      <c r="C72" s="496" t="s">
        <v>1711</v>
      </c>
      <c r="D72" s="144" t="s">
        <v>47</v>
      </c>
      <c r="E72" s="144" t="s">
        <v>1712</v>
      </c>
      <c r="F72" s="66" t="s">
        <v>113</v>
      </c>
      <c r="G72" s="66" t="s">
        <v>8</v>
      </c>
      <c r="H72" s="67" t="s">
        <v>48</v>
      </c>
      <c r="I72" s="123">
        <v>10000</v>
      </c>
      <c r="J72" s="117">
        <v>0</v>
      </c>
      <c r="K72" s="117">
        <v>0</v>
      </c>
      <c r="L72" s="118">
        <v>0</v>
      </c>
      <c r="M72" s="117" t="s">
        <v>786</v>
      </c>
      <c r="N72" s="117">
        <v>5700</v>
      </c>
      <c r="O72" s="123">
        <v>5700</v>
      </c>
      <c r="P72" s="117" t="s">
        <v>787</v>
      </c>
      <c r="Q72" s="117">
        <v>3600</v>
      </c>
      <c r="R72" s="123">
        <v>3600</v>
      </c>
      <c r="S72" s="117" t="s">
        <v>1363</v>
      </c>
      <c r="T72" s="117">
        <v>700</v>
      </c>
      <c r="U72" s="123">
        <v>700</v>
      </c>
      <c r="V72" s="117"/>
      <c r="W72" s="117"/>
      <c r="X72" s="123"/>
      <c r="Y72" s="123">
        <f t="shared" si="6"/>
        <v>0</v>
      </c>
      <c r="Z72" s="511">
        <f t="shared" si="7"/>
        <v>0</v>
      </c>
      <c r="AA72" s="123">
        <f t="shared" si="8"/>
        <v>10000</v>
      </c>
      <c r="AB72" s="236" t="s">
        <v>570</v>
      </c>
      <c r="AC72" s="292">
        <f>10000-5700-3600-700</f>
        <v>0</v>
      </c>
    </row>
    <row r="73" spans="1:144" s="27" customFormat="1" ht="17.25" customHeight="1" x14ac:dyDescent="0.3">
      <c r="A73" s="11">
        <v>68</v>
      </c>
      <c r="B73" s="40" t="s">
        <v>709</v>
      </c>
      <c r="C73" s="12" t="s">
        <v>1754</v>
      </c>
      <c r="D73" s="299">
        <v>891229036100</v>
      </c>
      <c r="E73" s="299" t="s">
        <v>1755</v>
      </c>
      <c r="F73" s="12" t="s">
        <v>113</v>
      </c>
      <c r="G73" s="12" t="s">
        <v>8</v>
      </c>
      <c r="H73" s="86" t="s">
        <v>503</v>
      </c>
      <c r="I73" s="122">
        <v>10000</v>
      </c>
      <c r="J73" s="75">
        <v>0</v>
      </c>
      <c r="K73" s="75">
        <v>0</v>
      </c>
      <c r="L73" s="81">
        <v>0</v>
      </c>
      <c r="M73" s="75">
        <v>0</v>
      </c>
      <c r="N73" s="75">
        <v>0</v>
      </c>
      <c r="O73" s="122">
        <v>0</v>
      </c>
      <c r="P73" s="75">
        <v>0</v>
      </c>
      <c r="Q73" s="75">
        <v>0</v>
      </c>
      <c r="R73" s="122">
        <v>0</v>
      </c>
      <c r="S73" s="75" t="s">
        <v>917</v>
      </c>
      <c r="T73" s="75">
        <f>5650+3600</f>
        <v>9250</v>
      </c>
      <c r="U73" s="122">
        <f>5650+3600</f>
        <v>9250</v>
      </c>
      <c r="V73" s="75" t="s">
        <v>2961</v>
      </c>
      <c r="W73" s="75">
        <v>750</v>
      </c>
      <c r="X73" s="122"/>
      <c r="Y73" s="145">
        <f t="shared" si="6"/>
        <v>750</v>
      </c>
      <c r="Z73" s="294">
        <f t="shared" si="7"/>
        <v>0</v>
      </c>
      <c r="AA73" s="121">
        <f t="shared" si="8"/>
        <v>9250</v>
      </c>
      <c r="AB73" s="300" t="s">
        <v>570</v>
      </c>
      <c r="AC73" s="291">
        <f>10000-9250</f>
        <v>750</v>
      </c>
    </row>
    <row r="74" spans="1:144" s="27" customFormat="1" ht="17.25" customHeight="1" x14ac:dyDescent="0.3">
      <c r="A74" s="11">
        <v>69</v>
      </c>
      <c r="B74" s="40" t="s">
        <v>710</v>
      </c>
      <c r="C74" s="12" t="s">
        <v>1756</v>
      </c>
      <c r="D74" s="299">
        <v>890727035122</v>
      </c>
      <c r="E74" s="299" t="s">
        <v>1284</v>
      </c>
      <c r="F74" s="12" t="s">
        <v>113</v>
      </c>
      <c r="G74" s="12" t="s">
        <v>8</v>
      </c>
      <c r="H74" s="86" t="s">
        <v>503</v>
      </c>
      <c r="I74" s="122">
        <v>10000</v>
      </c>
      <c r="J74" s="75">
        <v>0</v>
      </c>
      <c r="K74" s="75">
        <v>0</v>
      </c>
      <c r="L74" s="81">
        <v>0</v>
      </c>
      <c r="M74" s="75">
        <v>0</v>
      </c>
      <c r="N74" s="75">
        <v>0</v>
      </c>
      <c r="O74" s="122">
        <v>0</v>
      </c>
      <c r="P74" s="75">
        <v>0</v>
      </c>
      <c r="Q74" s="75">
        <v>0</v>
      </c>
      <c r="R74" s="122">
        <v>0</v>
      </c>
      <c r="S74" s="75" t="s">
        <v>918</v>
      </c>
      <c r="T74" s="75">
        <f>5650+3600</f>
        <v>9250</v>
      </c>
      <c r="U74" s="122">
        <f>5650+3600</f>
        <v>9250</v>
      </c>
      <c r="V74" s="75" t="s">
        <v>2962</v>
      </c>
      <c r="W74" s="75">
        <v>750</v>
      </c>
      <c r="X74" s="122"/>
      <c r="Y74" s="145">
        <f t="shared" si="6"/>
        <v>750</v>
      </c>
      <c r="Z74" s="294">
        <f t="shared" si="7"/>
        <v>0</v>
      </c>
      <c r="AA74" s="121">
        <f t="shared" si="8"/>
        <v>9250</v>
      </c>
      <c r="AB74" s="300" t="s">
        <v>570</v>
      </c>
      <c r="AC74" s="291">
        <f>10000-9250</f>
        <v>750</v>
      </c>
    </row>
    <row r="75" spans="1:144" ht="17.25" customHeight="1" x14ac:dyDescent="0.3">
      <c r="A75" s="182">
        <v>70</v>
      </c>
      <c r="B75" s="83" t="s">
        <v>930</v>
      </c>
      <c r="C75" s="82" t="s">
        <v>1763</v>
      </c>
      <c r="D75" s="125">
        <v>910212035006</v>
      </c>
      <c r="E75" s="125" t="s">
        <v>1286</v>
      </c>
      <c r="F75" s="82" t="s">
        <v>113</v>
      </c>
      <c r="G75" s="82" t="s">
        <v>8</v>
      </c>
      <c r="H75" s="85" t="s">
        <v>503</v>
      </c>
      <c r="I75" s="121">
        <v>10000</v>
      </c>
      <c r="J75" s="89">
        <v>0</v>
      </c>
      <c r="K75" s="89">
        <v>0</v>
      </c>
      <c r="L75" s="99">
        <v>0</v>
      </c>
      <c r="M75" s="89">
        <v>0</v>
      </c>
      <c r="N75" s="89">
        <v>0</v>
      </c>
      <c r="O75" s="121">
        <v>0</v>
      </c>
      <c r="P75" s="89">
        <v>0</v>
      </c>
      <c r="Q75" s="89">
        <v>0</v>
      </c>
      <c r="R75" s="121">
        <v>0</v>
      </c>
      <c r="S75" s="89" t="s">
        <v>932</v>
      </c>
      <c r="T75" s="89">
        <v>5650</v>
      </c>
      <c r="U75" s="121">
        <v>5150</v>
      </c>
      <c r="V75" s="89" t="s">
        <v>2963</v>
      </c>
      <c r="W75" s="89">
        <f>3600+1250</f>
        <v>4850</v>
      </c>
      <c r="X75" s="121"/>
      <c r="Y75" s="145">
        <f t="shared" si="6"/>
        <v>4850</v>
      </c>
      <c r="Z75" s="294">
        <f t="shared" si="7"/>
        <v>-500</v>
      </c>
      <c r="AA75" s="121">
        <f t="shared" si="8"/>
        <v>5150</v>
      </c>
      <c r="AB75" s="406" t="s">
        <v>570</v>
      </c>
      <c r="AC75" s="290">
        <f>10000-5150</f>
        <v>4850</v>
      </c>
      <c r="AD75" s="1" t="s">
        <v>888</v>
      </c>
    </row>
    <row r="76" spans="1:144" s="40" customFormat="1" ht="17.25" customHeight="1" x14ac:dyDescent="0.3">
      <c r="A76" s="11">
        <v>71</v>
      </c>
      <c r="B76" s="40" t="s">
        <v>1772</v>
      </c>
      <c r="C76" s="12" t="s">
        <v>1571</v>
      </c>
      <c r="D76" s="299">
        <v>880407086060</v>
      </c>
      <c r="E76" s="299" t="s">
        <v>1570</v>
      </c>
      <c r="F76" s="12" t="s">
        <v>113</v>
      </c>
      <c r="G76" s="12" t="s">
        <v>8</v>
      </c>
      <c r="H76" s="86" t="s">
        <v>1572</v>
      </c>
      <c r="I76" s="122">
        <v>6300</v>
      </c>
      <c r="J76" s="75">
        <v>0</v>
      </c>
      <c r="K76" s="75">
        <v>0</v>
      </c>
      <c r="L76" s="81">
        <v>0</v>
      </c>
      <c r="M76" s="75">
        <v>0</v>
      </c>
      <c r="N76" s="75">
        <v>0</v>
      </c>
      <c r="O76" s="122">
        <v>0</v>
      </c>
      <c r="P76" s="75">
        <v>0</v>
      </c>
      <c r="Q76" s="75">
        <v>0</v>
      </c>
      <c r="R76" s="122">
        <v>0</v>
      </c>
      <c r="S76" s="75">
        <v>0</v>
      </c>
      <c r="T76" s="75">
        <v>0</v>
      </c>
      <c r="U76" s="122">
        <v>0</v>
      </c>
      <c r="V76" s="75" t="s">
        <v>2997</v>
      </c>
      <c r="W76" s="75">
        <f>1200+1200+1200+1350+1350</f>
        <v>6300</v>
      </c>
      <c r="X76" s="122"/>
      <c r="Y76" s="145">
        <f t="shared" si="6"/>
        <v>6300</v>
      </c>
      <c r="Z76" s="294">
        <f t="shared" si="7"/>
        <v>0</v>
      </c>
      <c r="AA76" s="121">
        <f t="shared" si="8"/>
        <v>0</v>
      </c>
      <c r="AB76" s="300" t="s">
        <v>570</v>
      </c>
      <c r="AC76" s="291">
        <f>10000</f>
        <v>10000</v>
      </c>
      <c r="AD76" s="37" t="s">
        <v>2998</v>
      </c>
      <c r="AE76" s="37"/>
      <c r="AF76" s="37"/>
      <c r="AG76" s="37" t="s">
        <v>2999</v>
      </c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</row>
    <row r="77" spans="1:144" s="119" customFormat="1" x14ac:dyDescent="0.3">
      <c r="A77" s="182">
        <v>72</v>
      </c>
      <c r="B77" s="151" t="s">
        <v>1098</v>
      </c>
      <c r="C77" s="66" t="s">
        <v>1791</v>
      </c>
      <c r="D77" s="516">
        <v>891126065240</v>
      </c>
      <c r="E77" s="516" t="s">
        <v>1792</v>
      </c>
      <c r="F77" s="66" t="s">
        <v>113</v>
      </c>
      <c r="G77" s="66" t="s">
        <v>8</v>
      </c>
      <c r="H77" s="67" t="s">
        <v>994</v>
      </c>
      <c r="I77" s="123">
        <v>10000</v>
      </c>
      <c r="J77" s="117">
        <v>0</v>
      </c>
      <c r="K77" s="117">
        <v>0</v>
      </c>
      <c r="L77" s="123">
        <v>0</v>
      </c>
      <c r="M77" s="151" t="s">
        <v>1099</v>
      </c>
      <c r="N77" s="117">
        <f>3300+7200</f>
        <v>10500</v>
      </c>
      <c r="O77" s="123">
        <f>3250+6750</f>
        <v>10000</v>
      </c>
      <c r="P77" s="151"/>
      <c r="Q77" s="117"/>
      <c r="R77" s="123"/>
      <c r="S77" s="151"/>
      <c r="T77" s="117"/>
      <c r="U77" s="123"/>
      <c r="V77" s="117">
        <f>I77-K77-N77-Q77-T77</f>
        <v>-500</v>
      </c>
      <c r="W77" s="117">
        <f>I77-L77-O77-R77-U77</f>
        <v>0</v>
      </c>
      <c r="X77" s="123">
        <f>L77+O77+R77+U77</f>
        <v>10000</v>
      </c>
      <c r="Y77" s="123">
        <f t="shared" si="6"/>
        <v>-10000</v>
      </c>
      <c r="Z77" s="511">
        <f t="shared" si="7"/>
        <v>-500</v>
      </c>
      <c r="AA77" s="123">
        <f t="shared" si="8"/>
        <v>20000</v>
      </c>
      <c r="AB77" s="237" t="s">
        <v>570</v>
      </c>
      <c r="AC77" s="237"/>
    </row>
    <row r="78" spans="1:144" s="119" customFormat="1" x14ac:dyDescent="0.3">
      <c r="A78" s="11">
        <v>73</v>
      </c>
      <c r="B78" s="151" t="s">
        <v>1101</v>
      </c>
      <c r="C78" s="66" t="s">
        <v>1793</v>
      </c>
      <c r="D78" s="516">
        <v>890714145154</v>
      </c>
      <c r="E78" s="516" t="s">
        <v>1794</v>
      </c>
      <c r="F78" s="66" t="s">
        <v>113</v>
      </c>
      <c r="G78" s="66" t="s">
        <v>8</v>
      </c>
      <c r="H78" s="67" t="s">
        <v>1102</v>
      </c>
      <c r="I78" s="123">
        <v>3600</v>
      </c>
      <c r="J78" s="117">
        <v>0</v>
      </c>
      <c r="K78" s="117">
        <v>0</v>
      </c>
      <c r="L78" s="123">
        <v>0</v>
      </c>
      <c r="M78" s="151" t="s">
        <v>1103</v>
      </c>
      <c r="N78" s="599">
        <v>4800</v>
      </c>
      <c r="O78" s="600">
        <f>1200+1200+1200</f>
        <v>3600</v>
      </c>
      <c r="P78" s="151"/>
      <c r="Q78" s="117"/>
      <c r="R78" s="123"/>
      <c r="S78" s="151"/>
      <c r="T78" s="117"/>
      <c r="U78" s="123"/>
      <c r="V78" s="117">
        <f>I78-K78-N78-Q78-T78</f>
        <v>-1200</v>
      </c>
      <c r="W78" s="117">
        <f>I78-L78-O78-R78-U78</f>
        <v>0</v>
      </c>
      <c r="X78" s="123">
        <f>L78+O78+R78+U78</f>
        <v>3600</v>
      </c>
      <c r="Y78" s="123">
        <f t="shared" si="6"/>
        <v>-3600</v>
      </c>
      <c r="Z78" s="511">
        <f t="shared" si="7"/>
        <v>-1200</v>
      </c>
      <c r="AA78" s="123">
        <f t="shared" si="8"/>
        <v>7200</v>
      </c>
      <c r="AB78" s="237" t="s">
        <v>570</v>
      </c>
      <c r="AC78" s="292" t="s">
        <v>683</v>
      </c>
    </row>
    <row r="79" spans="1:144" s="119" customFormat="1" x14ac:dyDescent="0.3">
      <c r="A79" s="11">
        <v>74</v>
      </c>
      <c r="B79" s="151" t="s">
        <v>1104</v>
      </c>
      <c r="C79" s="66" t="s">
        <v>1795</v>
      </c>
      <c r="D79" s="516">
        <v>890403036196</v>
      </c>
      <c r="E79" s="516" t="s">
        <v>1796</v>
      </c>
      <c r="F79" s="66" t="s">
        <v>7</v>
      </c>
      <c r="G79" s="66" t="s">
        <v>8</v>
      </c>
      <c r="H79" s="67" t="s">
        <v>994</v>
      </c>
      <c r="I79" s="123">
        <v>10000</v>
      </c>
      <c r="J79" s="117">
        <v>0</v>
      </c>
      <c r="K79" s="117">
        <v>0</v>
      </c>
      <c r="L79" s="123">
        <v>0</v>
      </c>
      <c r="M79" s="151" t="s">
        <v>1105</v>
      </c>
      <c r="N79" s="117">
        <f>3300+6000</f>
        <v>9300</v>
      </c>
      <c r="O79" s="123">
        <f>3250+6000</f>
        <v>9250</v>
      </c>
      <c r="P79" s="151" t="s">
        <v>1106</v>
      </c>
      <c r="Q79" s="117">
        <v>750</v>
      </c>
      <c r="R79" s="123">
        <v>750</v>
      </c>
      <c r="S79" s="151"/>
      <c r="T79" s="117"/>
      <c r="U79" s="123"/>
      <c r="V79" s="117">
        <f>I79-K79-N79-Q79-T79</f>
        <v>-50</v>
      </c>
      <c r="W79" s="117">
        <f>I79-L79-O79-R79-U79</f>
        <v>0</v>
      </c>
      <c r="X79" s="123">
        <f>L79+O79+R79+U79</f>
        <v>10000</v>
      </c>
      <c r="Y79" s="123">
        <f t="shared" si="6"/>
        <v>-10000</v>
      </c>
      <c r="Z79" s="511">
        <f t="shared" si="7"/>
        <v>-50</v>
      </c>
      <c r="AA79" s="123">
        <f t="shared" si="8"/>
        <v>20000</v>
      </c>
      <c r="AB79" s="237" t="s">
        <v>570</v>
      </c>
      <c r="AC79" s="237"/>
    </row>
    <row r="80" spans="1:144" s="119" customFormat="1" x14ac:dyDescent="0.3">
      <c r="A80" s="182">
        <v>75</v>
      </c>
      <c r="B80" s="151" t="s">
        <v>1332</v>
      </c>
      <c r="C80" s="66" t="s">
        <v>1797</v>
      </c>
      <c r="D80" s="516">
        <v>890426065424</v>
      </c>
      <c r="E80" s="516" t="s">
        <v>1798</v>
      </c>
      <c r="F80" s="66" t="s">
        <v>7</v>
      </c>
      <c r="G80" s="66" t="s">
        <v>8</v>
      </c>
      <c r="H80" s="67" t="s">
        <v>994</v>
      </c>
      <c r="I80" s="123">
        <v>10000</v>
      </c>
      <c r="J80" s="117">
        <v>0</v>
      </c>
      <c r="K80" s="117">
        <v>0</v>
      </c>
      <c r="L80" s="123">
        <v>0</v>
      </c>
      <c r="M80" s="151" t="s">
        <v>2964</v>
      </c>
      <c r="N80" s="117">
        <f>3300+1200+3600</f>
        <v>8100</v>
      </c>
      <c r="O80" s="123">
        <f>3300+1200+3600</f>
        <v>8100</v>
      </c>
      <c r="P80" s="151" t="s">
        <v>1349</v>
      </c>
      <c r="Q80" s="117">
        <v>1900</v>
      </c>
      <c r="R80" s="123">
        <v>1900</v>
      </c>
      <c r="S80" s="151"/>
      <c r="T80" s="151"/>
      <c r="U80" s="422"/>
      <c r="V80" s="117">
        <f>I80-K80-N80-Q80-T80</f>
        <v>0</v>
      </c>
      <c r="W80" s="117">
        <f>I80-L80-O80-R80-U80</f>
        <v>0</v>
      </c>
      <c r="X80" s="123">
        <f>L80+O80+R80+U80</f>
        <v>10000</v>
      </c>
      <c r="Y80" s="123">
        <f t="shared" si="6"/>
        <v>-10000</v>
      </c>
      <c r="Z80" s="511">
        <f t="shared" si="7"/>
        <v>0</v>
      </c>
      <c r="AA80" s="123">
        <f t="shared" si="8"/>
        <v>20000</v>
      </c>
      <c r="AB80" s="237" t="s">
        <v>570</v>
      </c>
      <c r="AC80" s="552">
        <f>I80-O80-Q80</f>
        <v>0</v>
      </c>
    </row>
    <row r="81" spans="1:30" s="607" customFormat="1" x14ac:dyDescent="0.3">
      <c r="A81" s="11">
        <v>76</v>
      </c>
      <c r="B81" s="602" t="s">
        <v>1334</v>
      </c>
      <c r="C81" s="601" t="s">
        <v>1799</v>
      </c>
      <c r="D81" s="603">
        <v>850629115376</v>
      </c>
      <c r="E81" s="603" t="s">
        <v>1800</v>
      </c>
      <c r="F81" s="601" t="s">
        <v>7</v>
      </c>
      <c r="G81" s="601" t="s">
        <v>8</v>
      </c>
      <c r="H81" s="604" t="s">
        <v>1984</v>
      </c>
      <c r="I81" s="536">
        <v>10000</v>
      </c>
      <c r="J81" s="602" t="s">
        <v>1421</v>
      </c>
      <c r="K81" s="511">
        <v>3300</v>
      </c>
      <c r="L81" s="536">
        <v>3250</v>
      </c>
      <c r="M81" s="602" t="s">
        <v>1422</v>
      </c>
      <c r="N81" s="511">
        <f>1200+1200+4800</f>
        <v>7200</v>
      </c>
      <c r="O81" s="536">
        <f>1200+1200+4350</f>
        <v>6750</v>
      </c>
      <c r="P81" s="602"/>
      <c r="Q81" s="511"/>
      <c r="R81" s="536"/>
      <c r="S81" s="602"/>
      <c r="T81" s="602"/>
      <c r="U81" s="605"/>
      <c r="V81" s="602"/>
      <c r="W81" s="602"/>
      <c r="X81" s="605"/>
      <c r="Y81" s="536">
        <f t="shared" si="6"/>
        <v>0</v>
      </c>
      <c r="Z81" s="511">
        <f t="shared" si="7"/>
        <v>-500</v>
      </c>
      <c r="AA81" s="536">
        <f t="shared" si="8"/>
        <v>10000</v>
      </c>
      <c r="AB81" s="608" t="s">
        <v>570</v>
      </c>
      <c r="AC81" s="606">
        <f>I81-L81-O81</f>
        <v>0</v>
      </c>
    </row>
    <row r="82" spans="1:30" s="119" customFormat="1" x14ac:dyDescent="0.3">
      <c r="A82" s="182">
        <v>77</v>
      </c>
      <c r="B82" s="151" t="s">
        <v>1335</v>
      </c>
      <c r="C82" s="66" t="s">
        <v>1801</v>
      </c>
      <c r="D82" s="516">
        <v>860912295578</v>
      </c>
      <c r="E82" s="516" t="s">
        <v>1802</v>
      </c>
      <c r="F82" s="66" t="s">
        <v>7</v>
      </c>
      <c r="G82" s="66" t="s">
        <v>8</v>
      </c>
      <c r="H82" s="67" t="s">
        <v>1984</v>
      </c>
      <c r="I82" s="123">
        <v>10000</v>
      </c>
      <c r="J82" s="151" t="s">
        <v>1423</v>
      </c>
      <c r="K82" s="117">
        <v>3300</v>
      </c>
      <c r="L82" s="123">
        <v>3250</v>
      </c>
      <c r="M82" s="151" t="s">
        <v>2965</v>
      </c>
      <c r="N82" s="117">
        <f>1200+1200+4800</f>
        <v>7200</v>
      </c>
      <c r="O82" s="123">
        <f>1200+1200+4350</f>
        <v>6750</v>
      </c>
      <c r="P82" s="151"/>
      <c r="Q82" s="117"/>
      <c r="R82" s="123"/>
      <c r="S82" s="151"/>
      <c r="T82" s="151"/>
      <c r="U82" s="422"/>
      <c r="V82" s="151"/>
      <c r="W82" s="151"/>
      <c r="X82" s="422"/>
      <c r="Y82" s="123">
        <f t="shared" si="6"/>
        <v>0</v>
      </c>
      <c r="Z82" s="511">
        <f t="shared" si="7"/>
        <v>-500</v>
      </c>
      <c r="AA82" s="123">
        <f t="shared" si="8"/>
        <v>10000</v>
      </c>
      <c r="AB82" s="237" t="s">
        <v>570</v>
      </c>
      <c r="AC82" s="237"/>
    </row>
    <row r="83" spans="1:30" s="607" customFormat="1" ht="17.25" customHeight="1" x14ac:dyDescent="0.3">
      <c r="A83" s="53">
        <v>78</v>
      </c>
      <c r="B83" s="609" t="s">
        <v>244</v>
      </c>
      <c r="C83" s="384" t="s">
        <v>1713</v>
      </c>
      <c r="D83" s="610" t="s">
        <v>49</v>
      </c>
      <c r="E83" s="610" t="s">
        <v>1714</v>
      </c>
      <c r="F83" s="601" t="s">
        <v>7</v>
      </c>
      <c r="G83" s="601" t="s">
        <v>8</v>
      </c>
      <c r="H83" s="604" t="s">
        <v>27</v>
      </c>
      <c r="I83" s="536">
        <v>10000</v>
      </c>
      <c r="J83" s="511">
        <v>0</v>
      </c>
      <c r="K83" s="511">
        <v>0</v>
      </c>
      <c r="L83" s="611">
        <v>0</v>
      </c>
      <c r="M83" s="511" t="s">
        <v>1329</v>
      </c>
      <c r="N83" s="511">
        <f>7500+4050</f>
        <v>11550</v>
      </c>
      <c r="O83" s="536">
        <f>5950+4050</f>
        <v>10000</v>
      </c>
      <c r="P83" s="511"/>
      <c r="Q83" s="511"/>
      <c r="R83" s="536"/>
      <c r="S83" s="511"/>
      <c r="T83" s="511"/>
      <c r="U83" s="536"/>
      <c r="V83" s="511"/>
      <c r="W83" s="511"/>
      <c r="X83" s="536"/>
      <c r="Y83" s="536">
        <f t="shared" si="6"/>
        <v>0</v>
      </c>
      <c r="Z83" s="511">
        <f t="shared" si="7"/>
        <v>-1550</v>
      </c>
      <c r="AA83" s="536">
        <f t="shared" si="8"/>
        <v>10000</v>
      </c>
      <c r="AB83" s="612" t="s">
        <v>570</v>
      </c>
      <c r="AC83" s="613"/>
    </row>
    <row r="84" spans="1:30" s="27" customFormat="1" ht="17.25" customHeight="1" x14ac:dyDescent="0.3">
      <c r="A84" s="11">
        <v>79</v>
      </c>
      <c r="B84" s="40" t="s">
        <v>700</v>
      </c>
      <c r="C84" s="12" t="s">
        <v>1751</v>
      </c>
      <c r="D84" s="124" t="s">
        <v>701</v>
      </c>
      <c r="E84" s="124" t="s">
        <v>1752</v>
      </c>
      <c r="F84" s="12" t="s">
        <v>113</v>
      </c>
      <c r="G84" s="12" t="s">
        <v>8</v>
      </c>
      <c r="H84" s="86" t="s">
        <v>404</v>
      </c>
      <c r="I84" s="122">
        <v>10000</v>
      </c>
      <c r="J84" s="75">
        <v>0</v>
      </c>
      <c r="K84" s="75">
        <v>0</v>
      </c>
      <c r="L84" s="81">
        <v>0</v>
      </c>
      <c r="M84" s="75">
        <v>0</v>
      </c>
      <c r="N84" s="75">
        <v>0</v>
      </c>
      <c r="O84" s="122">
        <v>0</v>
      </c>
      <c r="P84" s="75">
        <v>0</v>
      </c>
      <c r="Q84" s="75">
        <v>0</v>
      </c>
      <c r="R84" s="122">
        <v>0</v>
      </c>
      <c r="S84" s="75" t="s">
        <v>1057</v>
      </c>
      <c r="T84" s="75">
        <v>1200</v>
      </c>
      <c r="U84" s="122">
        <v>1200</v>
      </c>
      <c r="V84" s="75" t="s">
        <v>2966</v>
      </c>
      <c r="W84" s="75">
        <f>1200+1200+1200+1200+2400+1600</f>
        <v>8800</v>
      </c>
      <c r="X84" s="122"/>
      <c r="Y84" s="145">
        <f t="shared" si="6"/>
        <v>8800</v>
      </c>
      <c r="Z84" s="294">
        <f t="shared" si="7"/>
        <v>0</v>
      </c>
      <c r="AA84" s="121">
        <f t="shared" si="8"/>
        <v>1200</v>
      </c>
      <c r="AB84" s="300" t="s">
        <v>570</v>
      </c>
      <c r="AC84" s="291">
        <f>10000-1200</f>
        <v>8800</v>
      </c>
    </row>
    <row r="85" spans="1:30" s="119" customFormat="1" ht="17.25" customHeight="1" x14ac:dyDescent="0.3">
      <c r="A85" s="182">
        <v>80</v>
      </c>
      <c r="B85" s="65" t="s">
        <v>245</v>
      </c>
      <c r="C85" s="496" t="s">
        <v>1715</v>
      </c>
      <c r="D85" s="144" t="s">
        <v>50</v>
      </c>
      <c r="E85" s="144" t="s">
        <v>1716</v>
      </c>
      <c r="F85" s="66" t="s">
        <v>113</v>
      </c>
      <c r="G85" s="66" t="s">
        <v>8</v>
      </c>
      <c r="H85" s="67" t="s">
        <v>20</v>
      </c>
      <c r="I85" s="123">
        <v>10000</v>
      </c>
      <c r="J85" s="117">
        <v>0</v>
      </c>
      <c r="K85" s="117">
        <v>0</v>
      </c>
      <c r="L85" s="118">
        <v>0</v>
      </c>
      <c r="M85" s="117" t="s">
        <v>863</v>
      </c>
      <c r="N85" s="117">
        <v>4800</v>
      </c>
      <c r="O85" s="123">
        <v>4800</v>
      </c>
      <c r="P85" s="117" t="s">
        <v>864</v>
      </c>
      <c r="Q85" s="117">
        <v>3600</v>
      </c>
      <c r="R85" s="123">
        <v>3600</v>
      </c>
      <c r="S85" s="117" t="s">
        <v>1108</v>
      </c>
      <c r="T85" s="117">
        <f>1200+400</f>
        <v>1600</v>
      </c>
      <c r="U85" s="123">
        <f>1200+400</f>
        <v>1600</v>
      </c>
      <c r="V85" s="117"/>
      <c r="W85" s="117"/>
      <c r="X85" s="123"/>
      <c r="Y85" s="123">
        <f t="shared" si="6"/>
        <v>0</v>
      </c>
      <c r="Z85" s="511">
        <f t="shared" si="7"/>
        <v>0</v>
      </c>
      <c r="AA85" s="123">
        <f t="shared" si="8"/>
        <v>10000</v>
      </c>
      <c r="AB85" s="236" t="s">
        <v>570</v>
      </c>
      <c r="AC85" s="292">
        <f>10000-4800-3600-1600</f>
        <v>0</v>
      </c>
    </row>
    <row r="86" spans="1:30" s="27" customFormat="1" ht="17.25" customHeight="1" x14ac:dyDescent="0.3">
      <c r="A86" s="11">
        <v>81</v>
      </c>
      <c r="B86" s="26" t="s">
        <v>246</v>
      </c>
      <c r="C86" s="309" t="s">
        <v>1717</v>
      </c>
      <c r="D86" s="124" t="s">
        <v>51</v>
      </c>
      <c r="E86" s="124" t="s">
        <v>1718</v>
      </c>
      <c r="F86" s="12" t="s">
        <v>113</v>
      </c>
      <c r="G86" s="12" t="s">
        <v>8</v>
      </c>
      <c r="H86" s="86" t="s">
        <v>386</v>
      </c>
      <c r="I86" s="122">
        <v>10000</v>
      </c>
      <c r="J86" s="75">
        <v>0</v>
      </c>
      <c r="K86" s="75">
        <v>0</v>
      </c>
      <c r="L86" s="81">
        <v>0</v>
      </c>
      <c r="M86" s="75">
        <v>0</v>
      </c>
      <c r="N86" s="75">
        <v>0</v>
      </c>
      <c r="O86" s="122">
        <v>0</v>
      </c>
      <c r="P86" s="75" t="s">
        <v>661</v>
      </c>
      <c r="Q86" s="75">
        <f>3300+3600</f>
        <v>6900</v>
      </c>
      <c r="R86" s="122">
        <f>3250+3600</f>
        <v>6850</v>
      </c>
      <c r="S86" s="75" t="s">
        <v>662</v>
      </c>
      <c r="T86" s="75">
        <v>2400</v>
      </c>
      <c r="U86" s="122">
        <v>2400</v>
      </c>
      <c r="V86" s="75" t="s">
        <v>2967</v>
      </c>
      <c r="W86" s="75">
        <v>750</v>
      </c>
      <c r="X86" s="122"/>
      <c r="Y86" s="145">
        <f t="shared" si="6"/>
        <v>750</v>
      </c>
      <c r="Z86" s="294">
        <f t="shared" si="7"/>
        <v>-50</v>
      </c>
      <c r="AA86" s="121">
        <f t="shared" si="8"/>
        <v>9250</v>
      </c>
      <c r="AB86" s="235" t="s">
        <v>570</v>
      </c>
      <c r="AC86" s="291">
        <f>10000-6850-2400</f>
        <v>750</v>
      </c>
    </row>
    <row r="87" spans="1:30" s="27" customFormat="1" ht="17.25" customHeight="1" x14ac:dyDescent="0.3">
      <c r="A87" s="182">
        <v>82</v>
      </c>
      <c r="B87" s="40" t="s">
        <v>329</v>
      </c>
      <c r="C87" s="12" t="s">
        <v>1719</v>
      </c>
      <c r="D87" s="124" t="s">
        <v>330</v>
      </c>
      <c r="E87" s="124" t="s">
        <v>1720</v>
      </c>
      <c r="F87" s="12" t="s">
        <v>113</v>
      </c>
      <c r="G87" s="12" t="s">
        <v>8</v>
      </c>
      <c r="H87" s="298" t="s">
        <v>331</v>
      </c>
      <c r="I87" s="122">
        <v>10000</v>
      </c>
      <c r="J87" s="75">
        <v>0</v>
      </c>
      <c r="K87" s="75">
        <v>0</v>
      </c>
      <c r="L87" s="81">
        <v>0</v>
      </c>
      <c r="M87" s="75">
        <v>0</v>
      </c>
      <c r="N87" s="75">
        <v>0</v>
      </c>
      <c r="O87" s="122">
        <v>0</v>
      </c>
      <c r="P87" s="75">
        <v>0</v>
      </c>
      <c r="Q87" s="75">
        <v>0</v>
      </c>
      <c r="R87" s="122">
        <v>0</v>
      </c>
      <c r="S87" s="75" t="s">
        <v>660</v>
      </c>
      <c r="T87" s="75">
        <v>4500</v>
      </c>
      <c r="U87" s="122">
        <v>4500</v>
      </c>
      <c r="V87" s="75"/>
      <c r="W87" s="75"/>
      <c r="X87" s="122"/>
      <c r="Y87" s="145">
        <f t="shared" si="6"/>
        <v>5500</v>
      </c>
      <c r="Z87" s="294">
        <f t="shared" si="7"/>
        <v>5500</v>
      </c>
      <c r="AA87" s="121">
        <f t="shared" si="8"/>
        <v>4500</v>
      </c>
      <c r="AB87" s="235"/>
      <c r="AC87" s="291">
        <f>10000-4500</f>
        <v>5500</v>
      </c>
    </row>
    <row r="88" spans="1:30" s="27" customFormat="1" ht="17.25" customHeight="1" x14ac:dyDescent="0.3">
      <c r="A88" s="11">
        <v>83</v>
      </c>
      <c r="B88" s="26" t="s">
        <v>247</v>
      </c>
      <c r="C88" s="309" t="s">
        <v>1721</v>
      </c>
      <c r="D88" s="124" t="s">
        <v>125</v>
      </c>
      <c r="E88" s="124" t="s">
        <v>1722</v>
      </c>
      <c r="F88" s="12" t="s">
        <v>113</v>
      </c>
      <c r="G88" s="12" t="s">
        <v>8</v>
      </c>
      <c r="H88" s="86" t="s">
        <v>381</v>
      </c>
      <c r="I88" s="122">
        <v>10000</v>
      </c>
      <c r="J88" s="75">
        <v>0</v>
      </c>
      <c r="K88" s="75">
        <v>0</v>
      </c>
      <c r="L88" s="81">
        <v>0</v>
      </c>
      <c r="M88" s="75">
        <v>0</v>
      </c>
      <c r="N88" s="75">
        <v>0</v>
      </c>
      <c r="O88" s="122">
        <v>0</v>
      </c>
      <c r="P88" s="75">
        <v>0</v>
      </c>
      <c r="Q88" s="140">
        <v>0</v>
      </c>
      <c r="R88" s="122">
        <v>0</v>
      </c>
      <c r="S88" s="75" t="s">
        <v>618</v>
      </c>
      <c r="T88" s="75">
        <v>5700</v>
      </c>
      <c r="U88" s="122">
        <v>5650</v>
      </c>
      <c r="V88" s="75" t="s">
        <v>2754</v>
      </c>
      <c r="W88" s="75">
        <f>3600+750</f>
        <v>4350</v>
      </c>
      <c r="X88" s="122"/>
      <c r="Y88" s="145">
        <f t="shared" si="6"/>
        <v>4350</v>
      </c>
      <c r="Z88" s="294">
        <f t="shared" si="7"/>
        <v>-50</v>
      </c>
      <c r="AA88" s="121">
        <f t="shared" si="8"/>
        <v>5650</v>
      </c>
      <c r="AB88" s="235" t="s">
        <v>570</v>
      </c>
      <c r="AC88" s="291">
        <f>10000-5650</f>
        <v>4350</v>
      </c>
      <c r="AD88" s="27" t="s">
        <v>2753</v>
      </c>
    </row>
    <row r="89" spans="1:30" s="27" customFormat="1" ht="17.25" customHeight="1" x14ac:dyDescent="0.3">
      <c r="A89" s="11">
        <v>84</v>
      </c>
      <c r="B89" s="26" t="s">
        <v>248</v>
      </c>
      <c r="C89" s="309" t="s">
        <v>1723</v>
      </c>
      <c r="D89" s="124" t="s">
        <v>52</v>
      </c>
      <c r="E89" s="124" t="s">
        <v>1724</v>
      </c>
      <c r="F89" s="12" t="s">
        <v>113</v>
      </c>
      <c r="G89" s="12" t="s">
        <v>8</v>
      </c>
      <c r="H89" s="86" t="s">
        <v>328</v>
      </c>
      <c r="I89" s="122">
        <v>10000</v>
      </c>
      <c r="J89" s="75">
        <v>0</v>
      </c>
      <c r="K89" s="75">
        <v>0</v>
      </c>
      <c r="L89" s="81">
        <v>0</v>
      </c>
      <c r="M89" s="75">
        <v>0</v>
      </c>
      <c r="N89" s="75">
        <v>0</v>
      </c>
      <c r="O89" s="122">
        <v>0</v>
      </c>
      <c r="P89" s="75">
        <v>0</v>
      </c>
      <c r="Q89" s="75">
        <v>0</v>
      </c>
      <c r="R89" s="122">
        <v>0</v>
      </c>
      <c r="S89" s="75" t="s">
        <v>1059</v>
      </c>
      <c r="T89" s="75">
        <f>5650+3600+750</f>
        <v>10000</v>
      </c>
      <c r="U89" s="122">
        <f>5650+3600+750</f>
        <v>10000</v>
      </c>
      <c r="V89" s="75"/>
      <c r="W89" s="75"/>
      <c r="X89" s="122"/>
      <c r="Y89" s="145">
        <f t="shared" si="6"/>
        <v>0</v>
      </c>
      <c r="Z89" s="294">
        <f t="shared" si="7"/>
        <v>0</v>
      </c>
      <c r="AA89" s="121">
        <f t="shared" si="8"/>
        <v>10000</v>
      </c>
      <c r="AB89" s="235" t="s">
        <v>570</v>
      </c>
      <c r="AC89" s="291"/>
    </row>
    <row r="90" spans="1:30" s="119" customFormat="1" ht="17.25" customHeight="1" x14ac:dyDescent="0.3">
      <c r="A90" s="182">
        <v>85</v>
      </c>
      <c r="B90" s="65" t="s">
        <v>249</v>
      </c>
      <c r="C90" s="496" t="s">
        <v>1725</v>
      </c>
      <c r="D90" s="144" t="s">
        <v>321</v>
      </c>
      <c r="E90" s="144" t="s">
        <v>1726</v>
      </c>
      <c r="F90" s="66" t="s">
        <v>113</v>
      </c>
      <c r="G90" s="66" t="s">
        <v>8</v>
      </c>
      <c r="H90" s="67" t="s">
        <v>322</v>
      </c>
      <c r="I90" s="123">
        <v>9600</v>
      </c>
      <c r="J90" s="117">
        <v>0</v>
      </c>
      <c r="K90" s="117">
        <v>0</v>
      </c>
      <c r="L90" s="118">
        <v>0</v>
      </c>
      <c r="M90" s="117">
        <v>0</v>
      </c>
      <c r="N90" s="117">
        <v>0</v>
      </c>
      <c r="O90" s="123">
        <v>0</v>
      </c>
      <c r="P90" s="117">
        <v>0</v>
      </c>
      <c r="Q90" s="117">
        <v>0</v>
      </c>
      <c r="R90" s="123">
        <v>0</v>
      </c>
      <c r="S90" s="117" t="s">
        <v>1364</v>
      </c>
      <c r="T90" s="117">
        <f>3600+2400+3600</f>
        <v>9600</v>
      </c>
      <c r="U90" s="123">
        <f>3600+2400+3600</f>
        <v>9600</v>
      </c>
      <c r="V90" s="117"/>
      <c r="W90" s="117"/>
      <c r="X90" s="123"/>
      <c r="Y90" s="123">
        <f t="shared" si="6"/>
        <v>0</v>
      </c>
      <c r="Z90" s="511">
        <f t="shared" si="7"/>
        <v>0</v>
      </c>
      <c r="AA90" s="123">
        <f t="shared" si="8"/>
        <v>9600</v>
      </c>
      <c r="AB90" s="236" t="s">
        <v>570</v>
      </c>
      <c r="AC90" s="292"/>
    </row>
    <row r="91" spans="1:30" s="27" customFormat="1" ht="17.25" customHeight="1" x14ac:dyDescent="0.3">
      <c r="A91" s="11">
        <v>86</v>
      </c>
      <c r="B91" s="40" t="s">
        <v>338</v>
      </c>
      <c r="C91" s="12" t="s">
        <v>1986</v>
      </c>
      <c r="D91" s="124" t="s">
        <v>339</v>
      </c>
      <c r="E91" s="124" t="s">
        <v>1727</v>
      </c>
      <c r="F91" s="12" t="s">
        <v>113</v>
      </c>
      <c r="G91" s="12" t="s">
        <v>8</v>
      </c>
      <c r="H91" s="86" t="s">
        <v>378</v>
      </c>
      <c r="I91" s="122">
        <v>7200</v>
      </c>
      <c r="J91" s="75">
        <v>0</v>
      </c>
      <c r="K91" s="75">
        <v>0</v>
      </c>
      <c r="L91" s="81">
        <v>0</v>
      </c>
      <c r="M91" s="75">
        <v>0</v>
      </c>
      <c r="N91" s="75">
        <v>0</v>
      </c>
      <c r="O91" s="122">
        <v>0</v>
      </c>
      <c r="P91" s="75">
        <v>0</v>
      </c>
      <c r="Q91" s="75">
        <v>0</v>
      </c>
      <c r="R91" s="122">
        <v>0</v>
      </c>
      <c r="S91" s="75" t="s">
        <v>1007</v>
      </c>
      <c r="T91" s="75">
        <f>3600+3600</f>
        <v>7200</v>
      </c>
      <c r="U91" s="122">
        <f>3600+3600</f>
        <v>7200</v>
      </c>
      <c r="V91" s="75"/>
      <c r="W91" s="75"/>
      <c r="X91" s="122"/>
      <c r="Y91" s="145">
        <f t="shared" si="6"/>
        <v>0</v>
      </c>
      <c r="Z91" s="294">
        <f t="shared" si="7"/>
        <v>0</v>
      </c>
      <c r="AA91" s="121">
        <f t="shared" si="8"/>
        <v>7200</v>
      </c>
      <c r="AB91" s="235" t="s">
        <v>570</v>
      </c>
      <c r="AC91" s="291"/>
      <c r="AD91" s="27" t="s">
        <v>738</v>
      </c>
    </row>
    <row r="92" spans="1:30" s="27" customFormat="1" ht="17.25" customHeight="1" x14ac:dyDescent="0.3">
      <c r="A92" s="182">
        <v>87</v>
      </c>
      <c r="B92" s="40" t="s">
        <v>677</v>
      </c>
      <c r="C92" s="12" t="s">
        <v>1741</v>
      </c>
      <c r="D92" s="124" t="s">
        <v>678</v>
      </c>
      <c r="E92" s="124" t="s">
        <v>1266</v>
      </c>
      <c r="F92" s="12" t="s">
        <v>113</v>
      </c>
      <c r="G92" s="12" t="s">
        <v>8</v>
      </c>
      <c r="H92" s="86" t="s">
        <v>487</v>
      </c>
      <c r="I92" s="122">
        <v>10000</v>
      </c>
      <c r="J92" s="75">
        <v>0</v>
      </c>
      <c r="K92" s="75">
        <v>0</v>
      </c>
      <c r="L92" s="81">
        <v>0</v>
      </c>
      <c r="M92" s="75">
        <v>0</v>
      </c>
      <c r="N92" s="75">
        <v>0</v>
      </c>
      <c r="O92" s="122">
        <v>0</v>
      </c>
      <c r="P92" s="75">
        <v>0</v>
      </c>
      <c r="Q92" s="75">
        <v>0</v>
      </c>
      <c r="R92" s="122">
        <v>0</v>
      </c>
      <c r="S92" s="75" t="s">
        <v>914</v>
      </c>
      <c r="T92" s="75">
        <f>3250+1200</f>
        <v>4450</v>
      </c>
      <c r="U92" s="122">
        <f>3250+1200</f>
        <v>4450</v>
      </c>
      <c r="V92" s="75"/>
      <c r="W92" s="75"/>
      <c r="X92" s="122"/>
      <c r="Y92" s="145">
        <f t="shared" si="6"/>
        <v>5550</v>
      </c>
      <c r="Z92" s="294">
        <f t="shared" si="7"/>
        <v>5550</v>
      </c>
      <c r="AA92" s="121">
        <f t="shared" si="8"/>
        <v>4450</v>
      </c>
      <c r="AB92" s="300"/>
      <c r="AC92" s="291">
        <f>10000-4450</f>
        <v>5550</v>
      </c>
    </row>
    <row r="93" spans="1:30" s="27" customFormat="1" x14ac:dyDescent="0.3">
      <c r="A93" s="11">
        <v>88</v>
      </c>
      <c r="B93" s="40" t="s">
        <v>681</v>
      </c>
      <c r="C93" s="12" t="s">
        <v>1807</v>
      </c>
      <c r="D93" s="324">
        <v>880426035066</v>
      </c>
      <c r="E93" s="324" t="s">
        <v>1808</v>
      </c>
      <c r="F93" s="12" t="s">
        <v>7</v>
      </c>
      <c r="G93" s="12" t="s">
        <v>8</v>
      </c>
      <c r="H93" s="86" t="s">
        <v>682</v>
      </c>
      <c r="I93" s="122">
        <v>10000</v>
      </c>
      <c r="J93" s="75" t="s">
        <v>684</v>
      </c>
      <c r="K93" s="75">
        <v>3300</v>
      </c>
      <c r="L93" s="122">
        <v>3250</v>
      </c>
      <c r="M93" s="75" t="s">
        <v>685</v>
      </c>
      <c r="N93" s="75">
        <f>1200+1200+4800</f>
        <v>7200</v>
      </c>
      <c r="O93" s="122">
        <f>1200+1200+1050</f>
        <v>3450</v>
      </c>
      <c r="P93" s="75" t="s">
        <v>1097</v>
      </c>
      <c r="Q93" s="75">
        <v>3300</v>
      </c>
      <c r="R93" s="122"/>
      <c r="S93" s="75"/>
      <c r="T93" s="75"/>
      <c r="U93" s="122"/>
      <c r="V93" s="75">
        <f>I93-K93-N93-Q93-T93</f>
        <v>-3800</v>
      </c>
      <c r="W93" s="75">
        <f>I93-L93-O93-R93-U93</f>
        <v>3300</v>
      </c>
      <c r="X93" s="76"/>
      <c r="Y93" s="145">
        <f t="shared" si="6"/>
        <v>3300</v>
      </c>
      <c r="Z93" s="294">
        <f t="shared" si="7"/>
        <v>-7100</v>
      </c>
      <c r="AA93" s="121">
        <f t="shared" si="8"/>
        <v>6700</v>
      </c>
      <c r="AB93" s="291">
        <f>I93-L93-O93-Q93</f>
        <v>0</v>
      </c>
      <c r="AC93" s="12"/>
    </row>
    <row r="94" spans="1:30" s="119" customFormat="1" x14ac:dyDescent="0.3">
      <c r="A94" s="11">
        <v>89</v>
      </c>
      <c r="B94" s="151" t="s">
        <v>706</v>
      </c>
      <c r="C94" s="66" t="s">
        <v>1608</v>
      </c>
      <c r="D94" s="516">
        <v>830302035106</v>
      </c>
      <c r="E94" s="516" t="s">
        <v>1809</v>
      </c>
      <c r="F94" s="66" t="s">
        <v>7</v>
      </c>
      <c r="G94" s="66" t="s">
        <v>8</v>
      </c>
      <c r="H94" s="67" t="s">
        <v>682</v>
      </c>
      <c r="I94" s="123">
        <v>9600</v>
      </c>
      <c r="J94" s="117">
        <v>0</v>
      </c>
      <c r="K94" s="117">
        <v>0</v>
      </c>
      <c r="L94" s="123">
        <v>0</v>
      </c>
      <c r="M94" s="117" t="s">
        <v>707</v>
      </c>
      <c r="N94" s="117">
        <f>1200+1200+1200+3600</f>
        <v>7200</v>
      </c>
      <c r="O94" s="123">
        <f>1200+1200+1200+3600</f>
        <v>7200</v>
      </c>
      <c r="P94" s="117" t="s">
        <v>708</v>
      </c>
      <c r="Q94" s="117">
        <v>2400</v>
      </c>
      <c r="R94" s="123">
        <v>2400</v>
      </c>
      <c r="S94" s="117">
        <v>0</v>
      </c>
      <c r="T94" s="117">
        <v>0</v>
      </c>
      <c r="U94" s="123">
        <v>0</v>
      </c>
      <c r="V94" s="117">
        <f>I94-K94-N94-Q94-T94</f>
        <v>0</v>
      </c>
      <c r="W94" s="117">
        <f>I94-L94-O94-R94-U94</f>
        <v>0</v>
      </c>
      <c r="X94" s="422"/>
      <c r="Y94" s="123">
        <f t="shared" si="6"/>
        <v>0</v>
      </c>
      <c r="Z94" s="511">
        <f t="shared" si="7"/>
        <v>0</v>
      </c>
      <c r="AA94" s="123">
        <f t="shared" si="8"/>
        <v>9600</v>
      </c>
      <c r="AB94" s="292" t="s">
        <v>683</v>
      </c>
      <c r="AC94" s="66"/>
    </row>
    <row r="95" spans="1:30" s="27" customFormat="1" x14ac:dyDescent="0.3">
      <c r="A95" s="182">
        <v>90</v>
      </c>
      <c r="B95" s="40" t="s">
        <v>1341</v>
      </c>
      <c r="C95" s="12" t="s">
        <v>1810</v>
      </c>
      <c r="D95" s="324">
        <v>870816055450</v>
      </c>
      <c r="E95" s="324" t="s">
        <v>1811</v>
      </c>
      <c r="F95" s="12" t="s">
        <v>7</v>
      </c>
      <c r="G95" s="12" t="s">
        <v>8</v>
      </c>
      <c r="H95" s="86" t="s">
        <v>1985</v>
      </c>
      <c r="I95" s="122">
        <v>3150</v>
      </c>
      <c r="J95" s="40"/>
      <c r="K95" s="75"/>
      <c r="L95" s="122"/>
      <c r="M95" s="40" t="s">
        <v>1424</v>
      </c>
      <c r="N95" s="75">
        <f>1050+1050</f>
        <v>2100</v>
      </c>
      <c r="O95" s="122">
        <f>1050+1050</f>
        <v>2100</v>
      </c>
      <c r="P95" s="40" t="s">
        <v>1425</v>
      </c>
      <c r="Q95" s="75">
        <v>1050</v>
      </c>
      <c r="R95" s="122">
        <v>1050</v>
      </c>
      <c r="S95" s="40"/>
      <c r="T95" s="40"/>
      <c r="U95" s="76"/>
      <c r="V95" s="40"/>
      <c r="W95" s="40"/>
      <c r="X95" s="76"/>
      <c r="Y95" s="145">
        <f t="shared" si="6"/>
        <v>0</v>
      </c>
      <c r="Z95" s="294">
        <f t="shared" si="7"/>
        <v>0</v>
      </c>
      <c r="AA95" s="121">
        <f t="shared" si="8"/>
        <v>3150</v>
      </c>
      <c r="AB95" s="300"/>
      <c r="AC95" s="12"/>
    </row>
    <row r="96" spans="1:30" s="27" customFormat="1" ht="17.25" customHeight="1" x14ac:dyDescent="0.3">
      <c r="A96" s="11">
        <v>91</v>
      </c>
      <c r="B96" s="40" t="s">
        <v>696</v>
      </c>
      <c r="C96" s="12" t="s">
        <v>1747</v>
      </c>
      <c r="D96" s="124" t="s">
        <v>697</v>
      </c>
      <c r="E96" s="124" t="s">
        <v>1748</v>
      </c>
      <c r="F96" s="12" t="s">
        <v>113</v>
      </c>
      <c r="G96" s="12" t="s">
        <v>8</v>
      </c>
      <c r="H96" s="86" t="s">
        <v>407</v>
      </c>
      <c r="I96" s="122">
        <v>10000</v>
      </c>
      <c r="J96" s="75">
        <v>0</v>
      </c>
      <c r="K96" s="75">
        <v>0</v>
      </c>
      <c r="L96" s="81">
        <v>0</v>
      </c>
      <c r="M96" s="75">
        <v>0</v>
      </c>
      <c r="N96" s="75">
        <v>0</v>
      </c>
      <c r="O96" s="122">
        <v>0</v>
      </c>
      <c r="P96" s="75">
        <v>0</v>
      </c>
      <c r="Q96" s="75">
        <v>0</v>
      </c>
      <c r="R96" s="122">
        <v>0</v>
      </c>
      <c r="S96" s="75" t="s">
        <v>1367</v>
      </c>
      <c r="T96" s="75">
        <f>3600+3600</f>
        <v>7200</v>
      </c>
      <c r="U96" s="122">
        <f>3600+3600</f>
        <v>7200</v>
      </c>
      <c r="V96" s="75" t="s">
        <v>2768</v>
      </c>
      <c r="W96" s="75">
        <v>2800</v>
      </c>
      <c r="X96" s="122"/>
      <c r="Y96" s="145">
        <f t="shared" si="6"/>
        <v>2800</v>
      </c>
      <c r="Z96" s="294">
        <f t="shared" si="7"/>
        <v>0</v>
      </c>
      <c r="AA96" s="121">
        <f t="shared" si="8"/>
        <v>7200</v>
      </c>
      <c r="AB96" s="300" t="s">
        <v>570</v>
      </c>
      <c r="AC96" s="291">
        <f>7200-7200</f>
        <v>0</v>
      </c>
    </row>
    <row r="97" spans="1:30" s="27" customFormat="1" ht="17.25" customHeight="1" x14ac:dyDescent="0.3">
      <c r="A97" s="182">
        <v>92</v>
      </c>
      <c r="B97" s="26" t="s">
        <v>250</v>
      </c>
      <c r="C97" s="309" t="s">
        <v>1728</v>
      </c>
      <c r="D97" s="124" t="s">
        <v>53</v>
      </c>
      <c r="E97" s="124" t="s">
        <v>1729</v>
      </c>
      <c r="F97" s="12" t="s">
        <v>7</v>
      </c>
      <c r="G97" s="12" t="s">
        <v>8</v>
      </c>
      <c r="H97" s="86" t="s">
        <v>27</v>
      </c>
      <c r="I97" s="122">
        <v>10000</v>
      </c>
      <c r="J97" s="75"/>
      <c r="K97" s="75"/>
      <c r="L97" s="81"/>
      <c r="M97" s="75" t="s">
        <v>1330</v>
      </c>
      <c r="N97" s="75">
        <f>7500+4050</f>
        <v>11550</v>
      </c>
      <c r="O97" s="122">
        <f>5950+4050</f>
        <v>10000</v>
      </c>
      <c r="P97" s="75"/>
      <c r="Q97" s="75"/>
      <c r="R97" s="122"/>
      <c r="S97" s="75"/>
      <c r="T97" s="75"/>
      <c r="U97" s="122"/>
      <c r="V97" s="75"/>
      <c r="W97" s="75"/>
      <c r="X97" s="122"/>
      <c r="Y97" s="145">
        <f t="shared" si="6"/>
        <v>0</v>
      </c>
      <c r="Z97" s="294">
        <f t="shared" si="7"/>
        <v>-1550</v>
      </c>
      <c r="AA97" s="121">
        <f t="shared" si="8"/>
        <v>10000</v>
      </c>
      <c r="AB97" s="235" t="s">
        <v>570</v>
      </c>
      <c r="AC97" s="291"/>
      <c r="AD97" s="27" t="s">
        <v>713</v>
      </c>
    </row>
    <row r="98" spans="1:30" s="119" customFormat="1" ht="17.25" customHeight="1" x14ac:dyDescent="0.3">
      <c r="A98" s="11">
        <v>93</v>
      </c>
      <c r="B98" s="65" t="s">
        <v>252</v>
      </c>
      <c r="C98" s="496" t="s">
        <v>1730</v>
      </c>
      <c r="D98" s="144" t="s">
        <v>54</v>
      </c>
      <c r="E98" s="144" t="s">
        <v>1731</v>
      </c>
      <c r="F98" s="66" t="s">
        <v>113</v>
      </c>
      <c r="G98" s="66" t="s">
        <v>8</v>
      </c>
      <c r="H98" s="67" t="s">
        <v>15</v>
      </c>
      <c r="I98" s="122">
        <v>10000</v>
      </c>
      <c r="J98" s="117" t="s">
        <v>362</v>
      </c>
      <c r="K98" s="117">
        <v>0</v>
      </c>
      <c r="L98" s="118">
        <v>0</v>
      </c>
      <c r="M98" s="117" t="s">
        <v>688</v>
      </c>
      <c r="N98" s="117">
        <v>3600</v>
      </c>
      <c r="O98" s="123">
        <v>3600</v>
      </c>
      <c r="P98" s="117" t="s">
        <v>689</v>
      </c>
      <c r="Q98" s="117">
        <v>6400</v>
      </c>
      <c r="R98" s="123">
        <v>6400</v>
      </c>
      <c r="S98" s="117" t="s">
        <v>362</v>
      </c>
      <c r="T98" s="117">
        <v>0</v>
      </c>
      <c r="U98" s="123">
        <v>0</v>
      </c>
      <c r="V98" s="117"/>
      <c r="W98" s="117"/>
      <c r="X98" s="123"/>
      <c r="Y98" s="145">
        <f t="shared" si="6"/>
        <v>0</v>
      </c>
      <c r="Z98" s="294">
        <f t="shared" si="7"/>
        <v>0</v>
      </c>
      <c r="AA98" s="121">
        <f t="shared" si="8"/>
        <v>10000</v>
      </c>
      <c r="AB98" s="236" t="s">
        <v>570</v>
      </c>
      <c r="AC98" s="292"/>
    </row>
    <row r="99" spans="1:30" s="27" customFormat="1" ht="17.25" customHeight="1" x14ac:dyDescent="0.3">
      <c r="A99" s="11">
        <v>94</v>
      </c>
      <c r="B99" s="40" t="s">
        <v>544</v>
      </c>
      <c r="C99" s="12" t="s">
        <v>1732</v>
      </c>
      <c r="D99" s="124" t="s">
        <v>545</v>
      </c>
      <c r="E99" s="124" t="s">
        <v>1733</v>
      </c>
      <c r="F99" s="12" t="s">
        <v>113</v>
      </c>
      <c r="G99" s="12" t="s">
        <v>8</v>
      </c>
      <c r="H99" s="86" t="s">
        <v>404</v>
      </c>
      <c r="I99" s="122">
        <v>10000</v>
      </c>
      <c r="J99" s="75"/>
      <c r="K99" s="75"/>
      <c r="L99" s="81"/>
      <c r="M99" s="75"/>
      <c r="N99" s="75"/>
      <c r="O99" s="122"/>
      <c r="P99" s="75"/>
      <c r="Q99" s="75"/>
      <c r="R99" s="122"/>
      <c r="S99" s="75"/>
      <c r="T99" s="75"/>
      <c r="U99" s="122"/>
      <c r="V99" s="75"/>
      <c r="W99" s="75"/>
      <c r="X99" s="122"/>
      <c r="Y99" s="145">
        <f t="shared" si="6"/>
        <v>10000</v>
      </c>
      <c r="Z99" s="294">
        <f t="shared" si="7"/>
        <v>10000</v>
      </c>
      <c r="AA99" s="121">
        <f t="shared" si="8"/>
        <v>0</v>
      </c>
      <c r="AB99" s="235"/>
      <c r="AC99" s="291">
        <f>10000</f>
        <v>10000</v>
      </c>
    </row>
    <row r="100" spans="1:30" s="27" customFormat="1" ht="17.25" customHeight="1" x14ac:dyDescent="0.3">
      <c r="A100" s="182">
        <v>95</v>
      </c>
      <c r="B100" s="325" t="s">
        <v>1982</v>
      </c>
      <c r="C100" s="12" t="s">
        <v>1753</v>
      </c>
      <c r="D100" s="299">
        <v>901018035614</v>
      </c>
      <c r="E100" s="299" t="s">
        <v>1287</v>
      </c>
      <c r="F100" s="12" t="s">
        <v>113</v>
      </c>
      <c r="G100" s="12" t="s">
        <v>8</v>
      </c>
      <c r="H100" s="86" t="s">
        <v>503</v>
      </c>
      <c r="I100" s="122">
        <v>10000</v>
      </c>
      <c r="J100" s="75">
        <v>0</v>
      </c>
      <c r="K100" s="75">
        <v>0</v>
      </c>
      <c r="L100" s="81">
        <v>0</v>
      </c>
      <c r="M100" s="75">
        <v>0</v>
      </c>
      <c r="N100" s="75">
        <v>0</v>
      </c>
      <c r="O100" s="122">
        <v>0</v>
      </c>
      <c r="P100" s="75">
        <v>0</v>
      </c>
      <c r="Q100" s="75">
        <v>0</v>
      </c>
      <c r="R100" s="122">
        <v>0</v>
      </c>
      <c r="S100" s="75" t="s">
        <v>887</v>
      </c>
      <c r="T100" s="75">
        <f>5650+3600</f>
        <v>9250</v>
      </c>
      <c r="U100" s="122">
        <f>5650+3600</f>
        <v>9250</v>
      </c>
      <c r="V100" s="75"/>
      <c r="W100" s="75"/>
      <c r="X100" s="122"/>
      <c r="Y100" s="145">
        <f t="shared" ref="Y100:Y105" si="9">I100-L100-O100-R100-U100-X100</f>
        <v>750</v>
      </c>
      <c r="Z100" s="294">
        <f t="shared" ref="Z100:Z105" si="10">I100-K100 -N100 -Q100-T100-W100</f>
        <v>750</v>
      </c>
      <c r="AA100" s="121">
        <f t="shared" ref="AA100:AA105" si="11">L100+O100+R100+U100+X100</f>
        <v>9250</v>
      </c>
      <c r="AB100" s="300"/>
      <c r="AC100" s="291">
        <f>10000-9250</f>
        <v>750</v>
      </c>
      <c r="AD100" s="27" t="s">
        <v>888</v>
      </c>
    </row>
    <row r="101" spans="1:30" s="27" customFormat="1" ht="17.25" customHeight="1" x14ac:dyDescent="0.3">
      <c r="A101" s="11">
        <v>96</v>
      </c>
      <c r="B101" s="40" t="s">
        <v>251</v>
      </c>
      <c r="C101" s="12" t="s">
        <v>1761</v>
      </c>
      <c r="D101" s="299">
        <v>870612295698</v>
      </c>
      <c r="E101" s="299" t="s">
        <v>1762</v>
      </c>
      <c r="F101" s="12" t="s">
        <v>7</v>
      </c>
      <c r="G101" s="12" t="s">
        <v>8</v>
      </c>
      <c r="H101" s="86" t="s">
        <v>381</v>
      </c>
      <c r="I101" s="122">
        <v>10000</v>
      </c>
      <c r="J101" s="75">
        <v>0</v>
      </c>
      <c r="K101" s="75">
        <v>0</v>
      </c>
      <c r="L101" s="81">
        <v>0</v>
      </c>
      <c r="M101" s="75">
        <v>0</v>
      </c>
      <c r="N101" s="75">
        <v>0</v>
      </c>
      <c r="O101" s="122">
        <v>0</v>
      </c>
      <c r="P101" s="75">
        <v>0</v>
      </c>
      <c r="Q101" s="75">
        <v>0</v>
      </c>
      <c r="R101" s="122">
        <v>0</v>
      </c>
      <c r="S101" s="75" t="s">
        <v>1369</v>
      </c>
      <c r="T101" s="75">
        <f>3600+4800</f>
        <v>8400</v>
      </c>
      <c r="U101" s="122">
        <f>3600+4800</f>
        <v>8400</v>
      </c>
      <c r="V101" s="75"/>
      <c r="W101" s="75"/>
      <c r="X101" s="122"/>
      <c r="Y101" s="145">
        <f t="shared" si="9"/>
        <v>1600</v>
      </c>
      <c r="Z101" s="294">
        <f t="shared" si="10"/>
        <v>1600</v>
      </c>
      <c r="AA101" s="121">
        <f t="shared" si="11"/>
        <v>8400</v>
      </c>
      <c r="AB101" s="300"/>
      <c r="AC101" s="291">
        <f>10000-8400</f>
        <v>1600</v>
      </c>
    </row>
    <row r="102" spans="1:30" s="27" customFormat="1" x14ac:dyDescent="0.3">
      <c r="A102" s="182">
        <v>97</v>
      </c>
      <c r="B102" s="40" t="s">
        <v>718</v>
      </c>
      <c r="C102" s="12" t="s">
        <v>1812</v>
      </c>
      <c r="D102" s="324">
        <v>860718295638</v>
      </c>
      <c r="E102" s="324" t="s">
        <v>1813</v>
      </c>
      <c r="F102" s="12" t="s">
        <v>7</v>
      </c>
      <c r="G102" s="12" t="s">
        <v>8</v>
      </c>
      <c r="H102" s="86" t="s">
        <v>994</v>
      </c>
      <c r="I102" s="122">
        <v>10000</v>
      </c>
      <c r="J102" s="40"/>
      <c r="K102" s="75"/>
      <c r="L102" s="122"/>
      <c r="M102" s="40" t="s">
        <v>2230</v>
      </c>
      <c r="N102" s="75">
        <f>3300+1200+6000</f>
        <v>10500</v>
      </c>
      <c r="O102" s="122">
        <f>3300+1200+5500</f>
        <v>10000</v>
      </c>
      <c r="P102" s="40"/>
      <c r="Q102" s="75"/>
      <c r="R102" s="122"/>
      <c r="S102" s="40"/>
      <c r="T102" s="75"/>
      <c r="U102" s="122"/>
      <c r="V102" s="75">
        <f>I102-K102-N102-Q102-T102</f>
        <v>-500</v>
      </c>
      <c r="W102" s="75">
        <f>I102-L102-O102-R102-U102</f>
        <v>0</v>
      </c>
      <c r="X102" s="76"/>
      <c r="Y102" s="145">
        <f t="shared" si="9"/>
        <v>0</v>
      </c>
      <c r="Z102" s="294">
        <f t="shared" si="10"/>
        <v>-500</v>
      </c>
      <c r="AA102" s="121">
        <f t="shared" si="11"/>
        <v>10000</v>
      </c>
      <c r="AB102" s="300" t="s">
        <v>1100</v>
      </c>
      <c r="AC102" s="12"/>
    </row>
    <row r="103" spans="1:30" s="27" customFormat="1" x14ac:dyDescent="0.3">
      <c r="A103" s="11">
        <v>98</v>
      </c>
      <c r="B103" s="40" t="s">
        <v>1338</v>
      </c>
      <c r="C103" s="12" t="s">
        <v>1814</v>
      </c>
      <c r="D103" s="324">
        <v>881103035736</v>
      </c>
      <c r="E103" s="324" t="s">
        <v>1815</v>
      </c>
      <c r="F103" s="12" t="s">
        <v>113</v>
      </c>
      <c r="G103" s="12" t="s">
        <v>8</v>
      </c>
      <c r="H103" s="86" t="s">
        <v>1985</v>
      </c>
      <c r="I103" s="122">
        <v>3170</v>
      </c>
      <c r="J103" s="40"/>
      <c r="K103" s="75"/>
      <c r="L103" s="122"/>
      <c r="M103" s="40" t="s">
        <v>1339</v>
      </c>
      <c r="N103" s="75">
        <f>1720+1450</f>
        <v>3170</v>
      </c>
      <c r="O103" s="122">
        <f>1720+1450</f>
        <v>3170</v>
      </c>
      <c r="P103" s="40"/>
      <c r="Q103" s="75"/>
      <c r="R103" s="122"/>
      <c r="S103" s="40"/>
      <c r="T103" s="40"/>
      <c r="U103" s="76"/>
      <c r="V103" s="40"/>
      <c r="W103" s="40"/>
      <c r="X103" s="76"/>
      <c r="Y103" s="145">
        <f t="shared" si="9"/>
        <v>0</v>
      </c>
      <c r="Z103" s="294">
        <f t="shared" si="10"/>
        <v>0</v>
      </c>
      <c r="AA103" s="121">
        <f t="shared" si="11"/>
        <v>3170</v>
      </c>
      <c r="AB103" s="300"/>
      <c r="AC103" s="12"/>
    </row>
    <row r="104" spans="1:30" s="27" customFormat="1" ht="17.25" customHeight="1" x14ac:dyDescent="0.3">
      <c r="A104" s="11">
        <v>99</v>
      </c>
      <c r="B104" s="40" t="s">
        <v>679</v>
      </c>
      <c r="C104" s="12" t="s">
        <v>1742</v>
      </c>
      <c r="D104" s="124" t="s">
        <v>680</v>
      </c>
      <c r="E104" s="124" t="s">
        <v>1264</v>
      </c>
      <c r="F104" s="12" t="s">
        <v>113</v>
      </c>
      <c r="G104" s="12" t="s">
        <v>8</v>
      </c>
      <c r="H104" s="86" t="s">
        <v>503</v>
      </c>
      <c r="I104" s="122">
        <v>10000</v>
      </c>
      <c r="J104" s="75">
        <v>0</v>
      </c>
      <c r="K104" s="75">
        <v>0</v>
      </c>
      <c r="L104" s="81">
        <v>0</v>
      </c>
      <c r="M104" s="75">
        <v>0</v>
      </c>
      <c r="N104" s="75">
        <v>0</v>
      </c>
      <c r="O104" s="122">
        <v>0</v>
      </c>
      <c r="P104" s="75">
        <v>0</v>
      </c>
      <c r="Q104" s="75">
        <v>0</v>
      </c>
      <c r="R104" s="122">
        <v>0</v>
      </c>
      <c r="S104" s="75" t="s">
        <v>913</v>
      </c>
      <c r="T104" s="75">
        <f>3250+1200</f>
        <v>4450</v>
      </c>
      <c r="U104" s="122">
        <f>3250+1200</f>
        <v>4450</v>
      </c>
      <c r="V104" s="75"/>
      <c r="W104" s="75"/>
      <c r="X104" s="122"/>
      <c r="Y104" s="145">
        <f t="shared" si="9"/>
        <v>5550</v>
      </c>
      <c r="Z104" s="294">
        <f t="shared" si="10"/>
        <v>5550</v>
      </c>
      <c r="AA104" s="121">
        <f t="shared" si="11"/>
        <v>4450</v>
      </c>
      <c r="AB104" s="300"/>
      <c r="AC104" s="291">
        <f>10000-4450</f>
        <v>5550</v>
      </c>
    </row>
    <row r="105" spans="1:30" x14ac:dyDescent="0.3">
      <c r="A105" s="182">
        <v>100</v>
      </c>
      <c r="B105" s="83" t="s">
        <v>2552</v>
      </c>
      <c r="C105" s="82" t="s">
        <v>2551</v>
      </c>
      <c r="D105" s="402" t="s">
        <v>2550</v>
      </c>
      <c r="E105" s="403" t="s">
        <v>2549</v>
      </c>
      <c r="F105" s="82" t="s">
        <v>113</v>
      </c>
      <c r="G105" s="82" t="s">
        <v>8</v>
      </c>
      <c r="H105" s="85" t="s">
        <v>331</v>
      </c>
      <c r="I105" s="121">
        <v>10000</v>
      </c>
      <c r="J105" s="89">
        <v>0</v>
      </c>
      <c r="K105" s="89">
        <v>0</v>
      </c>
      <c r="L105" s="99">
        <v>0</v>
      </c>
      <c r="M105" s="89">
        <v>0</v>
      </c>
      <c r="N105" s="89">
        <v>0</v>
      </c>
      <c r="O105" s="121">
        <v>0</v>
      </c>
      <c r="P105" s="89">
        <v>0</v>
      </c>
      <c r="Q105" s="89">
        <v>0</v>
      </c>
      <c r="R105" s="121">
        <v>0</v>
      </c>
      <c r="S105" s="89">
        <v>0</v>
      </c>
      <c r="T105" s="89">
        <v>0</v>
      </c>
      <c r="U105" s="121">
        <v>0</v>
      </c>
      <c r="V105" s="89"/>
      <c r="W105" s="89"/>
      <c r="X105" s="121"/>
      <c r="Y105" s="145">
        <f t="shared" si="9"/>
        <v>10000</v>
      </c>
      <c r="Z105" s="294">
        <f t="shared" si="10"/>
        <v>10000</v>
      </c>
      <c r="AA105" s="121">
        <f t="shared" si="11"/>
        <v>0</v>
      </c>
      <c r="AB105" s="406"/>
      <c r="AC105" s="290"/>
      <c r="AD105" s="1" t="s">
        <v>2553</v>
      </c>
    </row>
    <row r="124" spans="4:5" x14ac:dyDescent="0.3">
      <c r="D124" s="240"/>
      <c r="E124" s="240"/>
    </row>
    <row r="125" spans="4:5" x14ac:dyDescent="0.3">
      <c r="D125" s="240"/>
      <c r="E125" s="240"/>
    </row>
    <row r="126" spans="4:5" x14ac:dyDescent="0.3">
      <c r="D126" s="240"/>
      <c r="E126" s="240"/>
    </row>
    <row r="127" spans="4:5" x14ac:dyDescent="0.3">
      <c r="D127" s="240"/>
      <c r="E127" s="240"/>
    </row>
    <row r="128" spans="4:5" x14ac:dyDescent="0.3">
      <c r="D128" s="240"/>
      <c r="E128" s="240"/>
    </row>
    <row r="129" spans="4:5" x14ac:dyDescent="0.3">
      <c r="D129" s="240"/>
      <c r="E129" s="240"/>
    </row>
    <row r="130" spans="4:5" x14ac:dyDescent="0.3">
      <c r="D130" s="240"/>
      <c r="E130" s="240"/>
    </row>
    <row r="131" spans="4:5" x14ac:dyDescent="0.3">
      <c r="D131" s="240"/>
      <c r="E131" s="240"/>
    </row>
    <row r="132" spans="4:5" x14ac:dyDescent="0.3">
      <c r="D132" s="240"/>
      <c r="E132" s="240"/>
    </row>
    <row r="133" spans="4:5" x14ac:dyDescent="0.3">
      <c r="D133" s="240"/>
      <c r="E133" s="240"/>
    </row>
    <row r="134" spans="4:5" x14ac:dyDescent="0.3">
      <c r="D134" s="240"/>
      <c r="E134" s="240"/>
    </row>
    <row r="135" spans="4:5" x14ac:dyDescent="0.3">
      <c r="D135" s="240"/>
      <c r="E135" s="240"/>
    </row>
    <row r="136" spans="4:5" x14ac:dyDescent="0.3">
      <c r="D136" s="240"/>
      <c r="E136" s="240"/>
    </row>
    <row r="137" spans="4:5" x14ac:dyDescent="0.3">
      <c r="D137" s="240"/>
      <c r="E137" s="240"/>
    </row>
    <row r="138" spans="4:5" x14ac:dyDescent="0.3">
      <c r="D138" s="240"/>
      <c r="E138" s="240"/>
    </row>
    <row r="139" spans="4:5" x14ac:dyDescent="0.3">
      <c r="D139" s="240"/>
      <c r="E139" s="240"/>
    </row>
    <row r="140" spans="4:5" x14ac:dyDescent="0.3">
      <c r="D140" s="240"/>
      <c r="E140" s="240"/>
    </row>
    <row r="141" spans="4:5" x14ac:dyDescent="0.3">
      <c r="D141" s="240"/>
      <c r="E141" s="240"/>
    </row>
    <row r="142" spans="4:5" x14ac:dyDescent="0.3">
      <c r="D142" s="240"/>
      <c r="E142" s="240"/>
    </row>
    <row r="143" spans="4:5" x14ac:dyDescent="0.3">
      <c r="D143" s="240"/>
      <c r="E143" s="240"/>
    </row>
    <row r="144" spans="4:5" x14ac:dyDescent="0.3">
      <c r="D144" s="240"/>
      <c r="E144" s="240"/>
    </row>
    <row r="145" spans="4:5" x14ac:dyDescent="0.3">
      <c r="D145" s="240"/>
      <c r="E145" s="240"/>
    </row>
    <row r="146" spans="4:5" x14ac:dyDescent="0.3">
      <c r="D146" s="240"/>
      <c r="E146" s="240"/>
    </row>
    <row r="147" spans="4:5" x14ac:dyDescent="0.3">
      <c r="D147" s="240"/>
      <c r="E147" s="240"/>
    </row>
    <row r="148" spans="4:5" x14ac:dyDescent="0.3">
      <c r="D148" s="240"/>
      <c r="E148" s="240"/>
    </row>
    <row r="149" spans="4:5" x14ac:dyDescent="0.3">
      <c r="D149" s="240"/>
      <c r="E149" s="240"/>
    </row>
    <row r="150" spans="4:5" x14ac:dyDescent="0.3">
      <c r="D150" s="240"/>
      <c r="E150" s="240"/>
    </row>
    <row r="151" spans="4:5" x14ac:dyDescent="0.3">
      <c r="D151" s="240"/>
      <c r="E151" s="240"/>
    </row>
    <row r="152" spans="4:5" x14ac:dyDescent="0.3">
      <c r="D152" s="240"/>
      <c r="E152" s="240"/>
    </row>
    <row r="153" spans="4:5" x14ac:dyDescent="0.3">
      <c r="D153" s="240"/>
      <c r="E153" s="240"/>
    </row>
    <row r="154" spans="4:5" x14ac:dyDescent="0.3">
      <c r="D154" s="240"/>
      <c r="E154" s="240"/>
    </row>
    <row r="155" spans="4:5" x14ac:dyDescent="0.3">
      <c r="D155" s="240"/>
      <c r="E155" s="240"/>
    </row>
    <row r="156" spans="4:5" x14ac:dyDescent="0.3">
      <c r="D156" s="240"/>
      <c r="E156" s="240"/>
    </row>
    <row r="157" spans="4:5" x14ac:dyDescent="0.3">
      <c r="D157" s="240"/>
      <c r="E157" s="240"/>
    </row>
    <row r="158" spans="4:5" x14ac:dyDescent="0.3">
      <c r="D158" s="240"/>
      <c r="E158" s="240"/>
    </row>
    <row r="159" spans="4:5" x14ac:dyDescent="0.3">
      <c r="D159" s="240"/>
      <c r="E159" s="240"/>
    </row>
    <row r="160" spans="4:5" x14ac:dyDescent="0.3">
      <c r="D160" s="240"/>
      <c r="E160" s="240"/>
    </row>
    <row r="161" spans="4:5" x14ac:dyDescent="0.3">
      <c r="D161" s="240"/>
      <c r="E161" s="240"/>
    </row>
    <row r="162" spans="4:5" x14ac:dyDescent="0.3">
      <c r="D162" s="240"/>
      <c r="E162" s="240"/>
    </row>
    <row r="163" spans="4:5" x14ac:dyDescent="0.3">
      <c r="D163" s="240"/>
      <c r="E163" s="240"/>
    </row>
    <row r="164" spans="4:5" x14ac:dyDescent="0.3">
      <c r="D164" s="240"/>
      <c r="E164" s="240"/>
    </row>
    <row r="165" spans="4:5" x14ac:dyDescent="0.3">
      <c r="D165" s="240"/>
      <c r="E165" s="240"/>
    </row>
    <row r="166" spans="4:5" x14ac:dyDescent="0.3">
      <c r="D166" s="240"/>
      <c r="E166" s="240"/>
    </row>
    <row r="167" spans="4:5" x14ac:dyDescent="0.3">
      <c r="D167" s="240"/>
      <c r="E167" s="240"/>
    </row>
    <row r="168" spans="4:5" x14ac:dyDescent="0.3">
      <c r="D168" s="240"/>
      <c r="E168" s="240"/>
    </row>
    <row r="169" spans="4:5" x14ac:dyDescent="0.3">
      <c r="D169" s="240"/>
      <c r="E169" s="240"/>
    </row>
    <row r="170" spans="4:5" x14ac:dyDescent="0.3">
      <c r="D170" s="240"/>
      <c r="E170" s="240"/>
    </row>
    <row r="171" spans="4:5" x14ac:dyDescent="0.3">
      <c r="D171" s="240"/>
      <c r="E171" s="240"/>
    </row>
    <row r="172" spans="4:5" x14ac:dyDescent="0.3">
      <c r="D172" s="240"/>
      <c r="E172" s="240"/>
    </row>
    <row r="173" spans="4:5" x14ac:dyDescent="0.3">
      <c r="D173" s="240"/>
      <c r="E173" s="240"/>
    </row>
    <row r="174" spans="4:5" x14ac:dyDescent="0.3">
      <c r="D174" s="240"/>
      <c r="E174" s="240"/>
    </row>
    <row r="175" spans="4:5" x14ac:dyDescent="0.3">
      <c r="D175" s="240"/>
      <c r="E175" s="240"/>
    </row>
    <row r="176" spans="4:5" x14ac:dyDescent="0.3">
      <c r="D176" s="240"/>
      <c r="E176" s="240"/>
    </row>
    <row r="177" spans="4:5" x14ac:dyDescent="0.3">
      <c r="D177" s="240"/>
      <c r="E177" s="240"/>
    </row>
    <row r="178" spans="4:5" x14ac:dyDescent="0.3">
      <c r="D178" s="240"/>
      <c r="E178" s="240"/>
    </row>
    <row r="179" spans="4:5" x14ac:dyDescent="0.3">
      <c r="D179" s="240"/>
      <c r="E179" s="240"/>
    </row>
    <row r="180" spans="4:5" x14ac:dyDescent="0.3">
      <c r="D180" s="240"/>
      <c r="E180" s="240"/>
    </row>
    <row r="181" spans="4:5" x14ac:dyDescent="0.3">
      <c r="D181" s="240"/>
      <c r="E181" s="240"/>
    </row>
    <row r="182" spans="4:5" x14ac:dyDescent="0.3">
      <c r="D182" s="240"/>
      <c r="E182" s="240"/>
    </row>
    <row r="183" spans="4:5" x14ac:dyDescent="0.3">
      <c r="D183" s="240"/>
      <c r="E183" s="240"/>
    </row>
    <row r="184" spans="4:5" x14ac:dyDescent="0.3">
      <c r="D184" s="240"/>
      <c r="E184" s="240"/>
    </row>
    <row r="185" spans="4:5" x14ac:dyDescent="0.3">
      <c r="D185" s="240"/>
      <c r="E185" s="240"/>
    </row>
    <row r="186" spans="4:5" x14ac:dyDescent="0.3">
      <c r="D186" s="240"/>
      <c r="E186" s="240"/>
    </row>
    <row r="187" spans="4:5" x14ac:dyDescent="0.3">
      <c r="D187" s="240"/>
      <c r="E187" s="240"/>
    </row>
    <row r="188" spans="4:5" x14ac:dyDescent="0.3">
      <c r="D188" s="240"/>
      <c r="E188" s="240"/>
    </row>
    <row r="189" spans="4:5" x14ac:dyDescent="0.3">
      <c r="D189" s="240"/>
      <c r="E189" s="240"/>
    </row>
    <row r="190" spans="4:5" x14ac:dyDescent="0.3">
      <c r="D190" s="240"/>
      <c r="E190" s="240"/>
    </row>
    <row r="191" spans="4:5" x14ac:dyDescent="0.3">
      <c r="D191" s="240"/>
      <c r="E191" s="240"/>
    </row>
    <row r="192" spans="4:5" x14ac:dyDescent="0.3">
      <c r="D192" s="240"/>
      <c r="E192" s="240"/>
    </row>
    <row r="193" spans="4:5" x14ac:dyDescent="0.3">
      <c r="D193" s="240"/>
      <c r="E193" s="240"/>
    </row>
    <row r="194" spans="4:5" x14ac:dyDescent="0.3">
      <c r="D194" s="240"/>
      <c r="E194" s="240"/>
    </row>
    <row r="195" spans="4:5" x14ac:dyDescent="0.3">
      <c r="D195" s="240"/>
      <c r="E195" s="240"/>
    </row>
    <row r="196" spans="4:5" x14ac:dyDescent="0.3">
      <c r="D196" s="240"/>
      <c r="E196" s="240"/>
    </row>
    <row r="197" spans="4:5" x14ac:dyDescent="0.3">
      <c r="D197" s="240"/>
      <c r="E197" s="240"/>
    </row>
    <row r="198" spans="4:5" x14ac:dyDescent="0.3">
      <c r="D198" s="240"/>
      <c r="E198" s="240"/>
    </row>
    <row r="199" spans="4:5" x14ac:dyDescent="0.3">
      <c r="D199" s="240"/>
      <c r="E199" s="240"/>
    </row>
    <row r="200" spans="4:5" x14ac:dyDescent="0.3">
      <c r="D200" s="240"/>
      <c r="E200" s="240"/>
    </row>
    <row r="201" spans="4:5" x14ac:dyDescent="0.3">
      <c r="D201" s="240"/>
      <c r="E201" s="240"/>
    </row>
    <row r="202" spans="4:5" x14ac:dyDescent="0.3">
      <c r="D202" s="240"/>
      <c r="E202" s="240"/>
    </row>
    <row r="203" spans="4:5" x14ac:dyDescent="0.3">
      <c r="D203" s="240"/>
      <c r="E203" s="240"/>
    </row>
    <row r="204" spans="4:5" x14ac:dyDescent="0.3">
      <c r="D204" s="240"/>
      <c r="E204" s="240"/>
    </row>
    <row r="205" spans="4:5" x14ac:dyDescent="0.3">
      <c r="D205" s="240"/>
      <c r="E205" s="240"/>
    </row>
    <row r="206" spans="4:5" x14ac:dyDescent="0.3">
      <c r="D206" s="240"/>
      <c r="E206" s="240"/>
    </row>
    <row r="207" spans="4:5" x14ac:dyDescent="0.3">
      <c r="D207" s="240"/>
      <c r="E207" s="240"/>
    </row>
    <row r="208" spans="4:5" x14ac:dyDescent="0.3">
      <c r="D208" s="240"/>
      <c r="E208" s="240"/>
    </row>
    <row r="209" spans="4:5" x14ac:dyDescent="0.3">
      <c r="D209" s="240"/>
      <c r="E209" s="240"/>
    </row>
    <row r="210" spans="4:5" x14ac:dyDescent="0.3">
      <c r="D210" s="240"/>
      <c r="E210" s="240"/>
    </row>
    <row r="211" spans="4:5" x14ac:dyDescent="0.3">
      <c r="D211" s="240"/>
      <c r="E211" s="240"/>
    </row>
    <row r="212" spans="4:5" x14ac:dyDescent="0.3">
      <c r="D212" s="240"/>
      <c r="E212" s="240"/>
    </row>
    <row r="213" spans="4:5" x14ac:dyDescent="0.3">
      <c r="D213" s="240"/>
      <c r="E213" s="240"/>
    </row>
    <row r="214" spans="4:5" x14ac:dyDescent="0.3">
      <c r="D214" s="240"/>
      <c r="E214" s="240"/>
    </row>
    <row r="215" spans="4:5" x14ac:dyDescent="0.3">
      <c r="D215" s="240"/>
      <c r="E215" s="240"/>
    </row>
    <row r="216" spans="4:5" x14ac:dyDescent="0.3">
      <c r="D216" s="240"/>
      <c r="E216" s="240"/>
    </row>
    <row r="217" spans="4:5" x14ac:dyDescent="0.3">
      <c r="D217" s="240"/>
      <c r="E217" s="240"/>
    </row>
    <row r="218" spans="4:5" x14ac:dyDescent="0.3">
      <c r="D218" s="240"/>
      <c r="E218" s="240"/>
    </row>
    <row r="219" spans="4:5" x14ac:dyDescent="0.3">
      <c r="D219" s="240"/>
      <c r="E219" s="240"/>
    </row>
    <row r="220" spans="4:5" x14ac:dyDescent="0.3">
      <c r="D220" s="240"/>
      <c r="E220" s="240"/>
    </row>
    <row r="221" spans="4:5" x14ac:dyDescent="0.3">
      <c r="D221" s="240"/>
      <c r="E221" s="240"/>
    </row>
    <row r="222" spans="4:5" x14ac:dyDescent="0.3">
      <c r="D222" s="240"/>
      <c r="E222" s="240"/>
    </row>
    <row r="223" spans="4:5" x14ac:dyDescent="0.3">
      <c r="D223" s="240"/>
      <c r="E223" s="240"/>
    </row>
    <row r="224" spans="4:5" x14ac:dyDescent="0.3">
      <c r="D224" s="240"/>
      <c r="E224" s="240"/>
    </row>
    <row r="225" spans="4:5" x14ac:dyDescent="0.3">
      <c r="D225" s="240"/>
      <c r="E225" s="240"/>
    </row>
    <row r="226" spans="4:5" x14ac:dyDescent="0.3">
      <c r="D226" s="240"/>
      <c r="E226" s="240"/>
    </row>
    <row r="227" spans="4:5" x14ac:dyDescent="0.3">
      <c r="D227" s="240"/>
      <c r="E227" s="240"/>
    </row>
    <row r="228" spans="4:5" x14ac:dyDescent="0.3">
      <c r="D228" s="240"/>
      <c r="E228" s="240"/>
    </row>
    <row r="229" spans="4:5" x14ac:dyDescent="0.3">
      <c r="D229" s="240"/>
      <c r="E229" s="240"/>
    </row>
    <row r="230" spans="4:5" x14ac:dyDescent="0.3">
      <c r="D230" s="240"/>
      <c r="E230" s="240"/>
    </row>
    <row r="231" spans="4:5" x14ac:dyDescent="0.3">
      <c r="D231" s="240"/>
      <c r="E231" s="240"/>
    </row>
    <row r="232" spans="4:5" x14ac:dyDescent="0.3">
      <c r="D232" s="240"/>
      <c r="E232" s="240"/>
    </row>
    <row r="233" spans="4:5" x14ac:dyDescent="0.3">
      <c r="D233" s="240"/>
      <c r="E233" s="240"/>
    </row>
    <row r="234" spans="4:5" x14ac:dyDescent="0.3">
      <c r="D234" s="240"/>
      <c r="E234" s="240"/>
    </row>
    <row r="235" spans="4:5" x14ac:dyDescent="0.3">
      <c r="D235" s="240"/>
      <c r="E235" s="240"/>
    </row>
    <row r="236" spans="4:5" x14ac:dyDescent="0.3">
      <c r="D236" s="240"/>
      <c r="E236" s="240"/>
    </row>
    <row r="237" spans="4:5" x14ac:dyDescent="0.3">
      <c r="D237" s="240"/>
      <c r="E237" s="240"/>
    </row>
    <row r="238" spans="4:5" x14ac:dyDescent="0.3">
      <c r="D238" s="240"/>
      <c r="E238" s="240"/>
    </row>
    <row r="239" spans="4:5" x14ac:dyDescent="0.3">
      <c r="D239" s="240"/>
      <c r="E239" s="240"/>
    </row>
    <row r="240" spans="4:5" x14ac:dyDescent="0.3">
      <c r="D240" s="240"/>
      <c r="E240" s="240"/>
    </row>
    <row r="241" spans="4:5" x14ac:dyDescent="0.3">
      <c r="D241" s="240"/>
      <c r="E241" s="240"/>
    </row>
    <row r="242" spans="4:5" x14ac:dyDescent="0.3">
      <c r="D242" s="240"/>
      <c r="E242" s="240"/>
    </row>
    <row r="243" spans="4:5" x14ac:dyDescent="0.3">
      <c r="D243" s="240"/>
      <c r="E243" s="240"/>
    </row>
    <row r="244" spans="4:5" x14ac:dyDescent="0.3">
      <c r="D244" s="240"/>
      <c r="E244" s="240"/>
    </row>
    <row r="245" spans="4:5" x14ac:dyDescent="0.3">
      <c r="D245" s="240"/>
      <c r="E245" s="240"/>
    </row>
    <row r="246" spans="4:5" x14ac:dyDescent="0.3">
      <c r="D246" s="240"/>
      <c r="E246" s="240"/>
    </row>
    <row r="247" spans="4:5" x14ac:dyDescent="0.3">
      <c r="D247" s="240"/>
      <c r="E247" s="240"/>
    </row>
    <row r="248" spans="4:5" x14ac:dyDescent="0.3">
      <c r="D248" s="240"/>
      <c r="E248" s="240"/>
    </row>
    <row r="249" spans="4:5" x14ac:dyDescent="0.3">
      <c r="D249" s="240"/>
      <c r="E249" s="240"/>
    </row>
    <row r="250" spans="4:5" x14ac:dyDescent="0.3">
      <c r="D250" s="240"/>
      <c r="E250" s="240"/>
    </row>
    <row r="251" spans="4:5" x14ac:dyDescent="0.3">
      <c r="D251" s="240"/>
      <c r="E251" s="240"/>
    </row>
    <row r="252" spans="4:5" x14ac:dyDescent="0.3">
      <c r="D252" s="240"/>
      <c r="E252" s="240"/>
    </row>
    <row r="253" spans="4:5" x14ac:dyDescent="0.3">
      <c r="D253" s="240"/>
      <c r="E253" s="240"/>
    </row>
    <row r="254" spans="4:5" x14ac:dyDescent="0.3">
      <c r="D254" s="240"/>
      <c r="E254" s="240"/>
    </row>
    <row r="255" spans="4:5" x14ac:dyDescent="0.3">
      <c r="D255" s="240"/>
      <c r="E255" s="240"/>
    </row>
    <row r="256" spans="4:5" x14ac:dyDescent="0.3">
      <c r="D256" s="240"/>
      <c r="E256" s="240"/>
    </row>
    <row r="257" spans="4:5" x14ac:dyDescent="0.3">
      <c r="D257" s="240"/>
      <c r="E257" s="240"/>
    </row>
    <row r="258" spans="4:5" x14ac:dyDescent="0.3">
      <c r="D258" s="240"/>
      <c r="E258" s="240"/>
    </row>
    <row r="259" spans="4:5" x14ac:dyDescent="0.3">
      <c r="D259" s="240"/>
      <c r="E259" s="240"/>
    </row>
    <row r="260" spans="4:5" x14ac:dyDescent="0.3">
      <c r="D260" s="240"/>
      <c r="E260" s="240"/>
    </row>
    <row r="261" spans="4:5" x14ac:dyDescent="0.3">
      <c r="D261" s="240"/>
      <c r="E261" s="240"/>
    </row>
    <row r="262" spans="4:5" x14ac:dyDescent="0.3">
      <c r="D262" s="240"/>
      <c r="E262" s="240"/>
    </row>
    <row r="263" spans="4:5" x14ac:dyDescent="0.3">
      <c r="D263" s="240"/>
      <c r="E263" s="240"/>
    </row>
    <row r="264" spans="4:5" x14ac:dyDescent="0.3">
      <c r="D264" s="240"/>
      <c r="E264" s="240"/>
    </row>
    <row r="265" spans="4:5" x14ac:dyDescent="0.3">
      <c r="D265" s="240"/>
      <c r="E265" s="240"/>
    </row>
    <row r="266" spans="4:5" x14ac:dyDescent="0.3">
      <c r="D266" s="240"/>
      <c r="E266" s="240"/>
    </row>
    <row r="267" spans="4:5" x14ac:dyDescent="0.3">
      <c r="D267" s="240"/>
      <c r="E267" s="240"/>
    </row>
    <row r="268" spans="4:5" x14ac:dyDescent="0.3">
      <c r="D268" s="240"/>
      <c r="E268" s="240"/>
    </row>
    <row r="269" spans="4:5" x14ac:dyDescent="0.3">
      <c r="D269" s="240"/>
      <c r="E269" s="240"/>
    </row>
    <row r="270" spans="4:5" x14ac:dyDescent="0.3">
      <c r="D270" s="240"/>
      <c r="E270" s="240"/>
    </row>
    <row r="271" spans="4:5" x14ac:dyDescent="0.3">
      <c r="D271" s="240"/>
      <c r="E271" s="240"/>
    </row>
    <row r="272" spans="4:5" x14ac:dyDescent="0.3">
      <c r="D272" s="240"/>
      <c r="E272" s="240"/>
    </row>
    <row r="273" spans="4:5" x14ac:dyDescent="0.3">
      <c r="D273" s="240"/>
      <c r="E273" s="240"/>
    </row>
    <row r="274" spans="4:5" x14ac:dyDescent="0.3">
      <c r="D274" s="240"/>
      <c r="E274" s="240"/>
    </row>
    <row r="275" spans="4:5" x14ac:dyDescent="0.3">
      <c r="D275" s="240"/>
      <c r="E275" s="240"/>
    </row>
    <row r="276" spans="4:5" x14ac:dyDescent="0.3">
      <c r="D276" s="240"/>
      <c r="E276" s="240"/>
    </row>
    <row r="277" spans="4:5" x14ac:dyDescent="0.3">
      <c r="D277" s="240"/>
      <c r="E277" s="240"/>
    </row>
    <row r="278" spans="4:5" x14ac:dyDescent="0.3">
      <c r="D278" s="240"/>
      <c r="E278" s="240"/>
    </row>
    <row r="279" spans="4:5" x14ac:dyDescent="0.3">
      <c r="D279" s="240"/>
      <c r="E279" s="240"/>
    </row>
    <row r="280" spans="4:5" x14ac:dyDescent="0.3">
      <c r="D280" s="240"/>
      <c r="E280" s="240"/>
    </row>
    <row r="281" spans="4:5" x14ac:dyDescent="0.3">
      <c r="D281" s="240"/>
      <c r="E281" s="240"/>
    </row>
    <row r="282" spans="4:5" x14ac:dyDescent="0.3">
      <c r="D282" s="240"/>
      <c r="E282" s="240"/>
    </row>
    <row r="283" spans="4:5" x14ac:dyDescent="0.3">
      <c r="D283" s="240"/>
      <c r="E283" s="240"/>
    </row>
    <row r="284" spans="4:5" x14ac:dyDescent="0.3">
      <c r="D284" s="240"/>
      <c r="E284" s="240"/>
    </row>
    <row r="285" spans="4:5" x14ac:dyDescent="0.3">
      <c r="D285" s="240"/>
      <c r="E285" s="240"/>
    </row>
    <row r="286" spans="4:5" x14ac:dyDescent="0.3">
      <c r="D286" s="240"/>
      <c r="E286" s="240"/>
    </row>
    <row r="287" spans="4:5" x14ac:dyDescent="0.3">
      <c r="D287" s="240"/>
      <c r="E287" s="240"/>
    </row>
    <row r="288" spans="4:5" x14ac:dyDescent="0.3">
      <c r="D288" s="240"/>
      <c r="E288" s="240"/>
    </row>
    <row r="289" spans="4:5" x14ac:dyDescent="0.3">
      <c r="D289" s="240"/>
      <c r="E289" s="240"/>
    </row>
    <row r="290" spans="4:5" x14ac:dyDescent="0.3">
      <c r="D290" s="240"/>
      <c r="E290" s="240"/>
    </row>
    <row r="291" spans="4:5" x14ac:dyDescent="0.3">
      <c r="D291" s="240"/>
      <c r="E291" s="240"/>
    </row>
    <row r="292" spans="4:5" x14ac:dyDescent="0.3">
      <c r="D292" s="240"/>
      <c r="E292" s="240"/>
    </row>
    <row r="293" spans="4:5" x14ac:dyDescent="0.3">
      <c r="D293" s="240"/>
      <c r="E293" s="240"/>
    </row>
    <row r="294" spans="4:5" x14ac:dyDescent="0.3">
      <c r="D294" s="240"/>
      <c r="E294" s="240"/>
    </row>
    <row r="295" spans="4:5" x14ac:dyDescent="0.3">
      <c r="D295" s="240"/>
      <c r="E295" s="240"/>
    </row>
    <row r="296" spans="4:5" x14ac:dyDescent="0.3">
      <c r="D296" s="240"/>
      <c r="E296" s="240"/>
    </row>
    <row r="297" spans="4:5" x14ac:dyDescent="0.3">
      <c r="D297" s="240"/>
      <c r="E297" s="240"/>
    </row>
    <row r="298" spans="4:5" x14ac:dyDescent="0.3">
      <c r="D298" s="240"/>
      <c r="E298" s="240"/>
    </row>
    <row r="299" spans="4:5" x14ac:dyDescent="0.3">
      <c r="D299" s="240"/>
      <c r="E299" s="240"/>
    </row>
    <row r="300" spans="4:5" x14ac:dyDescent="0.3">
      <c r="D300" s="240"/>
      <c r="E300" s="240"/>
    </row>
    <row r="301" spans="4:5" x14ac:dyDescent="0.3">
      <c r="D301" s="240"/>
      <c r="E301" s="240"/>
    </row>
    <row r="302" spans="4:5" x14ac:dyDescent="0.3">
      <c r="D302" s="240"/>
      <c r="E302" s="240"/>
    </row>
    <row r="303" spans="4:5" x14ac:dyDescent="0.3">
      <c r="D303" s="240"/>
      <c r="E303" s="240"/>
    </row>
    <row r="304" spans="4:5" x14ac:dyDescent="0.3">
      <c r="D304" s="240"/>
      <c r="E304" s="240"/>
    </row>
    <row r="305" spans="4:5" x14ac:dyDescent="0.3">
      <c r="D305" s="240"/>
      <c r="E305" s="240"/>
    </row>
    <row r="306" spans="4:5" x14ac:dyDescent="0.3">
      <c r="D306" s="240"/>
      <c r="E306" s="240"/>
    </row>
    <row r="307" spans="4:5" x14ac:dyDescent="0.3">
      <c r="D307" s="240"/>
      <c r="E307" s="240"/>
    </row>
    <row r="308" spans="4:5" x14ac:dyDescent="0.3">
      <c r="D308" s="240"/>
      <c r="E308" s="240"/>
    </row>
    <row r="309" spans="4:5" x14ac:dyDescent="0.3">
      <c r="D309" s="240"/>
      <c r="E309" s="240"/>
    </row>
    <row r="310" spans="4:5" x14ac:dyDescent="0.3">
      <c r="D310" s="240"/>
      <c r="E310" s="240"/>
    </row>
    <row r="311" spans="4:5" x14ac:dyDescent="0.3">
      <c r="D311" s="240"/>
      <c r="E311" s="240"/>
    </row>
    <row r="312" spans="4:5" x14ac:dyDescent="0.3">
      <c r="D312" s="240"/>
      <c r="E312" s="240"/>
    </row>
    <row r="313" spans="4:5" x14ac:dyDescent="0.3">
      <c r="D313" s="240"/>
      <c r="E313" s="240"/>
    </row>
    <row r="314" spans="4:5" x14ac:dyDescent="0.3">
      <c r="D314" s="240"/>
      <c r="E314" s="240"/>
    </row>
    <row r="315" spans="4:5" x14ac:dyDescent="0.3">
      <c r="D315" s="240"/>
      <c r="E315" s="240"/>
    </row>
    <row r="316" spans="4:5" x14ac:dyDescent="0.3">
      <c r="D316" s="240"/>
      <c r="E316" s="240"/>
    </row>
    <row r="317" spans="4:5" x14ac:dyDescent="0.3">
      <c r="D317" s="240"/>
      <c r="E317" s="240"/>
    </row>
    <row r="318" spans="4:5" x14ac:dyDescent="0.3">
      <c r="D318" s="240"/>
      <c r="E318" s="240"/>
    </row>
    <row r="319" spans="4:5" x14ac:dyDescent="0.3">
      <c r="D319" s="240"/>
      <c r="E319" s="240"/>
    </row>
    <row r="320" spans="4:5" x14ac:dyDescent="0.3">
      <c r="D320" s="240"/>
      <c r="E320" s="240"/>
    </row>
    <row r="321" spans="4:5" x14ac:dyDescent="0.3">
      <c r="D321" s="240"/>
      <c r="E321" s="240"/>
    </row>
    <row r="322" spans="4:5" x14ac:dyDescent="0.3">
      <c r="D322" s="240"/>
      <c r="E322" s="240"/>
    </row>
    <row r="323" spans="4:5" x14ac:dyDescent="0.3">
      <c r="D323" s="240"/>
      <c r="E323" s="240"/>
    </row>
    <row r="324" spans="4:5" x14ac:dyDescent="0.3">
      <c r="D324" s="240"/>
      <c r="E324" s="240"/>
    </row>
    <row r="325" spans="4:5" x14ac:dyDescent="0.3">
      <c r="D325" s="240"/>
      <c r="E325" s="240"/>
    </row>
    <row r="326" spans="4:5" x14ac:dyDescent="0.3">
      <c r="D326" s="240"/>
      <c r="E326" s="240"/>
    </row>
    <row r="327" spans="4:5" x14ac:dyDescent="0.3">
      <c r="D327" s="240"/>
      <c r="E327" s="240"/>
    </row>
    <row r="328" spans="4:5" x14ac:dyDescent="0.3">
      <c r="D328" s="240"/>
      <c r="E328" s="240"/>
    </row>
    <row r="329" spans="4:5" x14ac:dyDescent="0.3">
      <c r="D329" s="240"/>
      <c r="E329" s="240"/>
    </row>
    <row r="330" spans="4:5" x14ac:dyDescent="0.3">
      <c r="D330" s="240"/>
      <c r="E330" s="240"/>
    </row>
    <row r="331" spans="4:5" x14ac:dyDescent="0.3">
      <c r="D331" s="240"/>
      <c r="E331" s="240"/>
    </row>
    <row r="332" spans="4:5" x14ac:dyDescent="0.3">
      <c r="D332" s="240"/>
      <c r="E332" s="240"/>
    </row>
    <row r="333" spans="4:5" x14ac:dyDescent="0.3">
      <c r="D333" s="240"/>
      <c r="E333" s="240"/>
    </row>
    <row r="334" spans="4:5" x14ac:dyDescent="0.3">
      <c r="D334" s="240"/>
      <c r="E334" s="240"/>
    </row>
    <row r="335" spans="4:5" x14ac:dyDescent="0.3">
      <c r="D335" s="240"/>
      <c r="E335" s="240"/>
    </row>
    <row r="336" spans="4:5" x14ac:dyDescent="0.3">
      <c r="D336" s="240"/>
      <c r="E336" s="240"/>
    </row>
    <row r="337" spans="4:5" x14ac:dyDescent="0.3">
      <c r="D337" s="240"/>
      <c r="E337" s="240"/>
    </row>
    <row r="338" spans="4:5" x14ac:dyDescent="0.3">
      <c r="D338" s="240"/>
      <c r="E338" s="240"/>
    </row>
    <row r="339" spans="4:5" x14ac:dyDescent="0.3">
      <c r="D339" s="240"/>
      <c r="E339" s="240"/>
    </row>
    <row r="340" spans="4:5" x14ac:dyDescent="0.3">
      <c r="D340" s="240"/>
      <c r="E340" s="240"/>
    </row>
    <row r="341" spans="4:5" x14ac:dyDescent="0.3">
      <c r="D341" s="240"/>
      <c r="E341" s="240"/>
    </row>
    <row r="342" spans="4:5" x14ac:dyDescent="0.3">
      <c r="D342" s="240"/>
      <c r="E342" s="240"/>
    </row>
    <row r="343" spans="4:5" x14ac:dyDescent="0.3">
      <c r="D343" s="240"/>
      <c r="E343" s="240"/>
    </row>
    <row r="344" spans="4:5" x14ac:dyDescent="0.3">
      <c r="D344" s="240"/>
      <c r="E344" s="240"/>
    </row>
    <row r="345" spans="4:5" x14ac:dyDescent="0.3">
      <c r="D345" s="240"/>
      <c r="E345" s="240"/>
    </row>
    <row r="346" spans="4:5" x14ac:dyDescent="0.3">
      <c r="D346" s="240"/>
      <c r="E346" s="240"/>
    </row>
    <row r="347" spans="4:5" x14ac:dyDescent="0.3">
      <c r="D347" s="240"/>
      <c r="E347" s="240"/>
    </row>
    <row r="348" spans="4:5" x14ac:dyDescent="0.3">
      <c r="D348" s="240"/>
      <c r="E348" s="240"/>
    </row>
    <row r="349" spans="4:5" x14ac:dyDescent="0.3">
      <c r="D349" s="240"/>
      <c r="E349" s="240"/>
    </row>
    <row r="350" spans="4:5" x14ac:dyDescent="0.3">
      <c r="D350" s="240"/>
      <c r="E350" s="240"/>
    </row>
    <row r="351" spans="4:5" x14ac:dyDescent="0.3">
      <c r="D351" s="240"/>
      <c r="E351" s="240"/>
    </row>
    <row r="352" spans="4:5" x14ac:dyDescent="0.3">
      <c r="D352" s="240"/>
      <c r="E352" s="240"/>
    </row>
    <row r="353" spans="4:5" x14ac:dyDescent="0.3">
      <c r="D353" s="240"/>
      <c r="E353" s="240"/>
    </row>
    <row r="354" spans="4:5" x14ac:dyDescent="0.3">
      <c r="D354" s="240"/>
      <c r="E354" s="240"/>
    </row>
    <row r="355" spans="4:5" x14ac:dyDescent="0.3">
      <c r="D355" s="240"/>
      <c r="E355" s="240"/>
    </row>
    <row r="356" spans="4:5" x14ac:dyDescent="0.3">
      <c r="D356" s="240"/>
      <c r="E356" s="240"/>
    </row>
    <row r="357" spans="4:5" x14ac:dyDescent="0.3">
      <c r="D357" s="240"/>
      <c r="E357" s="240"/>
    </row>
    <row r="358" spans="4:5" x14ac:dyDescent="0.3">
      <c r="D358" s="240"/>
      <c r="E358" s="240"/>
    </row>
    <row r="359" spans="4:5" x14ac:dyDescent="0.3">
      <c r="D359" s="240"/>
      <c r="E359" s="240"/>
    </row>
    <row r="360" spans="4:5" x14ac:dyDescent="0.3">
      <c r="D360" s="240"/>
      <c r="E360" s="240"/>
    </row>
    <row r="361" spans="4:5" x14ac:dyDescent="0.3">
      <c r="D361" s="240"/>
      <c r="E361" s="240"/>
    </row>
    <row r="362" spans="4:5" x14ac:dyDescent="0.3">
      <c r="D362" s="240"/>
      <c r="E362" s="240"/>
    </row>
    <row r="363" spans="4:5" x14ac:dyDescent="0.3">
      <c r="D363" s="240"/>
      <c r="E363" s="240"/>
    </row>
    <row r="364" spans="4:5" x14ac:dyDescent="0.3">
      <c r="D364" s="240"/>
      <c r="E364" s="240"/>
    </row>
    <row r="365" spans="4:5" x14ac:dyDescent="0.3">
      <c r="D365" s="240"/>
      <c r="E365" s="240"/>
    </row>
    <row r="366" spans="4:5" x14ac:dyDescent="0.3">
      <c r="D366" s="240"/>
      <c r="E366" s="240"/>
    </row>
    <row r="367" spans="4:5" x14ac:dyDescent="0.3">
      <c r="D367" s="240"/>
      <c r="E367" s="240"/>
    </row>
    <row r="368" spans="4:5" x14ac:dyDescent="0.3">
      <c r="D368" s="240"/>
      <c r="E368" s="240"/>
    </row>
    <row r="369" spans="4:5" x14ac:dyDescent="0.3">
      <c r="D369" s="240"/>
      <c r="E369" s="240"/>
    </row>
    <row r="370" spans="4:5" x14ac:dyDescent="0.3">
      <c r="D370" s="240"/>
      <c r="E370" s="240"/>
    </row>
    <row r="371" spans="4:5" x14ac:dyDescent="0.3">
      <c r="D371" s="240"/>
      <c r="E371" s="240"/>
    </row>
    <row r="372" spans="4:5" x14ac:dyDescent="0.3">
      <c r="D372" s="240"/>
      <c r="E372" s="240"/>
    </row>
    <row r="373" spans="4:5" x14ac:dyDescent="0.3">
      <c r="D373" s="240"/>
      <c r="E373" s="240"/>
    </row>
    <row r="374" spans="4:5" x14ac:dyDescent="0.3">
      <c r="D374" s="240"/>
      <c r="E374" s="240"/>
    </row>
    <row r="375" spans="4:5" x14ac:dyDescent="0.3">
      <c r="D375" s="240"/>
      <c r="E375" s="240"/>
    </row>
    <row r="376" spans="4:5" x14ac:dyDescent="0.3">
      <c r="D376" s="240"/>
      <c r="E376" s="240"/>
    </row>
    <row r="377" spans="4:5" x14ac:dyDescent="0.3">
      <c r="D377" s="240"/>
      <c r="E377" s="240"/>
    </row>
    <row r="378" spans="4:5" x14ac:dyDescent="0.3">
      <c r="D378" s="240"/>
      <c r="E378" s="240"/>
    </row>
    <row r="379" spans="4:5" x14ac:dyDescent="0.3">
      <c r="D379" s="240"/>
      <c r="E379" s="240"/>
    </row>
    <row r="380" spans="4:5" x14ac:dyDescent="0.3">
      <c r="D380" s="240"/>
      <c r="E380" s="240"/>
    </row>
    <row r="381" spans="4:5" x14ac:dyDescent="0.3">
      <c r="D381" s="240"/>
      <c r="E381" s="240"/>
    </row>
    <row r="382" spans="4:5" x14ac:dyDescent="0.3">
      <c r="D382" s="240"/>
      <c r="E382" s="240"/>
    </row>
    <row r="383" spans="4:5" x14ac:dyDescent="0.3">
      <c r="D383" s="240"/>
      <c r="E383" s="240"/>
    </row>
    <row r="384" spans="4:5" x14ac:dyDescent="0.3">
      <c r="D384" s="240"/>
      <c r="E384" s="240"/>
    </row>
    <row r="385" spans="4:5" x14ac:dyDescent="0.3">
      <c r="D385" s="240"/>
      <c r="E385" s="240"/>
    </row>
    <row r="386" spans="4:5" x14ac:dyDescent="0.3">
      <c r="D386" s="240"/>
      <c r="E386" s="240"/>
    </row>
    <row r="387" spans="4:5" x14ac:dyDescent="0.3">
      <c r="D387" s="240"/>
      <c r="E387" s="240"/>
    </row>
    <row r="388" spans="4:5" x14ac:dyDescent="0.3">
      <c r="D388" s="240"/>
      <c r="E388" s="240"/>
    </row>
    <row r="389" spans="4:5" x14ac:dyDescent="0.3">
      <c r="D389" s="240"/>
      <c r="E389" s="240"/>
    </row>
    <row r="390" spans="4:5" x14ac:dyDescent="0.3">
      <c r="D390" s="240"/>
      <c r="E390" s="240"/>
    </row>
    <row r="391" spans="4:5" x14ac:dyDescent="0.3">
      <c r="D391" s="240"/>
      <c r="E391" s="240"/>
    </row>
    <row r="392" spans="4:5" x14ac:dyDescent="0.3">
      <c r="D392" s="240"/>
      <c r="E392" s="240"/>
    </row>
    <row r="393" spans="4:5" x14ac:dyDescent="0.3">
      <c r="D393" s="240"/>
      <c r="E393" s="240"/>
    </row>
    <row r="394" spans="4:5" x14ac:dyDescent="0.3">
      <c r="D394" s="240"/>
      <c r="E394" s="240"/>
    </row>
    <row r="395" spans="4:5" x14ac:dyDescent="0.3">
      <c r="D395" s="240"/>
      <c r="E395" s="240"/>
    </row>
    <row r="396" spans="4:5" x14ac:dyDescent="0.3">
      <c r="D396" s="240"/>
      <c r="E396" s="240"/>
    </row>
    <row r="397" spans="4:5" x14ac:dyDescent="0.3">
      <c r="D397" s="240"/>
      <c r="E397" s="240"/>
    </row>
    <row r="398" spans="4:5" x14ac:dyDescent="0.3">
      <c r="D398" s="240"/>
      <c r="E398" s="240"/>
    </row>
    <row r="399" spans="4:5" x14ac:dyDescent="0.3">
      <c r="D399" s="240"/>
      <c r="E399" s="240"/>
    </row>
    <row r="400" spans="4:5" x14ac:dyDescent="0.3">
      <c r="D400" s="240"/>
      <c r="E400" s="240"/>
    </row>
    <row r="401" spans="4:5" x14ac:dyDescent="0.3">
      <c r="D401" s="240"/>
      <c r="E401" s="240"/>
    </row>
    <row r="402" spans="4:5" x14ac:dyDescent="0.3">
      <c r="D402" s="240"/>
      <c r="E402" s="240"/>
    </row>
    <row r="403" spans="4:5" x14ac:dyDescent="0.3">
      <c r="D403" s="240"/>
      <c r="E403" s="240"/>
    </row>
    <row r="404" spans="4:5" x14ac:dyDescent="0.3">
      <c r="D404" s="240"/>
      <c r="E404" s="240"/>
    </row>
    <row r="405" spans="4:5" x14ac:dyDescent="0.3">
      <c r="D405" s="240"/>
      <c r="E405" s="240"/>
    </row>
    <row r="406" spans="4:5" x14ac:dyDescent="0.3">
      <c r="D406" s="240"/>
      <c r="E406" s="240"/>
    </row>
    <row r="407" spans="4:5" x14ac:dyDescent="0.3">
      <c r="D407" s="240"/>
      <c r="E407" s="240"/>
    </row>
    <row r="408" spans="4:5" x14ac:dyDescent="0.3">
      <c r="D408" s="240"/>
      <c r="E408" s="240"/>
    </row>
    <row r="409" spans="4:5" x14ac:dyDescent="0.3">
      <c r="D409" s="240"/>
      <c r="E409" s="240"/>
    </row>
    <row r="410" spans="4:5" x14ac:dyDescent="0.3">
      <c r="D410" s="240"/>
      <c r="E410" s="240"/>
    </row>
    <row r="411" spans="4:5" x14ac:dyDescent="0.3">
      <c r="D411" s="240"/>
      <c r="E411" s="240"/>
    </row>
    <row r="412" spans="4:5" x14ac:dyDescent="0.3">
      <c r="D412" s="240"/>
      <c r="E412" s="240"/>
    </row>
    <row r="413" spans="4:5" x14ac:dyDescent="0.3">
      <c r="D413" s="240"/>
      <c r="E413" s="240"/>
    </row>
    <row r="414" spans="4:5" x14ac:dyDescent="0.3">
      <c r="D414" s="240"/>
      <c r="E414" s="240"/>
    </row>
    <row r="415" spans="4:5" x14ac:dyDescent="0.3">
      <c r="D415" s="240"/>
      <c r="E415" s="240"/>
    </row>
    <row r="416" spans="4:5" x14ac:dyDescent="0.3">
      <c r="D416" s="240"/>
      <c r="E416" s="240"/>
    </row>
    <row r="417" spans="4:5" x14ac:dyDescent="0.3">
      <c r="D417" s="240"/>
      <c r="E417" s="240"/>
    </row>
    <row r="418" spans="4:5" x14ac:dyDescent="0.3">
      <c r="D418" s="240"/>
      <c r="E418" s="240"/>
    </row>
    <row r="419" spans="4:5" x14ac:dyDescent="0.3">
      <c r="D419" s="240"/>
      <c r="E419" s="240"/>
    </row>
    <row r="420" spans="4:5" x14ac:dyDescent="0.3">
      <c r="D420" s="240"/>
      <c r="E420" s="240"/>
    </row>
    <row r="421" spans="4:5" x14ac:dyDescent="0.3">
      <c r="D421" s="240"/>
      <c r="E421" s="240"/>
    </row>
    <row r="422" spans="4:5" x14ac:dyDescent="0.3">
      <c r="D422" s="240"/>
      <c r="E422" s="240"/>
    </row>
    <row r="423" spans="4:5" x14ac:dyDescent="0.3">
      <c r="D423" s="240"/>
      <c r="E423" s="240"/>
    </row>
    <row r="424" spans="4:5" x14ac:dyDescent="0.3">
      <c r="D424" s="240"/>
      <c r="E424" s="240"/>
    </row>
    <row r="425" spans="4:5" x14ac:dyDescent="0.3">
      <c r="D425" s="240"/>
      <c r="E425" s="240"/>
    </row>
    <row r="426" spans="4:5" x14ac:dyDescent="0.3">
      <c r="D426" s="240"/>
      <c r="E426" s="240"/>
    </row>
    <row r="427" spans="4:5" x14ac:dyDescent="0.3">
      <c r="D427" s="240"/>
      <c r="E427" s="240"/>
    </row>
    <row r="428" spans="4:5" x14ac:dyDescent="0.3">
      <c r="D428" s="240"/>
      <c r="E428" s="240"/>
    </row>
    <row r="429" spans="4:5" x14ac:dyDescent="0.3">
      <c r="D429" s="240"/>
      <c r="E429" s="240"/>
    </row>
    <row r="430" spans="4:5" x14ac:dyDescent="0.3">
      <c r="D430" s="240"/>
      <c r="E430" s="240"/>
    </row>
    <row r="431" spans="4:5" x14ac:dyDescent="0.3">
      <c r="D431" s="240"/>
      <c r="E431" s="240"/>
    </row>
    <row r="432" spans="4:5" x14ac:dyDescent="0.3">
      <c r="D432" s="240"/>
      <c r="E432" s="240"/>
    </row>
    <row r="433" spans="4:5" x14ac:dyDescent="0.3">
      <c r="D433" s="240"/>
      <c r="E433" s="240"/>
    </row>
    <row r="434" spans="4:5" x14ac:dyDescent="0.3">
      <c r="D434" s="240"/>
      <c r="E434" s="240"/>
    </row>
    <row r="435" spans="4:5" x14ac:dyDescent="0.3">
      <c r="D435" s="240"/>
      <c r="E435" s="240"/>
    </row>
    <row r="436" spans="4:5" x14ac:dyDescent="0.3">
      <c r="D436" s="240"/>
      <c r="E436" s="240"/>
    </row>
    <row r="437" spans="4:5" x14ac:dyDescent="0.3">
      <c r="D437" s="240"/>
      <c r="E437" s="240"/>
    </row>
    <row r="438" spans="4:5" x14ac:dyDescent="0.3">
      <c r="D438" s="240"/>
      <c r="E438" s="240"/>
    </row>
    <row r="439" spans="4:5" x14ac:dyDescent="0.3">
      <c r="D439" s="240"/>
      <c r="E439" s="240"/>
    </row>
    <row r="440" spans="4:5" x14ac:dyDescent="0.3">
      <c r="D440" s="240"/>
      <c r="E440" s="240"/>
    </row>
    <row r="441" spans="4:5" x14ac:dyDescent="0.3">
      <c r="D441" s="240"/>
      <c r="E441" s="240"/>
    </row>
    <row r="442" spans="4:5" x14ac:dyDescent="0.3">
      <c r="D442" s="240"/>
      <c r="E442" s="240"/>
    </row>
    <row r="443" spans="4:5" x14ac:dyDescent="0.3">
      <c r="D443" s="240"/>
      <c r="E443" s="240"/>
    </row>
    <row r="444" spans="4:5" x14ac:dyDescent="0.3">
      <c r="D444" s="240"/>
      <c r="E444" s="240"/>
    </row>
    <row r="445" spans="4:5" x14ac:dyDescent="0.3">
      <c r="D445" s="240"/>
      <c r="E445" s="240"/>
    </row>
    <row r="446" spans="4:5" x14ac:dyDescent="0.3">
      <c r="D446" s="240"/>
      <c r="E446" s="240"/>
    </row>
    <row r="447" spans="4:5" x14ac:dyDescent="0.3">
      <c r="D447" s="240"/>
      <c r="E447" s="240"/>
    </row>
    <row r="448" spans="4:5" x14ac:dyDescent="0.3">
      <c r="D448" s="240"/>
      <c r="E448" s="240"/>
    </row>
    <row r="449" spans="4:5" x14ac:dyDescent="0.3">
      <c r="D449" s="240"/>
      <c r="E449" s="240"/>
    </row>
    <row r="450" spans="4:5" x14ac:dyDescent="0.3">
      <c r="D450" s="240"/>
      <c r="E450" s="240"/>
    </row>
    <row r="451" spans="4:5" x14ac:dyDescent="0.3">
      <c r="D451" s="240"/>
      <c r="E451" s="240"/>
    </row>
    <row r="452" spans="4:5" x14ac:dyDescent="0.3">
      <c r="D452" s="240"/>
      <c r="E452" s="240"/>
    </row>
    <row r="453" spans="4:5" x14ac:dyDescent="0.3">
      <c r="D453" s="240"/>
      <c r="E453" s="240"/>
    </row>
    <row r="454" spans="4:5" x14ac:dyDescent="0.3">
      <c r="D454" s="240"/>
      <c r="E454" s="240"/>
    </row>
    <row r="455" spans="4:5" x14ac:dyDescent="0.3">
      <c r="D455" s="240"/>
      <c r="E455" s="240"/>
    </row>
    <row r="456" spans="4:5" x14ac:dyDescent="0.3">
      <c r="D456" s="240"/>
      <c r="E456" s="240"/>
    </row>
    <row r="457" spans="4:5" x14ac:dyDescent="0.3">
      <c r="D457" s="240"/>
      <c r="E457" s="240"/>
    </row>
    <row r="458" spans="4:5" x14ac:dyDescent="0.3">
      <c r="D458" s="240"/>
      <c r="E458" s="240"/>
    </row>
    <row r="459" spans="4:5" x14ac:dyDescent="0.3">
      <c r="D459" s="240"/>
      <c r="E459" s="240"/>
    </row>
    <row r="460" spans="4:5" x14ac:dyDescent="0.3">
      <c r="D460" s="240"/>
      <c r="E460" s="240"/>
    </row>
    <row r="461" spans="4:5" x14ac:dyDescent="0.3">
      <c r="D461" s="240"/>
      <c r="E461" s="240"/>
    </row>
    <row r="462" spans="4:5" x14ac:dyDescent="0.3">
      <c r="D462" s="240"/>
      <c r="E462" s="240"/>
    </row>
    <row r="463" spans="4:5" x14ac:dyDescent="0.3">
      <c r="D463" s="240"/>
      <c r="E463" s="240"/>
    </row>
    <row r="464" spans="4:5" x14ac:dyDescent="0.3">
      <c r="D464" s="240"/>
      <c r="E464" s="240"/>
    </row>
    <row r="465" spans="4:5" x14ac:dyDescent="0.3">
      <c r="D465" s="240"/>
      <c r="E465" s="240"/>
    </row>
    <row r="466" spans="4:5" x14ac:dyDescent="0.3">
      <c r="D466" s="240"/>
      <c r="E466" s="240"/>
    </row>
    <row r="467" spans="4:5" x14ac:dyDescent="0.3">
      <c r="D467" s="240"/>
      <c r="E467" s="240"/>
    </row>
    <row r="468" spans="4:5" x14ac:dyDescent="0.3">
      <c r="D468" s="240"/>
      <c r="E468" s="240"/>
    </row>
    <row r="469" spans="4:5" x14ac:dyDescent="0.3">
      <c r="D469" s="240"/>
      <c r="E469" s="240"/>
    </row>
    <row r="470" spans="4:5" x14ac:dyDescent="0.3">
      <c r="D470" s="240"/>
      <c r="E470" s="240"/>
    </row>
    <row r="471" spans="4:5" x14ac:dyDescent="0.3">
      <c r="D471" s="240"/>
      <c r="E471" s="240"/>
    </row>
    <row r="472" spans="4:5" x14ac:dyDescent="0.3">
      <c r="D472" s="240"/>
      <c r="E472" s="240"/>
    </row>
    <row r="473" spans="4:5" x14ac:dyDescent="0.3">
      <c r="D473" s="240"/>
      <c r="E473" s="240"/>
    </row>
    <row r="474" spans="4:5" x14ac:dyDescent="0.3">
      <c r="D474" s="240"/>
      <c r="E474" s="240"/>
    </row>
    <row r="475" spans="4:5" x14ac:dyDescent="0.3">
      <c r="D475" s="240"/>
      <c r="E475" s="240"/>
    </row>
    <row r="476" spans="4:5" x14ac:dyDescent="0.3">
      <c r="D476" s="240"/>
      <c r="E476" s="240"/>
    </row>
    <row r="477" spans="4:5" x14ac:dyDescent="0.3">
      <c r="D477" s="240"/>
      <c r="E477" s="240"/>
    </row>
    <row r="478" spans="4:5" x14ac:dyDescent="0.3">
      <c r="D478" s="240"/>
      <c r="E478" s="240"/>
    </row>
    <row r="479" spans="4:5" x14ac:dyDescent="0.3">
      <c r="D479" s="240"/>
      <c r="E479" s="240"/>
    </row>
    <row r="480" spans="4:5" x14ac:dyDescent="0.3">
      <c r="D480" s="240"/>
      <c r="E480" s="240"/>
    </row>
    <row r="481" spans="4:5" x14ac:dyDescent="0.3">
      <c r="D481" s="240"/>
      <c r="E481" s="240"/>
    </row>
    <row r="482" spans="4:5" x14ac:dyDescent="0.3">
      <c r="D482" s="240"/>
      <c r="E482" s="240"/>
    </row>
    <row r="483" spans="4:5" x14ac:dyDescent="0.3">
      <c r="D483" s="240"/>
      <c r="E483" s="240"/>
    </row>
    <row r="484" spans="4:5" x14ac:dyDescent="0.3">
      <c r="D484" s="240"/>
      <c r="E484" s="240"/>
    </row>
    <row r="485" spans="4:5" x14ac:dyDescent="0.3">
      <c r="D485" s="240"/>
      <c r="E485" s="240"/>
    </row>
    <row r="486" spans="4:5" x14ac:dyDescent="0.3">
      <c r="D486" s="240"/>
      <c r="E486" s="240"/>
    </row>
    <row r="487" spans="4:5" x14ac:dyDescent="0.3">
      <c r="D487" s="240"/>
      <c r="E487" s="240"/>
    </row>
    <row r="488" spans="4:5" x14ac:dyDescent="0.3">
      <c r="D488" s="240"/>
      <c r="E488" s="240"/>
    </row>
    <row r="489" spans="4:5" x14ac:dyDescent="0.3">
      <c r="D489" s="240"/>
      <c r="E489" s="240"/>
    </row>
    <row r="490" spans="4:5" x14ac:dyDescent="0.3">
      <c r="D490" s="240"/>
      <c r="E490" s="240"/>
    </row>
    <row r="491" spans="4:5" x14ac:dyDescent="0.3">
      <c r="D491" s="240"/>
      <c r="E491" s="240"/>
    </row>
    <row r="492" spans="4:5" x14ac:dyDescent="0.3">
      <c r="D492" s="240"/>
      <c r="E492" s="240"/>
    </row>
    <row r="493" spans="4:5" x14ac:dyDescent="0.3">
      <c r="D493" s="240"/>
      <c r="E493" s="240"/>
    </row>
    <row r="494" spans="4:5" x14ac:dyDescent="0.3">
      <c r="D494" s="240"/>
      <c r="E494" s="240"/>
    </row>
    <row r="495" spans="4:5" x14ac:dyDescent="0.3">
      <c r="D495" s="240"/>
      <c r="E495" s="240"/>
    </row>
    <row r="496" spans="4:5" x14ac:dyDescent="0.3">
      <c r="D496" s="240"/>
      <c r="E496" s="240"/>
    </row>
    <row r="497" spans="4:5" x14ac:dyDescent="0.3">
      <c r="D497" s="240"/>
      <c r="E497" s="240"/>
    </row>
    <row r="498" spans="4:5" x14ac:dyDescent="0.3">
      <c r="D498" s="240"/>
      <c r="E498" s="240"/>
    </row>
    <row r="499" spans="4:5" x14ac:dyDescent="0.3">
      <c r="D499" s="240"/>
      <c r="E499" s="240"/>
    </row>
    <row r="500" spans="4:5" x14ac:dyDescent="0.3">
      <c r="D500" s="240"/>
      <c r="E500" s="240"/>
    </row>
    <row r="501" spans="4:5" x14ac:dyDescent="0.3">
      <c r="D501" s="240"/>
      <c r="E501" s="240"/>
    </row>
    <row r="502" spans="4:5" x14ac:dyDescent="0.3">
      <c r="D502" s="240"/>
      <c r="E502" s="240"/>
    </row>
    <row r="503" spans="4:5" x14ac:dyDescent="0.3">
      <c r="D503" s="240"/>
      <c r="E503" s="240"/>
    </row>
    <row r="504" spans="4:5" x14ac:dyDescent="0.3">
      <c r="D504" s="240"/>
      <c r="E504" s="240"/>
    </row>
    <row r="505" spans="4:5" x14ac:dyDescent="0.3">
      <c r="D505" s="240"/>
      <c r="E505" s="240"/>
    </row>
    <row r="506" spans="4:5" x14ac:dyDescent="0.3">
      <c r="D506" s="240"/>
      <c r="E506" s="240"/>
    </row>
    <row r="507" spans="4:5" x14ac:dyDescent="0.3">
      <c r="D507" s="240"/>
      <c r="E507" s="240"/>
    </row>
    <row r="508" spans="4:5" x14ac:dyDescent="0.3">
      <c r="D508" s="240"/>
      <c r="E508" s="240"/>
    </row>
    <row r="509" spans="4:5" x14ac:dyDescent="0.3">
      <c r="D509" s="240"/>
      <c r="E509" s="240"/>
    </row>
    <row r="510" spans="4:5" x14ac:dyDescent="0.3">
      <c r="D510" s="240"/>
      <c r="E510" s="240"/>
    </row>
    <row r="511" spans="4:5" x14ac:dyDescent="0.3">
      <c r="D511" s="240"/>
      <c r="E511" s="240"/>
    </row>
    <row r="512" spans="4:5" x14ac:dyDescent="0.3">
      <c r="D512" s="240"/>
      <c r="E512" s="240"/>
    </row>
    <row r="513" spans="4:5" x14ac:dyDescent="0.3">
      <c r="D513" s="240"/>
      <c r="E513" s="240"/>
    </row>
    <row r="514" spans="4:5" x14ac:dyDescent="0.3">
      <c r="D514" s="240"/>
      <c r="E514" s="240"/>
    </row>
    <row r="515" spans="4:5" x14ac:dyDescent="0.3">
      <c r="D515" s="240"/>
      <c r="E515" s="240"/>
    </row>
    <row r="516" spans="4:5" x14ac:dyDescent="0.3">
      <c r="D516" s="240"/>
      <c r="E516" s="240"/>
    </row>
    <row r="517" spans="4:5" x14ac:dyDescent="0.3">
      <c r="D517" s="240"/>
      <c r="E517" s="240"/>
    </row>
    <row r="518" spans="4:5" x14ac:dyDescent="0.3">
      <c r="D518" s="240"/>
      <c r="E518" s="240"/>
    </row>
    <row r="519" spans="4:5" x14ac:dyDescent="0.3">
      <c r="D519" s="240"/>
      <c r="E519" s="240"/>
    </row>
    <row r="520" spans="4:5" x14ac:dyDescent="0.3">
      <c r="D520" s="240"/>
      <c r="E520" s="240"/>
    </row>
    <row r="521" spans="4:5" x14ac:dyDescent="0.3">
      <c r="D521" s="240"/>
      <c r="E521" s="240"/>
    </row>
    <row r="522" spans="4:5" x14ac:dyDescent="0.3">
      <c r="D522" s="240"/>
      <c r="E522" s="240"/>
    </row>
    <row r="523" spans="4:5" x14ac:dyDescent="0.3">
      <c r="D523" s="240"/>
      <c r="E523" s="240"/>
    </row>
    <row r="524" spans="4:5" x14ac:dyDescent="0.3">
      <c r="D524" s="240"/>
      <c r="E524" s="240"/>
    </row>
    <row r="525" spans="4:5" x14ac:dyDescent="0.3">
      <c r="D525" s="240"/>
      <c r="E525" s="240"/>
    </row>
    <row r="526" spans="4:5" x14ac:dyDescent="0.3">
      <c r="D526" s="240"/>
      <c r="E526" s="240"/>
    </row>
    <row r="527" spans="4:5" x14ac:dyDescent="0.3">
      <c r="D527" s="240"/>
      <c r="E527" s="240"/>
    </row>
    <row r="528" spans="4:5" x14ac:dyDescent="0.3">
      <c r="D528" s="240"/>
      <c r="E528" s="240"/>
    </row>
    <row r="529" spans="4:5" x14ac:dyDescent="0.3">
      <c r="D529" s="240"/>
      <c r="E529" s="240"/>
    </row>
    <row r="530" spans="4:5" x14ac:dyDescent="0.3">
      <c r="D530" s="240"/>
      <c r="E530" s="240"/>
    </row>
    <row r="531" spans="4:5" x14ac:dyDescent="0.3">
      <c r="D531" s="240"/>
      <c r="E531" s="240"/>
    </row>
    <row r="532" spans="4:5" x14ac:dyDescent="0.3">
      <c r="D532" s="240"/>
      <c r="E532" s="240"/>
    </row>
    <row r="533" spans="4:5" x14ac:dyDescent="0.3">
      <c r="D533" s="240"/>
      <c r="E533" s="240"/>
    </row>
    <row r="534" spans="4:5" x14ac:dyDescent="0.3">
      <c r="D534" s="240"/>
      <c r="E534" s="240"/>
    </row>
    <row r="535" spans="4:5" x14ac:dyDescent="0.3">
      <c r="D535" s="240"/>
      <c r="E535" s="240"/>
    </row>
    <row r="536" spans="4:5" x14ac:dyDescent="0.3">
      <c r="D536" s="240"/>
      <c r="E536" s="240"/>
    </row>
    <row r="537" spans="4:5" x14ac:dyDescent="0.3">
      <c r="D537" s="240"/>
      <c r="E537" s="240"/>
    </row>
    <row r="538" spans="4:5" x14ac:dyDescent="0.3">
      <c r="D538" s="240"/>
      <c r="E538" s="240"/>
    </row>
    <row r="539" spans="4:5" x14ac:dyDescent="0.3">
      <c r="D539" s="240"/>
      <c r="E539" s="240"/>
    </row>
    <row r="540" spans="4:5" x14ac:dyDescent="0.3">
      <c r="D540" s="240"/>
      <c r="E540" s="240"/>
    </row>
    <row r="541" spans="4:5" x14ac:dyDescent="0.3">
      <c r="D541" s="240"/>
      <c r="E541" s="240"/>
    </row>
    <row r="542" spans="4:5" x14ac:dyDescent="0.3">
      <c r="D542" s="240"/>
      <c r="E542" s="240"/>
    </row>
    <row r="543" spans="4:5" x14ac:dyDescent="0.3">
      <c r="D543" s="240"/>
      <c r="E543" s="240"/>
    </row>
    <row r="544" spans="4:5" x14ac:dyDescent="0.3">
      <c r="D544" s="240"/>
      <c r="E544" s="240"/>
    </row>
    <row r="545" spans="4:5" x14ac:dyDescent="0.3">
      <c r="D545" s="240"/>
      <c r="E545" s="240"/>
    </row>
    <row r="546" spans="4:5" x14ac:dyDescent="0.3">
      <c r="D546" s="240"/>
      <c r="E546" s="240"/>
    </row>
    <row r="547" spans="4:5" x14ac:dyDescent="0.3">
      <c r="D547" s="240"/>
      <c r="E547" s="240"/>
    </row>
    <row r="548" spans="4:5" x14ac:dyDescent="0.3">
      <c r="D548" s="240"/>
      <c r="E548" s="240"/>
    </row>
    <row r="549" spans="4:5" x14ac:dyDescent="0.3">
      <c r="D549" s="240"/>
      <c r="E549" s="240"/>
    </row>
    <row r="550" spans="4:5" x14ac:dyDescent="0.3">
      <c r="D550" s="240"/>
      <c r="E550" s="240"/>
    </row>
    <row r="551" spans="4:5" x14ac:dyDescent="0.3">
      <c r="D551" s="240"/>
      <c r="E551" s="240"/>
    </row>
    <row r="552" spans="4:5" x14ac:dyDescent="0.3">
      <c r="D552" s="240"/>
      <c r="E552" s="240"/>
    </row>
    <row r="553" spans="4:5" x14ac:dyDescent="0.3">
      <c r="D553" s="240"/>
      <c r="E553" s="240"/>
    </row>
    <row r="554" spans="4:5" x14ac:dyDescent="0.3">
      <c r="D554" s="240"/>
      <c r="E554" s="240"/>
    </row>
    <row r="555" spans="4:5" x14ac:dyDescent="0.3">
      <c r="D555" s="240"/>
      <c r="E555" s="240"/>
    </row>
    <row r="556" spans="4:5" x14ac:dyDescent="0.3">
      <c r="D556" s="240"/>
      <c r="E556" s="240"/>
    </row>
    <row r="557" spans="4:5" x14ac:dyDescent="0.3">
      <c r="D557" s="240"/>
      <c r="E557" s="240"/>
    </row>
    <row r="558" spans="4:5" x14ac:dyDescent="0.3">
      <c r="D558" s="240"/>
      <c r="E558" s="240"/>
    </row>
    <row r="559" spans="4:5" x14ac:dyDescent="0.3">
      <c r="D559" s="240"/>
      <c r="E559" s="240"/>
    </row>
    <row r="560" spans="4:5" x14ac:dyDescent="0.3">
      <c r="D560" s="240"/>
      <c r="E560" s="240"/>
    </row>
    <row r="561" spans="4:5" x14ac:dyDescent="0.3">
      <c r="D561" s="240"/>
      <c r="E561" s="240"/>
    </row>
    <row r="562" spans="4:5" x14ac:dyDescent="0.3">
      <c r="D562" s="240"/>
      <c r="E562" s="240"/>
    </row>
    <row r="563" spans="4:5" x14ac:dyDescent="0.3">
      <c r="D563" s="240"/>
      <c r="E563" s="240"/>
    </row>
    <row r="564" spans="4:5" x14ac:dyDescent="0.3">
      <c r="D564" s="240"/>
      <c r="E564" s="240"/>
    </row>
    <row r="565" spans="4:5" x14ac:dyDescent="0.3">
      <c r="D565" s="240"/>
      <c r="E565" s="240"/>
    </row>
    <row r="566" spans="4:5" x14ac:dyDescent="0.3">
      <c r="D566" s="240"/>
      <c r="E566" s="240"/>
    </row>
    <row r="567" spans="4:5" x14ac:dyDescent="0.3">
      <c r="D567" s="240"/>
      <c r="E567" s="240"/>
    </row>
    <row r="568" spans="4:5" x14ac:dyDescent="0.3">
      <c r="D568" s="240"/>
      <c r="E568" s="240"/>
    </row>
    <row r="569" spans="4:5" x14ac:dyDescent="0.3">
      <c r="D569" s="240"/>
      <c r="E569" s="240"/>
    </row>
    <row r="570" spans="4:5" x14ac:dyDescent="0.3">
      <c r="D570" s="240"/>
      <c r="E570" s="240"/>
    </row>
    <row r="571" spans="4:5" x14ac:dyDescent="0.3">
      <c r="D571" s="240"/>
      <c r="E571" s="240"/>
    </row>
    <row r="572" spans="4:5" x14ac:dyDescent="0.3">
      <c r="D572" s="240"/>
      <c r="E572" s="240"/>
    </row>
    <row r="573" spans="4:5" x14ac:dyDescent="0.3">
      <c r="D573" s="240"/>
      <c r="E573" s="240"/>
    </row>
    <row r="574" spans="4:5" x14ac:dyDescent="0.3">
      <c r="D574" s="240"/>
      <c r="E574" s="240"/>
    </row>
    <row r="575" spans="4:5" x14ac:dyDescent="0.3">
      <c r="D575" s="240"/>
      <c r="E575" s="240"/>
    </row>
    <row r="576" spans="4:5" x14ac:dyDescent="0.3">
      <c r="D576" s="240"/>
      <c r="E576" s="240"/>
    </row>
    <row r="577" spans="4:5" x14ac:dyDescent="0.3">
      <c r="D577" s="240"/>
      <c r="E577" s="240"/>
    </row>
    <row r="578" spans="4:5" x14ac:dyDescent="0.3">
      <c r="D578" s="240"/>
      <c r="E578" s="240"/>
    </row>
    <row r="579" spans="4:5" x14ac:dyDescent="0.3">
      <c r="D579" s="240"/>
      <c r="E579" s="240"/>
    </row>
    <row r="580" spans="4:5" x14ac:dyDescent="0.3">
      <c r="D580" s="240"/>
      <c r="E580" s="240"/>
    </row>
    <row r="581" spans="4:5" x14ac:dyDescent="0.3">
      <c r="D581" s="240"/>
      <c r="E581" s="240"/>
    </row>
    <row r="582" spans="4:5" x14ac:dyDescent="0.3">
      <c r="D582" s="240"/>
      <c r="E582" s="240"/>
    </row>
    <row r="583" spans="4:5" x14ac:dyDescent="0.3">
      <c r="D583" s="240"/>
      <c r="E583" s="240"/>
    </row>
    <row r="584" spans="4:5" x14ac:dyDescent="0.3">
      <c r="D584" s="240"/>
      <c r="E584" s="240"/>
    </row>
    <row r="585" spans="4:5" x14ac:dyDescent="0.3">
      <c r="D585" s="240"/>
      <c r="E585" s="240"/>
    </row>
    <row r="586" spans="4:5" x14ac:dyDescent="0.3">
      <c r="D586" s="240"/>
      <c r="E586" s="240"/>
    </row>
    <row r="587" spans="4:5" x14ac:dyDescent="0.3">
      <c r="D587" s="240"/>
      <c r="E587" s="240"/>
    </row>
    <row r="588" spans="4:5" x14ac:dyDescent="0.3">
      <c r="D588" s="240"/>
      <c r="E588" s="240"/>
    </row>
    <row r="589" spans="4:5" x14ac:dyDescent="0.3">
      <c r="D589" s="240"/>
      <c r="E589" s="240"/>
    </row>
    <row r="590" spans="4:5" x14ac:dyDescent="0.3">
      <c r="D590" s="240"/>
      <c r="E590" s="240"/>
    </row>
    <row r="591" spans="4:5" x14ac:dyDescent="0.3">
      <c r="D591" s="240"/>
      <c r="E591" s="240"/>
    </row>
    <row r="592" spans="4:5" x14ac:dyDescent="0.3">
      <c r="D592" s="240"/>
      <c r="E592" s="240"/>
    </row>
    <row r="593" spans="4:5" x14ac:dyDescent="0.3">
      <c r="D593" s="240"/>
      <c r="E593" s="240"/>
    </row>
    <row r="594" spans="4:5" x14ac:dyDescent="0.3">
      <c r="D594" s="240"/>
      <c r="E594" s="240"/>
    </row>
    <row r="595" spans="4:5" x14ac:dyDescent="0.3">
      <c r="D595" s="240"/>
      <c r="E595" s="240"/>
    </row>
    <row r="596" spans="4:5" x14ac:dyDescent="0.3">
      <c r="D596" s="240"/>
      <c r="E596" s="240"/>
    </row>
    <row r="597" spans="4:5" x14ac:dyDescent="0.3">
      <c r="D597" s="240"/>
      <c r="E597" s="240"/>
    </row>
    <row r="598" spans="4:5" x14ac:dyDescent="0.3">
      <c r="D598" s="240"/>
      <c r="E598" s="240"/>
    </row>
    <row r="599" spans="4:5" x14ac:dyDescent="0.3">
      <c r="D599" s="240"/>
      <c r="E599" s="240"/>
    </row>
    <row r="600" spans="4:5" x14ac:dyDescent="0.3">
      <c r="D600" s="240"/>
      <c r="E600" s="240"/>
    </row>
    <row r="601" spans="4:5" x14ac:dyDescent="0.3">
      <c r="D601" s="240"/>
      <c r="E601" s="240"/>
    </row>
    <row r="602" spans="4:5" x14ac:dyDescent="0.3">
      <c r="D602" s="240"/>
      <c r="E602" s="240"/>
    </row>
    <row r="603" spans="4:5" x14ac:dyDescent="0.3">
      <c r="D603" s="240"/>
      <c r="E603" s="240"/>
    </row>
    <row r="604" spans="4:5" x14ac:dyDescent="0.3">
      <c r="D604" s="240"/>
      <c r="E604" s="240"/>
    </row>
    <row r="605" spans="4:5" x14ac:dyDescent="0.3">
      <c r="D605" s="240"/>
      <c r="E605" s="240"/>
    </row>
    <row r="606" spans="4:5" x14ac:dyDescent="0.3">
      <c r="D606" s="240"/>
      <c r="E606" s="240"/>
    </row>
    <row r="607" spans="4:5" x14ac:dyDescent="0.3">
      <c r="D607" s="240"/>
      <c r="E607" s="240"/>
    </row>
    <row r="608" spans="4:5" x14ac:dyDescent="0.3">
      <c r="D608" s="240"/>
      <c r="E608" s="240"/>
    </row>
    <row r="609" spans="4:5" x14ac:dyDescent="0.3">
      <c r="D609" s="240"/>
      <c r="E609" s="240"/>
    </row>
    <row r="610" spans="4:5" x14ac:dyDescent="0.3">
      <c r="D610" s="240"/>
      <c r="E610" s="240"/>
    </row>
    <row r="611" spans="4:5" x14ac:dyDescent="0.3">
      <c r="D611" s="240"/>
      <c r="E611" s="240"/>
    </row>
    <row r="612" spans="4:5" x14ac:dyDescent="0.3">
      <c r="D612" s="240"/>
      <c r="E612" s="240"/>
    </row>
    <row r="613" spans="4:5" x14ac:dyDescent="0.3">
      <c r="D613" s="240"/>
      <c r="E613" s="240"/>
    </row>
    <row r="614" spans="4:5" x14ac:dyDescent="0.3">
      <c r="D614" s="240"/>
      <c r="E614" s="240"/>
    </row>
    <row r="615" spans="4:5" x14ac:dyDescent="0.3">
      <c r="D615" s="240"/>
      <c r="E615" s="240"/>
    </row>
    <row r="616" spans="4:5" x14ac:dyDescent="0.3">
      <c r="D616" s="240"/>
      <c r="E616" s="240"/>
    </row>
    <row r="617" spans="4:5" x14ac:dyDescent="0.3">
      <c r="D617" s="240"/>
      <c r="E617" s="240"/>
    </row>
    <row r="618" spans="4:5" x14ac:dyDescent="0.3">
      <c r="D618" s="240"/>
      <c r="E618" s="240"/>
    </row>
    <row r="619" spans="4:5" x14ac:dyDescent="0.3">
      <c r="D619" s="240"/>
      <c r="E619" s="240"/>
    </row>
    <row r="620" spans="4:5" x14ac:dyDescent="0.3">
      <c r="D620" s="240"/>
      <c r="E620" s="240"/>
    </row>
    <row r="621" spans="4:5" x14ac:dyDescent="0.3">
      <c r="D621" s="240"/>
      <c r="E621" s="240"/>
    </row>
    <row r="622" spans="4:5" x14ac:dyDescent="0.3">
      <c r="D622" s="240"/>
      <c r="E622" s="240"/>
    </row>
    <row r="623" spans="4:5" x14ac:dyDescent="0.3">
      <c r="D623" s="240"/>
      <c r="E623" s="240"/>
    </row>
    <row r="624" spans="4:5" x14ac:dyDescent="0.3">
      <c r="D624" s="240"/>
      <c r="E624" s="240"/>
    </row>
    <row r="625" spans="4:5" x14ac:dyDescent="0.3">
      <c r="D625" s="240"/>
      <c r="E625" s="240"/>
    </row>
    <row r="626" spans="4:5" x14ac:dyDescent="0.3">
      <c r="D626" s="240"/>
      <c r="E626" s="240"/>
    </row>
    <row r="627" spans="4:5" x14ac:dyDescent="0.3">
      <c r="D627" s="240"/>
      <c r="E627" s="240"/>
    </row>
    <row r="628" spans="4:5" x14ac:dyDescent="0.3">
      <c r="D628" s="240"/>
      <c r="E628" s="240"/>
    </row>
    <row r="629" spans="4:5" x14ac:dyDescent="0.3">
      <c r="D629" s="240"/>
      <c r="E629" s="240"/>
    </row>
    <row r="630" spans="4:5" x14ac:dyDescent="0.3">
      <c r="D630" s="240"/>
      <c r="E630" s="240"/>
    </row>
    <row r="631" spans="4:5" x14ac:dyDescent="0.3">
      <c r="D631" s="240"/>
      <c r="E631" s="240"/>
    </row>
    <row r="632" spans="4:5" x14ac:dyDescent="0.3">
      <c r="D632" s="240"/>
      <c r="E632" s="240"/>
    </row>
    <row r="633" spans="4:5" x14ac:dyDescent="0.3">
      <c r="D633" s="240"/>
      <c r="E633" s="240"/>
    </row>
    <row r="634" spans="4:5" x14ac:dyDescent="0.3">
      <c r="D634" s="240"/>
      <c r="E634" s="240"/>
    </row>
    <row r="635" spans="4:5" x14ac:dyDescent="0.3">
      <c r="D635" s="240"/>
      <c r="E635" s="240"/>
    </row>
    <row r="636" spans="4:5" x14ac:dyDescent="0.3">
      <c r="D636" s="240"/>
      <c r="E636" s="240"/>
    </row>
    <row r="637" spans="4:5" x14ac:dyDescent="0.3">
      <c r="D637" s="240"/>
      <c r="E637" s="240"/>
    </row>
    <row r="638" spans="4:5" x14ac:dyDescent="0.3">
      <c r="D638" s="240"/>
      <c r="E638" s="240"/>
    </row>
    <row r="639" spans="4:5" x14ac:dyDescent="0.3">
      <c r="D639" s="240"/>
      <c r="E639" s="240"/>
    </row>
    <row r="640" spans="4:5" x14ac:dyDescent="0.3">
      <c r="D640" s="240"/>
      <c r="E640" s="240"/>
    </row>
    <row r="641" spans="4:5" x14ac:dyDescent="0.3">
      <c r="D641" s="240"/>
      <c r="E641" s="240"/>
    </row>
    <row r="642" spans="4:5" x14ac:dyDescent="0.3">
      <c r="D642" s="240"/>
      <c r="E642" s="240"/>
    </row>
    <row r="643" spans="4:5" x14ac:dyDescent="0.3">
      <c r="D643" s="240"/>
      <c r="E643" s="240"/>
    </row>
    <row r="644" spans="4:5" x14ac:dyDescent="0.3">
      <c r="D644" s="240"/>
      <c r="E644" s="240"/>
    </row>
    <row r="645" spans="4:5" x14ac:dyDescent="0.3">
      <c r="D645" s="240"/>
      <c r="E645" s="240"/>
    </row>
    <row r="646" spans="4:5" x14ac:dyDescent="0.3">
      <c r="D646" s="240"/>
      <c r="E646" s="240"/>
    </row>
    <row r="647" spans="4:5" x14ac:dyDescent="0.3">
      <c r="D647" s="240"/>
      <c r="E647" s="240"/>
    </row>
    <row r="648" spans="4:5" x14ac:dyDescent="0.3">
      <c r="D648" s="240"/>
      <c r="E648" s="240"/>
    </row>
    <row r="649" spans="4:5" x14ac:dyDescent="0.3">
      <c r="D649" s="240"/>
      <c r="E649" s="240"/>
    </row>
    <row r="650" spans="4:5" x14ac:dyDescent="0.3">
      <c r="D650" s="240"/>
      <c r="E650" s="240"/>
    </row>
    <row r="651" spans="4:5" x14ac:dyDescent="0.3">
      <c r="D651" s="240"/>
      <c r="E651" s="240"/>
    </row>
    <row r="652" spans="4:5" x14ac:dyDescent="0.3">
      <c r="D652" s="240"/>
      <c r="E652" s="240"/>
    </row>
    <row r="653" spans="4:5" x14ac:dyDescent="0.3">
      <c r="D653" s="240"/>
      <c r="E653" s="240"/>
    </row>
    <row r="654" spans="4:5" x14ac:dyDescent="0.3">
      <c r="D654" s="240"/>
      <c r="E654" s="240"/>
    </row>
    <row r="655" spans="4:5" x14ac:dyDescent="0.3">
      <c r="D655" s="240"/>
      <c r="E655" s="240"/>
    </row>
    <row r="656" spans="4:5" x14ac:dyDescent="0.3">
      <c r="D656" s="240"/>
      <c r="E656" s="240"/>
    </row>
    <row r="657" spans="4:5" x14ac:dyDescent="0.3">
      <c r="D657" s="240"/>
      <c r="E657" s="240"/>
    </row>
    <row r="658" spans="4:5" x14ac:dyDescent="0.3">
      <c r="D658" s="240"/>
      <c r="E658" s="240"/>
    </row>
    <row r="659" spans="4:5" x14ac:dyDescent="0.3">
      <c r="D659" s="240"/>
      <c r="E659" s="240"/>
    </row>
    <row r="660" spans="4:5" x14ac:dyDescent="0.3">
      <c r="D660" s="240"/>
      <c r="E660" s="240"/>
    </row>
    <row r="661" spans="4:5" x14ac:dyDescent="0.3">
      <c r="D661" s="240"/>
      <c r="E661" s="240"/>
    </row>
    <row r="662" spans="4:5" x14ac:dyDescent="0.3">
      <c r="D662" s="240"/>
      <c r="E662" s="240"/>
    </row>
    <row r="663" spans="4:5" x14ac:dyDescent="0.3">
      <c r="D663" s="240"/>
      <c r="E663" s="240"/>
    </row>
    <row r="664" spans="4:5" x14ac:dyDescent="0.3">
      <c r="D664" s="240"/>
      <c r="E664" s="240"/>
    </row>
    <row r="665" spans="4:5" x14ac:dyDescent="0.3">
      <c r="D665" s="240"/>
      <c r="E665" s="240"/>
    </row>
    <row r="666" spans="4:5" x14ac:dyDescent="0.3">
      <c r="D666" s="240"/>
      <c r="E666" s="240"/>
    </row>
    <row r="667" spans="4:5" x14ac:dyDescent="0.3">
      <c r="D667" s="240"/>
      <c r="E667" s="240"/>
    </row>
    <row r="668" spans="4:5" x14ac:dyDescent="0.3">
      <c r="D668" s="240"/>
      <c r="E668" s="240"/>
    </row>
    <row r="669" spans="4:5" x14ac:dyDescent="0.3">
      <c r="D669" s="240"/>
      <c r="E669" s="240"/>
    </row>
    <row r="670" spans="4:5" x14ac:dyDescent="0.3">
      <c r="D670" s="240"/>
      <c r="E670" s="240"/>
    </row>
    <row r="671" spans="4:5" x14ac:dyDescent="0.3">
      <c r="D671" s="240"/>
      <c r="E671" s="240"/>
    </row>
    <row r="672" spans="4:5" x14ac:dyDescent="0.3">
      <c r="D672" s="240"/>
      <c r="E672" s="240"/>
    </row>
    <row r="673" spans="4:5" x14ac:dyDescent="0.3">
      <c r="D673" s="240"/>
      <c r="E673" s="240"/>
    </row>
    <row r="674" spans="4:5" x14ac:dyDescent="0.3">
      <c r="D674" s="240"/>
      <c r="E674" s="240"/>
    </row>
    <row r="675" spans="4:5" x14ac:dyDescent="0.3">
      <c r="D675" s="240"/>
      <c r="E675" s="240"/>
    </row>
    <row r="676" spans="4:5" x14ac:dyDescent="0.3">
      <c r="D676" s="240"/>
      <c r="E676" s="240"/>
    </row>
    <row r="677" spans="4:5" x14ac:dyDescent="0.3">
      <c r="D677" s="240"/>
      <c r="E677" s="240"/>
    </row>
    <row r="678" spans="4:5" x14ac:dyDescent="0.3">
      <c r="D678" s="240"/>
      <c r="E678" s="240"/>
    </row>
    <row r="679" spans="4:5" x14ac:dyDescent="0.3">
      <c r="D679" s="240"/>
      <c r="E679" s="240"/>
    </row>
    <row r="680" spans="4:5" x14ac:dyDescent="0.3">
      <c r="D680" s="240"/>
      <c r="E680" s="240"/>
    </row>
    <row r="681" spans="4:5" x14ac:dyDescent="0.3">
      <c r="D681" s="240"/>
      <c r="E681" s="240"/>
    </row>
    <row r="682" spans="4:5" x14ac:dyDescent="0.3">
      <c r="D682" s="240"/>
      <c r="E682" s="240"/>
    </row>
    <row r="683" spans="4:5" x14ac:dyDescent="0.3">
      <c r="D683" s="240"/>
      <c r="E683" s="240"/>
    </row>
    <row r="684" spans="4:5" x14ac:dyDescent="0.3">
      <c r="D684" s="240"/>
      <c r="E684" s="240"/>
    </row>
    <row r="685" spans="4:5" x14ac:dyDescent="0.3">
      <c r="D685" s="240"/>
      <c r="E685" s="240"/>
    </row>
    <row r="686" spans="4:5" x14ac:dyDescent="0.3">
      <c r="D686" s="240"/>
      <c r="E686" s="240"/>
    </row>
    <row r="687" spans="4:5" x14ac:dyDescent="0.3">
      <c r="D687" s="240"/>
      <c r="E687" s="240"/>
    </row>
    <row r="688" spans="4:5" x14ac:dyDescent="0.3">
      <c r="D688" s="240"/>
      <c r="E688" s="240"/>
    </row>
    <row r="689" spans="4:5" x14ac:dyDescent="0.3">
      <c r="D689" s="240"/>
      <c r="E689" s="240"/>
    </row>
    <row r="690" spans="4:5" x14ac:dyDescent="0.3">
      <c r="D690" s="240"/>
      <c r="E690" s="240"/>
    </row>
    <row r="691" spans="4:5" x14ac:dyDescent="0.3">
      <c r="D691" s="240"/>
      <c r="E691" s="240"/>
    </row>
    <row r="692" spans="4:5" x14ac:dyDescent="0.3">
      <c r="D692" s="240"/>
      <c r="E692" s="240"/>
    </row>
    <row r="693" spans="4:5" x14ac:dyDescent="0.3">
      <c r="D693" s="240"/>
      <c r="E693" s="240"/>
    </row>
    <row r="694" spans="4:5" x14ac:dyDescent="0.3">
      <c r="D694" s="240"/>
      <c r="E694" s="240"/>
    </row>
    <row r="695" spans="4:5" x14ac:dyDescent="0.3">
      <c r="D695" s="240"/>
      <c r="E695" s="240"/>
    </row>
    <row r="696" spans="4:5" x14ac:dyDescent="0.3">
      <c r="D696" s="240"/>
      <c r="E696" s="240"/>
    </row>
    <row r="697" spans="4:5" x14ac:dyDescent="0.3">
      <c r="D697" s="240"/>
      <c r="E697" s="240"/>
    </row>
    <row r="698" spans="4:5" x14ac:dyDescent="0.3">
      <c r="D698" s="240"/>
      <c r="E698" s="240"/>
    </row>
    <row r="699" spans="4:5" x14ac:dyDescent="0.3">
      <c r="D699" s="240"/>
      <c r="E699" s="240"/>
    </row>
    <row r="700" spans="4:5" x14ac:dyDescent="0.3">
      <c r="D700" s="240"/>
      <c r="E700" s="240"/>
    </row>
    <row r="701" spans="4:5" x14ac:dyDescent="0.3">
      <c r="D701" s="240"/>
      <c r="E701" s="240"/>
    </row>
    <row r="702" spans="4:5" x14ac:dyDescent="0.3">
      <c r="D702" s="240"/>
      <c r="E702" s="240"/>
    </row>
    <row r="703" spans="4:5" x14ac:dyDescent="0.3">
      <c r="D703" s="240"/>
      <c r="E703" s="240"/>
    </row>
    <row r="704" spans="4:5" x14ac:dyDescent="0.3">
      <c r="D704" s="240"/>
      <c r="E704" s="240"/>
    </row>
    <row r="705" spans="4:5" x14ac:dyDescent="0.3">
      <c r="D705" s="240"/>
      <c r="E705" s="240"/>
    </row>
    <row r="706" spans="4:5" x14ac:dyDescent="0.3">
      <c r="D706" s="240"/>
      <c r="E706" s="240"/>
    </row>
    <row r="707" spans="4:5" x14ac:dyDescent="0.3">
      <c r="D707" s="240"/>
      <c r="E707" s="240"/>
    </row>
    <row r="708" spans="4:5" x14ac:dyDescent="0.3">
      <c r="D708" s="240"/>
      <c r="E708" s="240"/>
    </row>
    <row r="709" spans="4:5" x14ac:dyDescent="0.3">
      <c r="D709" s="240"/>
      <c r="E709" s="240"/>
    </row>
    <row r="710" spans="4:5" x14ac:dyDescent="0.3">
      <c r="D710" s="240"/>
      <c r="E710" s="240"/>
    </row>
    <row r="711" spans="4:5" x14ac:dyDescent="0.3">
      <c r="D711" s="240"/>
      <c r="E711" s="240"/>
    </row>
    <row r="712" spans="4:5" x14ac:dyDescent="0.3">
      <c r="D712" s="240"/>
      <c r="E712" s="240"/>
    </row>
    <row r="713" spans="4:5" x14ac:dyDescent="0.3">
      <c r="D713" s="240"/>
      <c r="E713" s="240"/>
    </row>
    <row r="714" spans="4:5" x14ac:dyDescent="0.3">
      <c r="D714" s="240"/>
      <c r="E714" s="240"/>
    </row>
    <row r="715" spans="4:5" x14ac:dyDescent="0.3">
      <c r="D715" s="240"/>
      <c r="E715" s="240"/>
    </row>
    <row r="716" spans="4:5" x14ac:dyDescent="0.3">
      <c r="D716" s="240"/>
      <c r="E716" s="240"/>
    </row>
    <row r="717" spans="4:5" x14ac:dyDescent="0.3">
      <c r="D717" s="240"/>
      <c r="E717" s="240"/>
    </row>
    <row r="718" spans="4:5" x14ac:dyDescent="0.3">
      <c r="D718" s="240"/>
      <c r="E718" s="240"/>
    </row>
    <row r="719" spans="4:5" x14ac:dyDescent="0.3">
      <c r="D719" s="240"/>
      <c r="E719" s="240"/>
    </row>
    <row r="720" spans="4:5" x14ac:dyDescent="0.3">
      <c r="D720" s="240"/>
      <c r="E720" s="240"/>
    </row>
    <row r="721" spans="4:5" x14ac:dyDescent="0.3">
      <c r="D721" s="240"/>
      <c r="E721" s="240"/>
    </row>
    <row r="722" spans="4:5" x14ac:dyDescent="0.3">
      <c r="D722" s="240"/>
      <c r="E722" s="240"/>
    </row>
    <row r="723" spans="4:5" x14ac:dyDescent="0.3">
      <c r="D723" s="240"/>
      <c r="E723" s="240"/>
    </row>
    <row r="724" spans="4:5" x14ac:dyDescent="0.3">
      <c r="D724" s="240"/>
      <c r="E724" s="240"/>
    </row>
    <row r="725" spans="4:5" x14ac:dyDescent="0.3">
      <c r="D725" s="240"/>
      <c r="E725" s="240"/>
    </row>
    <row r="726" spans="4:5" x14ac:dyDescent="0.3">
      <c r="D726" s="240"/>
      <c r="E726" s="240"/>
    </row>
    <row r="727" spans="4:5" x14ac:dyDescent="0.3">
      <c r="D727" s="240"/>
      <c r="E727" s="240"/>
    </row>
    <row r="728" spans="4:5" x14ac:dyDescent="0.3">
      <c r="D728" s="240"/>
      <c r="E728" s="240"/>
    </row>
    <row r="729" spans="4:5" x14ac:dyDescent="0.3">
      <c r="D729" s="240"/>
      <c r="E729" s="240"/>
    </row>
    <row r="730" spans="4:5" x14ac:dyDescent="0.3">
      <c r="D730" s="240"/>
      <c r="E730" s="240"/>
    </row>
    <row r="731" spans="4:5" x14ac:dyDescent="0.3">
      <c r="D731" s="240"/>
      <c r="E731" s="240"/>
    </row>
    <row r="732" spans="4:5" x14ac:dyDescent="0.3">
      <c r="D732" s="240"/>
      <c r="E732" s="240"/>
    </row>
    <row r="733" spans="4:5" x14ac:dyDescent="0.3">
      <c r="D733" s="240"/>
      <c r="E733" s="240"/>
    </row>
    <row r="734" spans="4:5" x14ac:dyDescent="0.3">
      <c r="D734" s="240"/>
      <c r="E734" s="240"/>
    </row>
    <row r="735" spans="4:5" x14ac:dyDescent="0.3">
      <c r="D735" s="240"/>
      <c r="E735" s="240"/>
    </row>
    <row r="736" spans="4:5" x14ac:dyDescent="0.3">
      <c r="D736" s="240"/>
      <c r="E736" s="240"/>
    </row>
    <row r="737" spans="4:5" x14ac:dyDescent="0.3">
      <c r="D737" s="240"/>
      <c r="E737" s="240"/>
    </row>
    <row r="738" spans="4:5" x14ac:dyDescent="0.3">
      <c r="D738" s="240"/>
      <c r="E738" s="240"/>
    </row>
    <row r="739" spans="4:5" x14ac:dyDescent="0.3">
      <c r="D739" s="240"/>
      <c r="E739" s="240"/>
    </row>
    <row r="740" spans="4:5" x14ac:dyDescent="0.3">
      <c r="D740" s="240"/>
      <c r="E740" s="240"/>
    </row>
    <row r="741" spans="4:5" x14ac:dyDescent="0.3">
      <c r="D741" s="240"/>
      <c r="E741" s="240"/>
    </row>
    <row r="742" spans="4:5" x14ac:dyDescent="0.3">
      <c r="D742" s="240"/>
      <c r="E742" s="240"/>
    </row>
    <row r="743" spans="4:5" x14ac:dyDescent="0.3">
      <c r="D743" s="240"/>
      <c r="E743" s="240"/>
    </row>
    <row r="744" spans="4:5" x14ac:dyDescent="0.3">
      <c r="D744" s="240"/>
      <c r="E744" s="240"/>
    </row>
    <row r="745" spans="4:5" x14ac:dyDescent="0.3">
      <c r="D745" s="240"/>
      <c r="E745" s="240"/>
    </row>
    <row r="746" spans="4:5" x14ac:dyDescent="0.3">
      <c r="D746" s="240"/>
      <c r="E746" s="240"/>
    </row>
    <row r="747" spans="4:5" x14ac:dyDescent="0.3">
      <c r="D747" s="240"/>
      <c r="E747" s="240"/>
    </row>
    <row r="748" spans="4:5" x14ac:dyDescent="0.3">
      <c r="D748" s="240"/>
      <c r="E748" s="240"/>
    </row>
    <row r="749" spans="4:5" x14ac:dyDescent="0.3">
      <c r="D749" s="240"/>
      <c r="E749" s="240"/>
    </row>
    <row r="750" spans="4:5" x14ac:dyDescent="0.3">
      <c r="D750" s="240"/>
      <c r="E750" s="240"/>
    </row>
    <row r="751" spans="4:5" x14ac:dyDescent="0.3">
      <c r="D751" s="240"/>
      <c r="E751" s="240"/>
    </row>
    <row r="752" spans="4:5" x14ac:dyDescent="0.3">
      <c r="D752" s="240"/>
      <c r="E752" s="240"/>
    </row>
    <row r="753" spans="4:5" x14ac:dyDescent="0.3">
      <c r="D753" s="240"/>
      <c r="E753" s="240"/>
    </row>
    <row r="754" spans="4:5" x14ac:dyDescent="0.3">
      <c r="D754" s="240"/>
      <c r="E754" s="240"/>
    </row>
    <row r="755" spans="4:5" x14ac:dyDescent="0.3">
      <c r="D755" s="240"/>
      <c r="E755" s="240"/>
    </row>
    <row r="756" spans="4:5" x14ac:dyDescent="0.3">
      <c r="D756" s="240"/>
      <c r="E756" s="240"/>
    </row>
    <row r="757" spans="4:5" x14ac:dyDescent="0.3">
      <c r="D757" s="240"/>
      <c r="E757" s="240"/>
    </row>
    <row r="758" spans="4:5" x14ac:dyDescent="0.3">
      <c r="D758" s="240"/>
      <c r="E758" s="240"/>
    </row>
    <row r="759" spans="4:5" x14ac:dyDescent="0.3">
      <c r="D759" s="240"/>
      <c r="E759" s="240"/>
    </row>
    <row r="760" spans="4:5" x14ac:dyDescent="0.3">
      <c r="D760" s="240"/>
      <c r="E760" s="240"/>
    </row>
    <row r="761" spans="4:5" x14ac:dyDescent="0.3">
      <c r="D761" s="240"/>
      <c r="E761" s="240"/>
    </row>
    <row r="762" spans="4:5" x14ac:dyDescent="0.3">
      <c r="D762" s="240"/>
      <c r="E762" s="240"/>
    </row>
    <row r="763" spans="4:5" x14ac:dyDescent="0.3">
      <c r="D763" s="240"/>
      <c r="E763" s="240"/>
    </row>
    <row r="764" spans="4:5" x14ac:dyDescent="0.3">
      <c r="D764" s="240"/>
      <c r="E764" s="240"/>
    </row>
    <row r="765" spans="4:5" x14ac:dyDescent="0.3">
      <c r="D765" s="240"/>
      <c r="E765" s="240"/>
    </row>
    <row r="766" spans="4:5" x14ac:dyDescent="0.3">
      <c r="D766" s="240"/>
      <c r="E766" s="240"/>
    </row>
    <row r="767" spans="4:5" x14ac:dyDescent="0.3">
      <c r="D767" s="184"/>
      <c r="E767" s="184"/>
    </row>
  </sheetData>
  <mergeCells count="20">
    <mergeCell ref="P4:Q4"/>
    <mergeCell ref="P5:Q5"/>
    <mergeCell ref="AA4:AA5"/>
    <mergeCell ref="A4:A5"/>
    <mergeCell ref="B4:B5"/>
    <mergeCell ref="D4:D5"/>
    <mergeCell ref="F4:F5"/>
    <mergeCell ref="G4:G5"/>
    <mergeCell ref="H4:H5"/>
    <mergeCell ref="J4:K4"/>
    <mergeCell ref="J5:K5"/>
    <mergeCell ref="M4:N4"/>
    <mergeCell ref="M5:N5"/>
    <mergeCell ref="V4:W4"/>
    <mergeCell ref="V5:W5"/>
    <mergeCell ref="AC4:AC5"/>
    <mergeCell ref="S4:T4"/>
    <mergeCell ref="S5:T5"/>
    <mergeCell ref="AB4:AB5"/>
    <mergeCell ref="Z4:Z5"/>
  </mergeCells>
  <pageMargins left="0.1" right="0.1" top="0.5" bottom="0.5" header="0.3" footer="0.3"/>
  <pageSetup scale="57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3"/>
  <sheetViews>
    <sheetView view="pageBreakPreview" zoomScaleNormal="100" zoomScaleSheetLayoutView="90" workbookViewId="0">
      <selection activeCell="G9" sqref="G9"/>
    </sheetView>
  </sheetViews>
  <sheetFormatPr defaultRowHeight="16.5" x14ac:dyDescent="0.3"/>
  <cols>
    <col min="1" max="1" width="7" style="1" customWidth="1"/>
    <col min="2" max="2" width="35.140625" style="1" bestFit="1" customWidth="1"/>
    <col min="3" max="3" width="13.85546875" style="15" customWidth="1"/>
    <col min="4" max="4" width="13.140625" style="139" bestFit="1" customWidth="1"/>
    <col min="5" max="5" width="13.140625" style="139" customWidth="1"/>
    <col min="6" max="6" width="8.28515625" style="1" bestFit="1" customWidth="1"/>
    <col min="7" max="7" width="10.42578125" style="1" bestFit="1" customWidth="1"/>
    <col min="8" max="8" width="13.7109375" style="1" customWidth="1"/>
    <col min="9" max="9" width="41.5703125" style="1" bestFit="1" customWidth="1"/>
    <col min="10" max="10" width="10.85546875" style="15" bestFit="1" customWidth="1"/>
    <col min="11" max="11" width="13.85546875" style="15" customWidth="1"/>
    <col min="12" max="12" width="12.140625" style="1" bestFit="1" customWidth="1"/>
    <col min="13" max="13" width="9" style="78" bestFit="1" customWidth="1"/>
    <col min="14" max="14" width="15.140625" style="78" bestFit="1" customWidth="1"/>
    <col min="15" max="15" width="12.140625" style="1" bestFit="1" customWidth="1"/>
    <col min="16" max="16" width="9.140625" style="78"/>
    <col min="17" max="17" width="11" style="78" bestFit="1" customWidth="1"/>
    <col min="18" max="18" width="13.42578125" style="78" bestFit="1" customWidth="1"/>
    <col min="19" max="19" width="9.140625" style="78"/>
    <col min="20" max="20" width="14.140625" style="78" bestFit="1" customWidth="1"/>
    <col min="21" max="21" width="13.85546875" style="78" bestFit="1" customWidth="1"/>
    <col min="22" max="22" width="9.140625" style="78"/>
    <col min="23" max="23" width="11" style="78" bestFit="1" customWidth="1"/>
    <col min="24" max="24" width="12.140625" style="1" bestFit="1" customWidth="1"/>
    <col min="25" max="25" width="9.140625" style="78"/>
    <col min="26" max="26" width="11" style="78" bestFit="1" customWidth="1"/>
    <col min="27" max="27" width="13.42578125" style="78" bestFit="1" customWidth="1"/>
    <col min="28" max="28" width="9.140625" style="78"/>
    <col min="29" max="29" width="11" style="78" bestFit="1" customWidth="1"/>
    <col min="30" max="30" width="13.42578125" style="78" bestFit="1" customWidth="1"/>
    <col min="31" max="31" width="9.140625" style="78"/>
    <col min="32" max="32" width="11" style="78" bestFit="1" customWidth="1"/>
    <col min="33" max="33" width="13.42578125" style="78" bestFit="1" customWidth="1"/>
    <col min="34" max="34" width="9.140625" style="78"/>
    <col min="35" max="35" width="11" style="78" bestFit="1" customWidth="1"/>
    <col min="36" max="36" width="24.5703125" style="1" bestFit="1" customWidth="1"/>
    <col min="37" max="37" width="9.140625" style="78"/>
    <col min="38" max="38" width="11" style="78" bestFit="1" customWidth="1"/>
    <col min="39" max="39" width="32.28515625" style="1" bestFit="1" customWidth="1"/>
    <col min="40" max="40" width="46.7109375" style="189" bestFit="1" customWidth="1"/>
    <col min="41" max="16384" width="9.140625" style="1"/>
  </cols>
  <sheetData>
    <row r="1" spans="1:40" x14ac:dyDescent="0.3">
      <c r="A1" s="4" t="s">
        <v>0</v>
      </c>
      <c r="B1" s="5"/>
    </row>
    <row r="2" spans="1:40" x14ac:dyDescent="0.3">
      <c r="A2" s="4" t="s">
        <v>43</v>
      </c>
      <c r="B2" s="5"/>
      <c r="T2" s="257" t="s">
        <v>1157</v>
      </c>
      <c r="W2" s="257" t="s">
        <v>1157</v>
      </c>
    </row>
    <row r="3" spans="1:40" s="43" customFormat="1" x14ac:dyDescent="0.3">
      <c r="A3" s="43" t="s">
        <v>2676</v>
      </c>
      <c r="C3" s="188"/>
      <c r="D3" s="162"/>
      <c r="E3" s="162"/>
      <c r="J3" s="188"/>
      <c r="K3" s="188"/>
      <c r="L3" s="646" t="s">
        <v>521</v>
      </c>
      <c r="M3" s="647"/>
      <c r="N3" s="238" t="s">
        <v>937</v>
      </c>
      <c r="O3" s="646" t="s">
        <v>521</v>
      </c>
      <c r="P3" s="647"/>
      <c r="Q3" s="238" t="s">
        <v>937</v>
      </c>
      <c r="R3" s="675" t="s">
        <v>521</v>
      </c>
      <c r="S3" s="676"/>
      <c r="T3" s="238" t="s">
        <v>937</v>
      </c>
      <c r="U3" s="675" t="s">
        <v>521</v>
      </c>
      <c r="V3" s="676"/>
      <c r="W3" s="238" t="s">
        <v>937</v>
      </c>
      <c r="X3" s="646" t="s">
        <v>521</v>
      </c>
      <c r="Y3" s="647"/>
      <c r="Z3" s="238" t="s">
        <v>937</v>
      </c>
      <c r="AA3" s="674" t="s">
        <v>521</v>
      </c>
      <c r="AB3" s="674"/>
      <c r="AC3" s="476" t="s">
        <v>937</v>
      </c>
      <c r="AD3" s="674" t="s">
        <v>521</v>
      </c>
      <c r="AE3" s="674"/>
      <c r="AF3" s="476" t="s">
        <v>937</v>
      </c>
      <c r="AG3" s="672" t="s">
        <v>521</v>
      </c>
      <c r="AH3" s="673"/>
      <c r="AI3" s="256" t="s">
        <v>937</v>
      </c>
      <c r="AJ3" s="672" t="s">
        <v>521</v>
      </c>
      <c r="AK3" s="673"/>
      <c r="AL3" s="256" t="s">
        <v>937</v>
      </c>
      <c r="AM3" s="96"/>
      <c r="AN3" s="190"/>
    </row>
    <row r="4" spans="1:40" x14ac:dyDescent="0.3">
      <c r="A4" s="24"/>
      <c r="B4" s="84"/>
      <c r="C4" s="24"/>
      <c r="D4" s="249"/>
      <c r="E4" s="249"/>
      <c r="F4" s="24"/>
      <c r="G4" s="24"/>
      <c r="H4" s="250"/>
      <c r="I4" s="84"/>
      <c r="J4" s="24"/>
      <c r="K4" s="24"/>
      <c r="L4" s="646" t="s">
        <v>521</v>
      </c>
      <c r="M4" s="647"/>
      <c r="N4" s="238" t="s">
        <v>937</v>
      </c>
      <c r="O4" s="646" t="s">
        <v>521</v>
      </c>
      <c r="P4" s="647"/>
      <c r="Q4" s="238" t="s">
        <v>937</v>
      </c>
      <c r="R4" s="675" t="s">
        <v>521</v>
      </c>
      <c r="S4" s="676"/>
      <c r="T4" s="238" t="s">
        <v>937</v>
      </c>
      <c r="U4" s="675" t="s">
        <v>521</v>
      </c>
      <c r="V4" s="676"/>
      <c r="W4" s="238" t="s">
        <v>937</v>
      </c>
      <c r="X4" s="646" t="s">
        <v>521</v>
      </c>
      <c r="Y4" s="647"/>
      <c r="Z4" s="238" t="s">
        <v>937</v>
      </c>
      <c r="AA4" s="674" t="s">
        <v>521</v>
      </c>
      <c r="AB4" s="674"/>
      <c r="AC4" s="476" t="s">
        <v>937</v>
      </c>
      <c r="AD4" s="674" t="s">
        <v>521</v>
      </c>
      <c r="AE4" s="674"/>
      <c r="AF4" s="476" t="s">
        <v>937</v>
      </c>
      <c r="AG4" s="672" t="s">
        <v>521</v>
      </c>
      <c r="AH4" s="673"/>
      <c r="AI4" s="256" t="s">
        <v>937</v>
      </c>
      <c r="AJ4" s="672" t="s">
        <v>521</v>
      </c>
      <c r="AK4" s="673"/>
      <c r="AL4" s="256" t="s">
        <v>937</v>
      </c>
      <c r="AM4" s="96"/>
    </row>
    <row r="5" spans="1:40" s="333" customFormat="1" ht="33" x14ac:dyDescent="0.25">
      <c r="A5" s="7" t="s">
        <v>1</v>
      </c>
      <c r="B5" s="7" t="s">
        <v>2</v>
      </c>
      <c r="C5" s="7" t="s">
        <v>981</v>
      </c>
      <c r="D5" s="330" t="s">
        <v>3</v>
      </c>
      <c r="E5" s="330" t="s">
        <v>1499</v>
      </c>
      <c r="F5" s="7" t="s">
        <v>4</v>
      </c>
      <c r="G5" s="7" t="s">
        <v>5</v>
      </c>
      <c r="H5" s="331" t="s">
        <v>992</v>
      </c>
      <c r="I5" s="7" t="s">
        <v>6</v>
      </c>
      <c r="J5" s="7" t="s">
        <v>1107</v>
      </c>
      <c r="K5" s="7" t="s">
        <v>571</v>
      </c>
      <c r="L5" s="51" t="s">
        <v>936</v>
      </c>
      <c r="M5" s="259" t="s">
        <v>525</v>
      </c>
      <c r="N5" s="259" t="s">
        <v>525</v>
      </c>
      <c r="O5" s="51" t="s">
        <v>936</v>
      </c>
      <c r="P5" s="259" t="s">
        <v>525</v>
      </c>
      <c r="Q5" s="259" t="s">
        <v>525</v>
      </c>
      <c r="R5" s="259" t="s">
        <v>936</v>
      </c>
      <c r="S5" s="259" t="s">
        <v>525</v>
      </c>
      <c r="T5" s="259" t="s">
        <v>525</v>
      </c>
      <c r="U5" s="259" t="s">
        <v>936</v>
      </c>
      <c r="V5" s="259" t="s">
        <v>525</v>
      </c>
      <c r="W5" s="259" t="s">
        <v>525</v>
      </c>
      <c r="X5" s="51" t="s">
        <v>936</v>
      </c>
      <c r="Y5" s="259" t="s">
        <v>525</v>
      </c>
      <c r="Z5" s="259" t="s">
        <v>525</v>
      </c>
      <c r="AA5" s="259" t="s">
        <v>936</v>
      </c>
      <c r="AB5" s="259" t="s">
        <v>525</v>
      </c>
      <c r="AC5" s="259" t="s">
        <v>525</v>
      </c>
      <c r="AD5" s="259" t="s">
        <v>936</v>
      </c>
      <c r="AE5" s="259" t="s">
        <v>525</v>
      </c>
      <c r="AF5" s="259" t="s">
        <v>525</v>
      </c>
      <c r="AG5" s="256" t="s">
        <v>936</v>
      </c>
      <c r="AH5" s="256" t="s">
        <v>525</v>
      </c>
      <c r="AI5" s="256" t="s">
        <v>525</v>
      </c>
      <c r="AJ5" s="256" t="s">
        <v>936</v>
      </c>
      <c r="AK5" s="256" t="s">
        <v>525</v>
      </c>
      <c r="AL5" s="256" t="s">
        <v>525</v>
      </c>
      <c r="AM5" s="256" t="s">
        <v>936</v>
      </c>
      <c r="AN5" s="332"/>
    </row>
    <row r="6" spans="1:40" x14ac:dyDescent="0.3">
      <c r="A6" s="82">
        <v>1</v>
      </c>
      <c r="B6" s="83" t="s">
        <v>170</v>
      </c>
      <c r="C6" s="82" t="s">
        <v>984</v>
      </c>
      <c r="D6" s="137" t="s">
        <v>171</v>
      </c>
      <c r="E6" s="137" t="s">
        <v>2236</v>
      </c>
      <c r="F6" s="82" t="s">
        <v>113</v>
      </c>
      <c r="G6" s="82" t="s">
        <v>299</v>
      </c>
      <c r="H6" s="82" t="s">
        <v>301</v>
      </c>
      <c r="I6" s="83" t="s">
        <v>172</v>
      </c>
      <c r="J6" s="82" t="s">
        <v>1009</v>
      </c>
      <c r="K6" s="82"/>
      <c r="L6" s="83" t="s">
        <v>2332</v>
      </c>
      <c r="M6" s="89">
        <v>605</v>
      </c>
      <c r="N6" s="89">
        <v>605</v>
      </c>
      <c r="O6" s="83" t="s">
        <v>2333</v>
      </c>
      <c r="P6" s="89">
        <v>605</v>
      </c>
      <c r="Q6" s="89">
        <v>580</v>
      </c>
      <c r="R6" s="89" t="s">
        <v>2334</v>
      </c>
      <c r="S6" s="89">
        <v>605</v>
      </c>
      <c r="T6" s="89">
        <v>580</v>
      </c>
      <c r="U6" s="89"/>
      <c r="V6" s="89"/>
      <c r="W6" s="89"/>
      <c r="X6" s="83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3" t="s">
        <v>2335</v>
      </c>
      <c r="AK6" s="89">
        <v>600</v>
      </c>
      <c r="AL6" s="89">
        <v>600</v>
      </c>
      <c r="AM6" s="83"/>
      <c r="AN6" s="189" t="s">
        <v>1000</v>
      </c>
    </row>
    <row r="7" spans="1:40" s="189" customFormat="1" x14ac:dyDescent="0.3">
      <c r="A7" s="82">
        <v>2</v>
      </c>
      <c r="B7" s="83" t="s">
        <v>164</v>
      </c>
      <c r="C7" s="82" t="s">
        <v>985</v>
      </c>
      <c r="D7" s="137" t="s">
        <v>165</v>
      </c>
      <c r="E7" s="137" t="s">
        <v>2237</v>
      </c>
      <c r="F7" s="82" t="s">
        <v>113</v>
      </c>
      <c r="G7" s="82" t="s">
        <v>299</v>
      </c>
      <c r="H7" s="82" t="s">
        <v>300</v>
      </c>
      <c r="I7" s="83" t="s">
        <v>166</v>
      </c>
      <c r="J7" s="82" t="s">
        <v>1009</v>
      </c>
      <c r="K7" s="82"/>
      <c r="L7" s="83" t="s">
        <v>1110</v>
      </c>
      <c r="M7" s="89">
        <v>5720</v>
      </c>
      <c r="N7" s="89"/>
      <c r="O7" s="83" t="s">
        <v>1161</v>
      </c>
      <c r="P7" s="89">
        <v>2200</v>
      </c>
      <c r="Q7" s="89"/>
      <c r="R7" s="89" t="s">
        <v>1111</v>
      </c>
      <c r="S7" s="89">
        <v>1250</v>
      </c>
      <c r="T7" s="89"/>
      <c r="U7" s="89" t="s">
        <v>1112</v>
      </c>
      <c r="V7" s="89">
        <v>1250</v>
      </c>
      <c r="W7" s="89"/>
      <c r="X7" s="83" t="s">
        <v>1113</v>
      </c>
      <c r="Y7" s="89">
        <v>1250</v>
      </c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3"/>
      <c r="AK7" s="89"/>
      <c r="AL7" s="89"/>
      <c r="AM7" s="83"/>
    </row>
    <row r="8" spans="1:40" s="189" customFormat="1" x14ac:dyDescent="0.3">
      <c r="A8" s="82">
        <v>3</v>
      </c>
      <c r="B8" s="18" t="s">
        <v>266</v>
      </c>
      <c r="C8" s="82" t="s">
        <v>986</v>
      </c>
      <c r="D8" s="137" t="s">
        <v>307</v>
      </c>
      <c r="E8" s="137" t="s">
        <v>2238</v>
      </c>
      <c r="F8" s="82" t="s">
        <v>7</v>
      </c>
      <c r="G8" s="82" t="s">
        <v>299</v>
      </c>
      <c r="H8" s="82" t="s">
        <v>300</v>
      </c>
      <c r="I8" s="85" t="s">
        <v>162</v>
      </c>
      <c r="J8" s="82" t="s">
        <v>1009</v>
      </c>
      <c r="K8" s="82"/>
      <c r="L8" s="83" t="s">
        <v>1119</v>
      </c>
      <c r="M8" s="89">
        <v>625</v>
      </c>
      <c r="N8" s="89">
        <v>625</v>
      </c>
      <c r="O8" s="83" t="s">
        <v>1120</v>
      </c>
      <c r="P8" s="89">
        <v>625</v>
      </c>
      <c r="Q8" s="89">
        <v>625</v>
      </c>
      <c r="R8" s="89" t="s">
        <v>1121</v>
      </c>
      <c r="S8" s="89">
        <v>625</v>
      </c>
      <c r="T8" s="89"/>
      <c r="U8" s="89" t="s">
        <v>1122</v>
      </c>
      <c r="V8" s="89">
        <v>625</v>
      </c>
      <c r="W8" s="89"/>
      <c r="X8" s="83" t="s">
        <v>1130</v>
      </c>
      <c r="Y8" s="89">
        <v>595</v>
      </c>
      <c r="Z8" s="89"/>
      <c r="AA8" s="89" t="s">
        <v>1131</v>
      </c>
      <c r="AB8" s="89">
        <v>595</v>
      </c>
      <c r="AC8" s="89"/>
      <c r="AD8" s="89" t="s">
        <v>1132</v>
      </c>
      <c r="AE8" s="89">
        <v>595</v>
      </c>
      <c r="AF8" s="89"/>
      <c r="AG8" s="89" t="s">
        <v>2336</v>
      </c>
      <c r="AH8" s="89">
        <v>595</v>
      </c>
      <c r="AI8" s="89"/>
      <c r="AJ8" s="83"/>
      <c r="AK8" s="89"/>
      <c r="AL8" s="89"/>
      <c r="AM8" s="83"/>
    </row>
    <row r="9" spans="1:40" s="189" customFormat="1" x14ac:dyDescent="0.3">
      <c r="A9" s="82">
        <v>4</v>
      </c>
      <c r="B9" s="83" t="s">
        <v>167</v>
      </c>
      <c r="C9" s="82" t="s">
        <v>987</v>
      </c>
      <c r="D9" s="137" t="s">
        <v>168</v>
      </c>
      <c r="E9" s="137" t="s">
        <v>2239</v>
      </c>
      <c r="F9" s="82" t="s">
        <v>113</v>
      </c>
      <c r="G9" s="82" t="s">
        <v>299</v>
      </c>
      <c r="H9" s="82" t="s">
        <v>301</v>
      </c>
      <c r="I9" s="83" t="s">
        <v>169</v>
      </c>
      <c r="J9" s="82" t="s">
        <v>1009</v>
      </c>
      <c r="K9" s="82"/>
      <c r="L9" s="83" t="s">
        <v>1127</v>
      </c>
      <c r="M9" s="89">
        <v>5520</v>
      </c>
      <c r="N9" s="89"/>
      <c r="O9" s="83" t="s">
        <v>1133</v>
      </c>
      <c r="P9" s="89">
        <v>1950</v>
      </c>
      <c r="Q9" s="89"/>
      <c r="R9" s="89" t="s">
        <v>1137</v>
      </c>
      <c r="S9" s="255">
        <v>1050</v>
      </c>
      <c r="T9" s="89"/>
      <c r="U9" s="83" t="s">
        <v>1138</v>
      </c>
      <c r="V9" s="255">
        <v>1050</v>
      </c>
      <c r="W9" s="89"/>
      <c r="X9" s="83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3"/>
      <c r="AK9" s="89"/>
      <c r="AL9" s="89"/>
      <c r="AM9" s="83"/>
    </row>
    <row r="11" spans="1:40" s="189" customFormat="1" x14ac:dyDescent="0.3">
      <c r="A11" s="84"/>
      <c r="B11" s="84"/>
      <c r="C11" s="24"/>
      <c r="D11" s="163"/>
      <c r="E11" s="163"/>
      <c r="F11" s="24"/>
      <c r="G11" s="24"/>
      <c r="H11" s="24"/>
      <c r="I11" s="84"/>
      <c r="J11" s="24"/>
      <c r="K11" s="24"/>
      <c r="L11" s="1"/>
      <c r="M11" s="78"/>
      <c r="N11" s="78"/>
      <c r="O11" s="1"/>
      <c r="P11" s="78"/>
      <c r="Q11" s="78"/>
      <c r="R11" s="78"/>
      <c r="S11" s="78"/>
      <c r="T11" s="78"/>
      <c r="U11" s="78"/>
      <c r="V11" s="78"/>
      <c r="W11" s="78"/>
      <c r="X11" s="1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1"/>
      <c r="AK11" s="78"/>
      <c r="AL11" s="78"/>
      <c r="AM11" s="1"/>
    </row>
    <row r="13" spans="1:40" s="189" customFormat="1" x14ac:dyDescent="0.3">
      <c r="A13" s="1"/>
      <c r="B13" s="1"/>
      <c r="C13" s="15"/>
      <c r="D13" s="139"/>
      <c r="E13" s="139"/>
      <c r="F13" s="1" t="s">
        <v>645</v>
      </c>
      <c r="G13" s="1"/>
      <c r="H13" s="1"/>
      <c r="I13" s="1"/>
      <c r="J13" s="15"/>
      <c r="K13" s="15"/>
      <c r="L13" s="1"/>
      <c r="M13" s="78"/>
      <c r="N13" s="78"/>
      <c r="O13" s="1"/>
      <c r="P13" s="78"/>
      <c r="Q13" s="78"/>
      <c r="R13" s="78"/>
      <c r="S13" s="78"/>
      <c r="T13" s="78"/>
      <c r="U13" s="78"/>
      <c r="V13" s="78"/>
      <c r="W13" s="78"/>
      <c r="X13" s="1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1"/>
      <c r="AK13" s="78"/>
      <c r="AL13" s="78"/>
      <c r="AM13" s="1"/>
    </row>
  </sheetData>
  <mergeCells count="18">
    <mergeCell ref="AG4:AH4"/>
    <mergeCell ref="AJ4:AK4"/>
    <mergeCell ref="AD3:AE3"/>
    <mergeCell ref="AG3:AH3"/>
    <mergeCell ref="AJ3:AK3"/>
    <mergeCell ref="AA4:AB4"/>
    <mergeCell ref="AD4:AE4"/>
    <mergeCell ref="L3:M3"/>
    <mergeCell ref="O3:P3"/>
    <mergeCell ref="R3:S3"/>
    <mergeCell ref="U3:V3"/>
    <mergeCell ref="X3:Y3"/>
    <mergeCell ref="AA3:AB3"/>
    <mergeCell ref="L4:M4"/>
    <mergeCell ref="O4:P4"/>
    <mergeCell ref="R4:S4"/>
    <mergeCell ref="U4:V4"/>
    <mergeCell ref="X4:Y4"/>
  </mergeCells>
  <pageMargins left="0.7" right="0.7" top="0.75" bottom="0.75" header="0.3" footer="0.3"/>
  <pageSetup scale="67" fitToHeight="0" orientation="landscape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1"/>
  <sheetViews>
    <sheetView view="pageBreakPreview" topLeftCell="X1" zoomScale="90" zoomScaleNormal="100" zoomScaleSheetLayoutView="90" workbookViewId="0">
      <selection activeCell="AD19" sqref="AD19"/>
    </sheetView>
  </sheetViews>
  <sheetFormatPr defaultRowHeight="16.5" x14ac:dyDescent="0.3"/>
  <cols>
    <col min="1" max="1" width="6.85546875" style="1" customWidth="1"/>
    <col min="2" max="2" width="44.85546875" style="1" bestFit="1" customWidth="1"/>
    <col min="3" max="3" width="12.85546875" style="15" customWidth="1"/>
    <col min="4" max="4" width="13.140625" style="15" bestFit="1" customWidth="1"/>
    <col min="5" max="5" width="13.140625" style="15" customWidth="1"/>
    <col min="6" max="7" width="15.28515625" style="15" customWidth="1"/>
    <col min="8" max="8" width="35.140625" style="15" bestFit="1" customWidth="1"/>
    <col min="9" max="9" width="18.42578125" style="15" customWidth="1"/>
    <col min="10" max="10" width="47.85546875" style="1" customWidth="1"/>
    <col min="11" max="11" width="51.85546875" style="1" bestFit="1" customWidth="1"/>
    <col min="12" max="12" width="9.140625" style="1"/>
    <col min="13" max="13" width="15.140625" style="43" bestFit="1" customWidth="1"/>
    <col min="14" max="14" width="32.5703125" style="1" bestFit="1" customWidth="1"/>
    <col min="15" max="15" width="9.140625" style="1"/>
    <col min="16" max="16" width="15.140625" style="43" bestFit="1" customWidth="1"/>
    <col min="17" max="17" width="54" style="1" bestFit="1" customWidth="1"/>
    <col min="18" max="18" width="10.5703125" style="1" bestFit="1" customWidth="1"/>
    <col min="19" max="19" width="15.140625" style="43" bestFit="1" customWidth="1"/>
    <col min="20" max="20" width="32.5703125" style="1" bestFit="1" customWidth="1"/>
    <col min="21" max="21" width="10" style="1" bestFit="1" customWidth="1"/>
    <col min="22" max="22" width="15.140625" style="43" bestFit="1" customWidth="1"/>
    <col min="23" max="23" width="68.42578125" style="1" bestFit="1" customWidth="1"/>
    <col min="24" max="24" width="15.140625" style="1" customWidth="1"/>
    <col min="25" max="25" width="15.140625" style="43" customWidth="1"/>
    <col min="26" max="26" width="15.85546875" style="1" bestFit="1" customWidth="1"/>
    <col min="27" max="27" width="18.7109375" style="1" bestFit="1" customWidth="1"/>
    <col min="28" max="28" width="23.140625" style="43" bestFit="1" customWidth="1"/>
    <col min="29" max="29" width="55.5703125" style="433" bestFit="1" customWidth="1"/>
    <col min="30" max="30" width="54.140625" style="1" bestFit="1" customWidth="1"/>
    <col min="31" max="16384" width="9.140625" style="1"/>
  </cols>
  <sheetData>
    <row r="1" spans="1:30" x14ac:dyDescent="0.3">
      <c r="A1" s="4" t="s">
        <v>0</v>
      </c>
      <c r="B1" s="5"/>
      <c r="C1" s="306"/>
    </row>
    <row r="2" spans="1:30" x14ac:dyDescent="0.3">
      <c r="A2" s="4" t="s">
        <v>43</v>
      </c>
      <c r="B2" s="5"/>
      <c r="C2" s="306"/>
    </row>
    <row r="3" spans="1:30" x14ac:dyDescent="0.3">
      <c r="A3" s="43" t="s">
        <v>767</v>
      </c>
      <c r="K3" s="646" t="s">
        <v>521</v>
      </c>
      <c r="L3" s="647"/>
      <c r="M3" s="409" t="s">
        <v>1062</v>
      </c>
      <c r="N3" s="646" t="s">
        <v>521</v>
      </c>
      <c r="O3" s="647"/>
      <c r="P3" s="409" t="s">
        <v>1062</v>
      </c>
      <c r="Q3" s="646" t="s">
        <v>521</v>
      </c>
      <c r="R3" s="647"/>
      <c r="S3" s="79" t="s">
        <v>1062</v>
      </c>
      <c r="T3" s="646" t="s">
        <v>521</v>
      </c>
      <c r="U3" s="647"/>
      <c r="V3" s="409" t="s">
        <v>1062</v>
      </c>
      <c r="W3" s="646" t="s">
        <v>521</v>
      </c>
      <c r="X3" s="647"/>
      <c r="Y3" s="431" t="s">
        <v>1062</v>
      </c>
      <c r="Z3" s="52" t="s">
        <v>523</v>
      </c>
      <c r="AA3" s="680" t="s">
        <v>524</v>
      </c>
      <c r="AB3" s="638" t="s">
        <v>1063</v>
      </c>
      <c r="AC3" s="683" t="s">
        <v>571</v>
      </c>
      <c r="AD3" s="684"/>
    </row>
    <row r="4" spans="1:30" x14ac:dyDescent="0.3">
      <c r="A4" s="2" t="s">
        <v>1</v>
      </c>
      <c r="B4" s="2" t="s">
        <v>2</v>
      </c>
      <c r="C4" s="2" t="s">
        <v>573</v>
      </c>
      <c r="D4" s="3" t="s">
        <v>3</v>
      </c>
      <c r="E4" s="3" t="s">
        <v>1499</v>
      </c>
      <c r="F4" s="2" t="s">
        <v>4</v>
      </c>
      <c r="G4" s="2" t="s">
        <v>970</v>
      </c>
      <c r="H4" s="2" t="s">
        <v>2631</v>
      </c>
      <c r="I4" s="2" t="s">
        <v>5</v>
      </c>
      <c r="J4" s="7" t="s">
        <v>6</v>
      </c>
      <c r="K4" s="677">
        <v>2012</v>
      </c>
      <c r="L4" s="678"/>
      <c r="M4" s="238" t="s">
        <v>525</v>
      </c>
      <c r="N4" s="679">
        <v>2013</v>
      </c>
      <c r="O4" s="678"/>
      <c r="P4" s="238" t="s">
        <v>525</v>
      </c>
      <c r="Q4" s="679">
        <v>2014</v>
      </c>
      <c r="R4" s="678"/>
      <c r="S4" s="238" t="s">
        <v>525</v>
      </c>
      <c r="T4" s="679">
        <v>2015</v>
      </c>
      <c r="U4" s="678"/>
      <c r="V4" s="238" t="s">
        <v>525</v>
      </c>
      <c r="W4" s="679">
        <v>2016</v>
      </c>
      <c r="X4" s="678"/>
      <c r="Y4" s="238" t="s">
        <v>525</v>
      </c>
      <c r="Z4" s="239" t="s">
        <v>525</v>
      </c>
      <c r="AA4" s="681"/>
      <c r="AB4" s="682"/>
      <c r="AC4" s="685"/>
      <c r="AD4" s="686"/>
    </row>
    <row r="5" spans="1:30" s="164" customFormat="1" ht="49.5" x14ac:dyDescent="0.25">
      <c r="A5" s="10">
        <v>1</v>
      </c>
      <c r="B5" s="307" t="s">
        <v>279</v>
      </c>
      <c r="C5" s="307" t="s">
        <v>1451</v>
      </c>
      <c r="D5" s="283" t="s">
        <v>143</v>
      </c>
      <c r="E5" s="283" t="s">
        <v>2240</v>
      </c>
      <c r="F5" s="10" t="s">
        <v>141</v>
      </c>
      <c r="G5" s="10" t="s">
        <v>640</v>
      </c>
      <c r="H5" s="10" t="s">
        <v>2378</v>
      </c>
      <c r="I5" s="10" t="s">
        <v>300</v>
      </c>
      <c r="J5" s="596" t="s">
        <v>2934</v>
      </c>
      <c r="K5" s="597"/>
      <c r="L5" s="265"/>
      <c r="M5" s="256"/>
      <c r="N5" s="265" t="s">
        <v>1464</v>
      </c>
      <c r="O5" s="265">
        <f>1520+1250+1250</f>
        <v>4020</v>
      </c>
      <c r="P5" s="256">
        <f>1470+1200+1200</f>
        <v>3870</v>
      </c>
      <c r="Q5" s="265" t="s">
        <v>1465</v>
      </c>
      <c r="R5" s="265">
        <f>1250+1250</f>
        <v>2500</v>
      </c>
      <c r="S5" s="256">
        <f>1200</f>
        <v>1200</v>
      </c>
      <c r="T5" s="265"/>
      <c r="U5" s="265"/>
      <c r="V5" s="256"/>
      <c r="W5" s="265"/>
      <c r="X5" s="265"/>
      <c r="Y5" s="256"/>
      <c r="Z5" s="265"/>
      <c r="AA5" s="265"/>
      <c r="AB5" s="256">
        <f t="shared" ref="AB5:AB7" si="0">M5+P5+S5+V5+Y5</f>
        <v>5070</v>
      </c>
      <c r="AC5" s="598"/>
      <c r="AD5" s="10"/>
    </row>
    <row r="6" spans="1:30" x14ac:dyDescent="0.3">
      <c r="A6" s="82">
        <v>2</v>
      </c>
      <c r="B6" s="83" t="s">
        <v>838</v>
      </c>
      <c r="C6" s="82" t="s">
        <v>988</v>
      </c>
      <c r="D6" s="138" t="s">
        <v>839</v>
      </c>
      <c r="E6" s="138" t="s">
        <v>2241</v>
      </c>
      <c r="F6" s="82" t="s">
        <v>141</v>
      </c>
      <c r="G6" s="82" t="s">
        <v>640</v>
      </c>
      <c r="H6" s="82" t="s">
        <v>2378</v>
      </c>
      <c r="I6" s="82" t="s">
        <v>300</v>
      </c>
      <c r="J6" s="83" t="s">
        <v>840</v>
      </c>
      <c r="K6" s="270">
        <v>0</v>
      </c>
      <c r="L6" s="89">
        <v>0</v>
      </c>
      <c r="M6" s="121">
        <v>0</v>
      </c>
      <c r="N6" s="89">
        <v>0</v>
      </c>
      <c r="O6" s="89">
        <v>0</v>
      </c>
      <c r="P6" s="121">
        <v>0</v>
      </c>
      <c r="Q6" s="89">
        <v>0</v>
      </c>
      <c r="R6" s="89">
        <v>0</v>
      </c>
      <c r="S6" s="121">
        <v>0</v>
      </c>
      <c r="T6" s="89">
        <v>0</v>
      </c>
      <c r="U6" s="89">
        <v>0</v>
      </c>
      <c r="V6" s="121">
        <v>0</v>
      </c>
      <c r="W6" s="89"/>
      <c r="X6" s="89"/>
      <c r="Y6" s="121"/>
      <c r="Z6" s="89"/>
      <c r="AA6" s="89"/>
      <c r="AB6" s="121">
        <f t="shared" si="0"/>
        <v>0</v>
      </c>
      <c r="AC6" s="434"/>
      <c r="AD6" s="82" t="s">
        <v>988</v>
      </c>
    </row>
    <row r="7" spans="1:30" x14ac:dyDescent="0.3">
      <c r="A7" s="82">
        <v>3</v>
      </c>
      <c r="B7" s="83" t="s">
        <v>1218</v>
      </c>
      <c r="C7" s="82" t="s">
        <v>1463</v>
      </c>
      <c r="D7" s="9" t="s">
        <v>1259</v>
      </c>
      <c r="E7" s="9" t="s">
        <v>2242</v>
      </c>
      <c r="F7" s="82" t="s">
        <v>141</v>
      </c>
      <c r="G7" s="82" t="s">
        <v>641</v>
      </c>
      <c r="H7" s="82" t="s">
        <v>2630</v>
      </c>
      <c r="I7" s="82" t="s">
        <v>301</v>
      </c>
      <c r="J7" s="83" t="s">
        <v>2632</v>
      </c>
      <c r="K7" s="270">
        <v>0</v>
      </c>
      <c r="L7" s="89">
        <v>0</v>
      </c>
      <c r="M7" s="121">
        <v>0</v>
      </c>
      <c r="N7" s="89" t="s">
        <v>1484</v>
      </c>
      <c r="O7" s="89">
        <f>3300+1200</f>
        <v>4500</v>
      </c>
      <c r="P7" s="121"/>
      <c r="Q7" s="89" t="s">
        <v>1485</v>
      </c>
      <c r="R7" s="89">
        <f>4800+6000+6000+3600</f>
        <v>20400</v>
      </c>
      <c r="S7" s="121">
        <f>4800+6000+3600</f>
        <v>14400</v>
      </c>
      <c r="T7" s="89"/>
      <c r="U7" s="89"/>
      <c r="V7" s="121"/>
      <c r="W7" s="89"/>
      <c r="X7" s="89"/>
      <c r="Y7" s="121"/>
      <c r="Z7" s="89"/>
      <c r="AA7" s="89"/>
      <c r="AB7" s="121">
        <f t="shared" si="0"/>
        <v>14400</v>
      </c>
      <c r="AC7" s="434"/>
      <c r="AD7" s="83"/>
    </row>
    <row r="8" spans="1:30" x14ac:dyDescent="0.3">
      <c r="A8" s="82">
        <v>4</v>
      </c>
      <c r="B8" s="20" t="s">
        <v>345</v>
      </c>
      <c r="C8" s="10" t="s">
        <v>1462</v>
      </c>
      <c r="D8" s="9" t="s">
        <v>346</v>
      </c>
      <c r="E8" s="9" t="s">
        <v>2243</v>
      </c>
      <c r="F8" s="82" t="s">
        <v>141</v>
      </c>
      <c r="G8" s="82" t="s">
        <v>641</v>
      </c>
      <c r="H8" s="82" t="s">
        <v>2563</v>
      </c>
      <c r="I8" s="82" t="s">
        <v>301</v>
      </c>
      <c r="J8" s="83" t="s">
        <v>347</v>
      </c>
      <c r="K8" s="270">
        <v>0</v>
      </c>
      <c r="L8" s="89">
        <v>0</v>
      </c>
      <c r="M8" s="121">
        <v>0</v>
      </c>
      <c r="N8" s="89">
        <v>0</v>
      </c>
      <c r="O8" s="89">
        <v>0</v>
      </c>
      <c r="P8" s="121">
        <v>0</v>
      </c>
      <c r="Q8" s="89">
        <v>0</v>
      </c>
      <c r="R8" s="89">
        <v>0</v>
      </c>
      <c r="S8" s="121">
        <v>0</v>
      </c>
      <c r="T8" s="89" t="s">
        <v>1483</v>
      </c>
      <c r="U8" s="89">
        <f>3600+9000</f>
        <v>12600</v>
      </c>
      <c r="V8" s="121">
        <f>3550+9000</f>
        <v>12550</v>
      </c>
      <c r="W8" s="89" t="s">
        <v>2629</v>
      </c>
      <c r="X8" s="89">
        <f>1500+3000+1500+1500</f>
        <v>7500</v>
      </c>
      <c r="Y8" s="121">
        <f>1500+3000+1500+1500</f>
        <v>7500</v>
      </c>
      <c r="Z8" s="89"/>
      <c r="AA8" s="89"/>
      <c r="AB8" s="121">
        <f>M8+P8+S8+V8+Y8</f>
        <v>20050</v>
      </c>
      <c r="AC8" s="434" t="s">
        <v>570</v>
      </c>
      <c r="AD8" s="83"/>
    </row>
    <row r="9" spans="1:30" x14ac:dyDescent="0.3">
      <c r="A9" s="82">
        <v>5</v>
      </c>
      <c r="B9" s="18" t="s">
        <v>280</v>
      </c>
      <c r="C9" s="307" t="s">
        <v>1452</v>
      </c>
      <c r="D9" s="9" t="s">
        <v>144</v>
      </c>
      <c r="E9" s="9" t="s">
        <v>2244</v>
      </c>
      <c r="F9" s="82" t="s">
        <v>141</v>
      </c>
      <c r="G9" s="82" t="s">
        <v>641</v>
      </c>
      <c r="H9" s="82" t="s">
        <v>2497</v>
      </c>
      <c r="I9" s="82" t="s">
        <v>301</v>
      </c>
      <c r="J9" s="83" t="s">
        <v>201</v>
      </c>
      <c r="K9" s="270">
        <v>0</v>
      </c>
      <c r="L9" s="89">
        <v>0</v>
      </c>
      <c r="M9" s="121">
        <v>0</v>
      </c>
      <c r="N9" s="89">
        <v>0</v>
      </c>
      <c r="O9" s="89">
        <v>0</v>
      </c>
      <c r="P9" s="121">
        <v>0</v>
      </c>
      <c r="Q9" s="89" t="s">
        <v>1064</v>
      </c>
      <c r="R9" s="89">
        <f>3300+4800+1200+2450+2400</f>
        <v>14150</v>
      </c>
      <c r="S9" s="121">
        <f>3250+4800+1200+2450+2400</f>
        <v>14100</v>
      </c>
      <c r="T9" s="89">
        <v>0</v>
      </c>
      <c r="U9" s="89">
        <v>0</v>
      </c>
      <c r="V9" s="121">
        <v>0</v>
      </c>
      <c r="W9" s="89" t="s">
        <v>2628</v>
      </c>
      <c r="X9" s="89">
        <v>6000</v>
      </c>
      <c r="Y9" s="121"/>
      <c r="Z9" s="89"/>
      <c r="AA9" s="89"/>
      <c r="AB9" s="121">
        <f t="shared" ref="AB9:AB18" si="1">M9+P9+S9+V9+Y9</f>
        <v>14100</v>
      </c>
      <c r="AC9" s="433" t="s">
        <v>570</v>
      </c>
      <c r="AD9" s="89" t="s">
        <v>1065</v>
      </c>
    </row>
    <row r="10" spans="1:30" x14ac:dyDescent="0.3">
      <c r="A10" s="82">
        <v>6</v>
      </c>
      <c r="B10" s="18" t="s">
        <v>281</v>
      </c>
      <c r="C10" s="307" t="s">
        <v>1453</v>
      </c>
      <c r="D10" s="9" t="s">
        <v>145</v>
      </c>
      <c r="E10" s="9" t="s">
        <v>2245</v>
      </c>
      <c r="F10" s="82" t="s">
        <v>141</v>
      </c>
      <c r="G10" s="82" t="s">
        <v>640</v>
      </c>
      <c r="H10" s="82" t="s">
        <v>2378</v>
      </c>
      <c r="I10" s="82" t="s">
        <v>300</v>
      </c>
      <c r="J10" s="83" t="s">
        <v>202</v>
      </c>
      <c r="K10" s="270">
        <v>0</v>
      </c>
      <c r="L10" s="89">
        <v>0</v>
      </c>
      <c r="M10" s="121">
        <v>0</v>
      </c>
      <c r="N10" s="89" t="s">
        <v>1466</v>
      </c>
      <c r="O10" s="89">
        <v>5720</v>
      </c>
      <c r="P10" s="121">
        <v>5620</v>
      </c>
      <c r="Q10" s="89" t="s">
        <v>1467</v>
      </c>
      <c r="R10" s="89">
        <f>2200+1300</f>
        <v>3500</v>
      </c>
      <c r="S10" s="121">
        <f>1250</f>
        <v>1250</v>
      </c>
      <c r="T10" s="89">
        <v>0</v>
      </c>
      <c r="U10" s="89">
        <v>0</v>
      </c>
      <c r="V10" s="121">
        <v>0</v>
      </c>
      <c r="W10" s="89" t="s">
        <v>2627</v>
      </c>
      <c r="X10" s="89">
        <f>1250+1250+1250</f>
        <v>3750</v>
      </c>
      <c r="Y10" s="121">
        <f>1250+1250+1250</f>
        <v>3750</v>
      </c>
      <c r="Z10" s="89"/>
      <c r="AA10" s="89"/>
      <c r="AB10" s="121">
        <f t="shared" si="1"/>
        <v>10620</v>
      </c>
      <c r="AC10" s="434" t="s">
        <v>570</v>
      </c>
      <c r="AD10" s="83"/>
    </row>
    <row r="11" spans="1:30" s="27" customFormat="1" x14ac:dyDescent="0.3">
      <c r="A11" s="82">
        <v>7</v>
      </c>
      <c r="B11" s="26" t="s">
        <v>282</v>
      </c>
      <c r="C11" s="309" t="s">
        <v>1454</v>
      </c>
      <c r="D11" s="310" t="s">
        <v>146</v>
      </c>
      <c r="E11" s="310" t="s">
        <v>2246</v>
      </c>
      <c r="F11" s="12" t="s">
        <v>141</v>
      </c>
      <c r="G11" s="12" t="s">
        <v>640</v>
      </c>
      <c r="H11" s="12" t="s">
        <v>2625</v>
      </c>
      <c r="I11" s="12" t="s">
        <v>301</v>
      </c>
      <c r="J11" s="40" t="s">
        <v>200</v>
      </c>
      <c r="K11" s="432">
        <v>0</v>
      </c>
      <c r="L11" s="75">
        <v>0</v>
      </c>
      <c r="M11" s="122">
        <v>0</v>
      </c>
      <c r="N11" s="75" t="s">
        <v>1468</v>
      </c>
      <c r="O11" s="75">
        <f>1020+750+750</f>
        <v>2520</v>
      </c>
      <c r="P11" s="122">
        <f>970+700+700</f>
        <v>2370</v>
      </c>
      <c r="Q11" s="75" t="s">
        <v>1469</v>
      </c>
      <c r="R11" s="75">
        <f>750+750</f>
        <v>1500</v>
      </c>
      <c r="S11" s="122"/>
      <c r="T11" s="75"/>
      <c r="U11" s="75"/>
      <c r="V11" s="122"/>
      <c r="W11" s="75"/>
      <c r="X11" s="75"/>
      <c r="Y11" s="122"/>
      <c r="Z11" s="75"/>
      <c r="AA11" s="75"/>
      <c r="AB11" s="121">
        <f t="shared" si="1"/>
        <v>2370</v>
      </c>
      <c r="AC11" s="435" t="s">
        <v>570</v>
      </c>
      <c r="AD11" s="83" t="s">
        <v>2626</v>
      </c>
    </row>
    <row r="12" spans="1:30" s="119" customFormat="1" x14ac:dyDescent="0.3">
      <c r="A12" s="53">
        <v>8</v>
      </c>
      <c r="B12" s="65" t="s">
        <v>283</v>
      </c>
      <c r="C12" s="496" t="s">
        <v>1455</v>
      </c>
      <c r="D12" s="381" t="s">
        <v>147</v>
      </c>
      <c r="E12" s="381" t="s">
        <v>2247</v>
      </c>
      <c r="F12" s="66" t="s">
        <v>141</v>
      </c>
      <c r="G12" s="66" t="s">
        <v>640</v>
      </c>
      <c r="H12" s="66" t="s">
        <v>2378</v>
      </c>
      <c r="I12" s="66" t="s">
        <v>301</v>
      </c>
      <c r="J12" s="67" t="s">
        <v>2996</v>
      </c>
      <c r="K12" s="614">
        <v>0</v>
      </c>
      <c r="L12" s="117">
        <v>0</v>
      </c>
      <c r="M12" s="123">
        <v>0</v>
      </c>
      <c r="N12" s="117" t="s">
        <v>1470</v>
      </c>
      <c r="O12" s="117">
        <v>5520</v>
      </c>
      <c r="P12" s="123">
        <v>5420</v>
      </c>
      <c r="Q12" s="117" t="s">
        <v>1471</v>
      </c>
      <c r="R12" s="117">
        <f>2000+1100</f>
        <v>3100</v>
      </c>
      <c r="S12" s="123"/>
      <c r="T12" s="117">
        <v>0</v>
      </c>
      <c r="U12" s="117">
        <v>0</v>
      </c>
      <c r="V12" s="123">
        <v>0</v>
      </c>
      <c r="W12" s="117" t="s">
        <v>1472</v>
      </c>
      <c r="X12" s="117">
        <v>1050</v>
      </c>
      <c r="Y12" s="123"/>
      <c r="Z12" s="117"/>
      <c r="AA12" s="117"/>
      <c r="AB12" s="123">
        <f t="shared" si="1"/>
        <v>5420</v>
      </c>
      <c r="AC12" s="615" t="s">
        <v>570</v>
      </c>
      <c r="AD12" s="151"/>
    </row>
    <row r="13" spans="1:30" x14ac:dyDescent="0.3">
      <c r="A13" s="82">
        <v>9</v>
      </c>
      <c r="B13" s="18" t="s">
        <v>284</v>
      </c>
      <c r="C13" s="307" t="s">
        <v>1456</v>
      </c>
      <c r="D13" s="9" t="s">
        <v>149</v>
      </c>
      <c r="E13" s="9" t="s">
        <v>2248</v>
      </c>
      <c r="F13" s="82" t="s">
        <v>141</v>
      </c>
      <c r="G13" s="82" t="s">
        <v>640</v>
      </c>
      <c r="H13" s="82" t="s">
        <v>2378</v>
      </c>
      <c r="I13" s="82" t="s">
        <v>300</v>
      </c>
      <c r="J13" s="83" t="s">
        <v>2624</v>
      </c>
      <c r="K13" s="270">
        <v>0</v>
      </c>
      <c r="L13" s="89">
        <v>0</v>
      </c>
      <c r="M13" s="121">
        <v>0</v>
      </c>
      <c r="N13" s="89">
        <v>0</v>
      </c>
      <c r="O13" s="89">
        <v>0</v>
      </c>
      <c r="P13" s="121">
        <v>0</v>
      </c>
      <c r="Q13" s="89" t="s">
        <v>1473</v>
      </c>
      <c r="R13" s="89">
        <f>1520+1250+1250+1250</f>
        <v>5270</v>
      </c>
      <c r="S13" s="121">
        <f>1200</f>
        <v>1200</v>
      </c>
      <c r="T13" s="89">
        <v>0</v>
      </c>
      <c r="U13" s="89">
        <v>0</v>
      </c>
      <c r="V13" s="121">
        <v>0</v>
      </c>
      <c r="W13" s="89"/>
      <c r="X13" s="89"/>
      <c r="Y13" s="121"/>
      <c r="Z13" s="89"/>
      <c r="AA13" s="89"/>
      <c r="AB13" s="121">
        <f t="shared" si="1"/>
        <v>1200</v>
      </c>
      <c r="AC13" s="434"/>
      <c r="AD13" s="83"/>
    </row>
    <row r="14" spans="1:30" x14ac:dyDescent="0.3">
      <c r="A14" s="82">
        <v>10</v>
      </c>
      <c r="B14" s="18" t="s">
        <v>1260</v>
      </c>
      <c r="C14" s="307" t="s">
        <v>1457</v>
      </c>
      <c r="D14" s="9" t="s">
        <v>140</v>
      </c>
      <c r="E14" s="9" t="s">
        <v>2249</v>
      </c>
      <c r="F14" s="82" t="s">
        <v>141</v>
      </c>
      <c r="G14" s="82" t="s">
        <v>640</v>
      </c>
      <c r="H14" s="82" t="s">
        <v>2562</v>
      </c>
      <c r="I14" s="82" t="s">
        <v>301</v>
      </c>
      <c r="J14" s="83" t="s">
        <v>142</v>
      </c>
      <c r="K14" s="270">
        <v>0</v>
      </c>
      <c r="L14" s="89">
        <v>0</v>
      </c>
      <c r="M14" s="121">
        <v>0</v>
      </c>
      <c r="N14" s="89">
        <v>0</v>
      </c>
      <c r="O14" s="89">
        <v>0</v>
      </c>
      <c r="P14" s="121">
        <v>0</v>
      </c>
      <c r="Q14" s="89" t="s">
        <v>1474</v>
      </c>
      <c r="R14" s="89">
        <f>1050+1050+1050</f>
        <v>3150</v>
      </c>
      <c r="S14" s="121">
        <f>1000+1000+1000</f>
        <v>3000</v>
      </c>
      <c r="T14" s="89">
        <v>0</v>
      </c>
      <c r="U14" s="89">
        <v>0</v>
      </c>
      <c r="V14" s="121">
        <v>0</v>
      </c>
      <c r="W14" s="89"/>
      <c r="X14" s="89"/>
      <c r="Y14" s="121"/>
      <c r="Z14" s="89"/>
      <c r="AA14" s="89"/>
      <c r="AB14" s="121">
        <f t="shared" si="1"/>
        <v>3000</v>
      </c>
      <c r="AC14" s="434"/>
      <c r="AD14" s="83"/>
    </row>
    <row r="15" spans="1:30" x14ac:dyDescent="0.3">
      <c r="A15" s="82">
        <v>11</v>
      </c>
      <c r="B15" s="18" t="s">
        <v>285</v>
      </c>
      <c r="C15" s="307" t="s">
        <v>1458</v>
      </c>
      <c r="D15" s="9" t="s">
        <v>150</v>
      </c>
      <c r="E15" s="9" t="s">
        <v>2250</v>
      </c>
      <c r="F15" s="82" t="s">
        <v>141</v>
      </c>
      <c r="G15" s="82" t="s">
        <v>640</v>
      </c>
      <c r="H15" s="82" t="s">
        <v>2378</v>
      </c>
      <c r="I15" s="82" t="s">
        <v>301</v>
      </c>
      <c r="J15" s="83" t="s">
        <v>148</v>
      </c>
      <c r="K15" s="270">
        <v>0</v>
      </c>
      <c r="L15" s="89">
        <v>0</v>
      </c>
      <c r="M15" s="121">
        <v>0</v>
      </c>
      <c r="N15" s="89" t="s">
        <v>1475</v>
      </c>
      <c r="O15" s="89">
        <v>5520</v>
      </c>
      <c r="P15" s="121">
        <v>5420</v>
      </c>
      <c r="Q15" s="89" t="s">
        <v>1476</v>
      </c>
      <c r="R15" s="89">
        <f>2000+1100</f>
        <v>3100</v>
      </c>
      <c r="S15" s="121">
        <f>1150</f>
        <v>1150</v>
      </c>
      <c r="T15" s="89">
        <v>0</v>
      </c>
      <c r="U15" s="89">
        <v>0</v>
      </c>
      <c r="V15" s="121">
        <v>0</v>
      </c>
      <c r="W15" s="89"/>
      <c r="X15" s="89"/>
      <c r="Y15" s="121"/>
      <c r="Z15" s="89"/>
      <c r="AA15" s="89"/>
      <c r="AB15" s="121">
        <f t="shared" si="1"/>
        <v>6570</v>
      </c>
      <c r="AC15" s="434"/>
      <c r="AD15" s="83"/>
    </row>
    <row r="16" spans="1:30" x14ac:dyDescent="0.3">
      <c r="A16" s="82">
        <v>12</v>
      </c>
      <c r="B16" s="18" t="s">
        <v>286</v>
      </c>
      <c r="C16" s="307" t="s">
        <v>1459</v>
      </c>
      <c r="D16" s="82" t="s">
        <v>151</v>
      </c>
      <c r="E16" s="82" t="s">
        <v>2251</v>
      </c>
      <c r="F16" s="82" t="s">
        <v>141</v>
      </c>
      <c r="G16" s="82" t="s">
        <v>640</v>
      </c>
      <c r="H16" s="82" t="s">
        <v>2566</v>
      </c>
      <c r="I16" s="82" t="s">
        <v>300</v>
      </c>
      <c r="J16" s="83" t="s">
        <v>203</v>
      </c>
      <c r="K16" s="270" t="s">
        <v>1477</v>
      </c>
      <c r="L16" s="89">
        <f>665+665+665+665+665</f>
        <v>3325</v>
      </c>
      <c r="M16" s="121">
        <f>665+640+665+640+640</f>
        <v>3250</v>
      </c>
      <c r="N16" s="89" t="s">
        <v>1478</v>
      </c>
      <c r="O16" s="89">
        <f>665+665+665</f>
        <v>1995</v>
      </c>
      <c r="P16" s="121">
        <f>610+610+665</f>
        <v>1885</v>
      </c>
      <c r="Q16" s="89">
        <v>0</v>
      </c>
      <c r="R16" s="89">
        <v>0</v>
      </c>
      <c r="S16" s="121">
        <v>0</v>
      </c>
      <c r="T16" s="89">
        <v>0</v>
      </c>
      <c r="U16" s="89">
        <v>0</v>
      </c>
      <c r="V16" s="121">
        <v>0</v>
      </c>
      <c r="W16" s="89" t="s">
        <v>2565</v>
      </c>
      <c r="X16" s="89">
        <v>610</v>
      </c>
      <c r="Y16" s="121"/>
      <c r="Z16" s="89"/>
      <c r="AA16" s="89"/>
      <c r="AB16" s="121">
        <f t="shared" si="1"/>
        <v>5135</v>
      </c>
      <c r="AC16" s="434" t="s">
        <v>570</v>
      </c>
      <c r="AD16" s="83" t="s">
        <v>2622</v>
      </c>
    </row>
    <row r="17" spans="1:30" x14ac:dyDescent="0.3">
      <c r="A17" s="82">
        <v>13</v>
      </c>
      <c r="B17" s="18" t="s">
        <v>287</v>
      </c>
      <c r="C17" s="307" t="s">
        <v>1460</v>
      </c>
      <c r="D17" s="9" t="s">
        <v>152</v>
      </c>
      <c r="E17" s="9" t="s">
        <v>2252</v>
      </c>
      <c r="F17" s="82" t="s">
        <v>141</v>
      </c>
      <c r="G17" s="82" t="s">
        <v>641</v>
      </c>
      <c r="H17" s="82" t="s">
        <v>2562</v>
      </c>
      <c r="I17" s="82" t="s">
        <v>301</v>
      </c>
      <c r="J17" s="83" t="s">
        <v>204</v>
      </c>
      <c r="K17" s="270">
        <v>0</v>
      </c>
      <c r="L17" s="89">
        <v>0</v>
      </c>
      <c r="M17" s="121">
        <v>0</v>
      </c>
      <c r="N17" s="89">
        <v>0</v>
      </c>
      <c r="O17" s="89">
        <v>0</v>
      </c>
      <c r="P17" s="121">
        <v>0</v>
      </c>
      <c r="Q17" s="89" t="s">
        <v>1479</v>
      </c>
      <c r="R17" s="89">
        <f>4800+2700+2700</f>
        <v>10200</v>
      </c>
      <c r="S17" s="121">
        <f>4750+2700+2700</f>
        <v>10150</v>
      </c>
      <c r="T17" s="89" t="s">
        <v>1480</v>
      </c>
      <c r="U17" s="89">
        <f>1350+400</f>
        <v>1750</v>
      </c>
      <c r="V17" s="121">
        <f>1350+400</f>
        <v>1750</v>
      </c>
      <c r="W17" s="89" t="s">
        <v>2564</v>
      </c>
      <c r="X17" s="89">
        <f>1350+1350+1350+1350+1350+2700+1350</f>
        <v>10800</v>
      </c>
      <c r="Y17" s="121"/>
      <c r="Z17" s="89"/>
      <c r="AA17" s="89"/>
      <c r="AB17" s="121">
        <f t="shared" si="1"/>
        <v>11900</v>
      </c>
      <c r="AC17" s="434"/>
      <c r="AD17" s="83" t="s">
        <v>2504</v>
      </c>
    </row>
    <row r="18" spans="1:30" x14ac:dyDescent="0.3">
      <c r="A18" s="82">
        <v>14</v>
      </c>
      <c r="B18" s="166" t="s">
        <v>567</v>
      </c>
      <c r="C18" s="308" t="s">
        <v>1461</v>
      </c>
      <c r="D18" s="271" t="s">
        <v>153</v>
      </c>
      <c r="E18" s="271" t="s">
        <v>2253</v>
      </c>
      <c r="F18" s="167" t="s">
        <v>141</v>
      </c>
      <c r="G18" s="64" t="s">
        <v>640</v>
      </c>
      <c r="H18" s="167"/>
      <c r="I18" s="167" t="s">
        <v>301</v>
      </c>
      <c r="J18" s="272">
        <v>2013</v>
      </c>
      <c r="K18" s="270">
        <v>0</v>
      </c>
      <c r="L18" s="89">
        <v>0</v>
      </c>
      <c r="M18" s="121">
        <v>0</v>
      </c>
      <c r="N18" s="89">
        <v>0</v>
      </c>
      <c r="O18" s="89">
        <v>0</v>
      </c>
      <c r="P18" s="121">
        <v>0</v>
      </c>
      <c r="Q18" s="89" t="s">
        <v>1481</v>
      </c>
      <c r="R18" s="89">
        <f>1720+1450</f>
        <v>3170</v>
      </c>
      <c r="S18" s="121"/>
      <c r="T18" s="89"/>
      <c r="U18" s="89"/>
      <c r="V18" s="121"/>
      <c r="W18" s="89"/>
      <c r="X18" s="89"/>
      <c r="Y18" s="121"/>
      <c r="Z18" s="89"/>
      <c r="AA18" s="89"/>
      <c r="AB18" s="121">
        <f t="shared" si="1"/>
        <v>0</v>
      </c>
      <c r="AC18" s="434" t="s">
        <v>2623</v>
      </c>
      <c r="AD18" s="83" t="s">
        <v>376</v>
      </c>
    </row>
    <row r="19" spans="1:30" x14ac:dyDescent="0.3">
      <c r="A19" s="82">
        <v>15</v>
      </c>
      <c r="B19" s="83" t="s">
        <v>2929</v>
      </c>
      <c r="C19" s="82" t="s">
        <v>2932</v>
      </c>
      <c r="D19" s="9" t="s">
        <v>2931</v>
      </c>
      <c r="E19" s="82" t="s">
        <v>2930</v>
      </c>
      <c r="F19" s="82" t="s">
        <v>141</v>
      </c>
      <c r="G19" s="82" t="s">
        <v>640</v>
      </c>
      <c r="H19" s="82" t="s">
        <v>2378</v>
      </c>
      <c r="I19" s="82" t="s">
        <v>300</v>
      </c>
      <c r="J19" s="83" t="s">
        <v>2933</v>
      </c>
      <c r="K19" s="83"/>
      <c r="L19" s="83"/>
      <c r="M19" s="96"/>
      <c r="N19" s="83"/>
      <c r="O19" s="83"/>
      <c r="P19" s="96"/>
      <c r="Q19" s="83"/>
      <c r="R19" s="83"/>
      <c r="S19" s="96"/>
      <c r="T19" s="83"/>
      <c r="U19" s="83"/>
      <c r="V19" s="96"/>
      <c r="W19" s="83"/>
      <c r="X19" s="83"/>
      <c r="Y19" s="96"/>
      <c r="Z19" s="83"/>
      <c r="AA19" s="83"/>
      <c r="AB19" s="96"/>
      <c r="AC19" s="595"/>
      <c r="AD19" s="83"/>
    </row>
    <row r="23" spans="1:30" x14ac:dyDescent="0.3">
      <c r="B23" s="1" t="s">
        <v>842</v>
      </c>
    </row>
    <row r="24" spans="1:30" x14ac:dyDescent="0.3">
      <c r="B24" s="1" t="s">
        <v>843</v>
      </c>
    </row>
    <row r="25" spans="1:30" x14ac:dyDescent="0.3">
      <c r="B25" s="1" t="s">
        <v>844</v>
      </c>
    </row>
    <row r="26" spans="1:30" x14ac:dyDescent="0.3">
      <c r="B26" s="1" t="s">
        <v>845</v>
      </c>
    </row>
    <row r="27" spans="1:30" x14ac:dyDescent="0.3">
      <c r="B27" s="1" t="s">
        <v>846</v>
      </c>
    </row>
    <row r="28" spans="1:30" x14ac:dyDescent="0.3">
      <c r="B28" s="1" t="s">
        <v>847</v>
      </c>
    </row>
    <row r="29" spans="1:30" x14ac:dyDescent="0.3">
      <c r="G29" s="15" t="s">
        <v>645</v>
      </c>
    </row>
    <row r="30" spans="1:30" x14ac:dyDescent="0.3">
      <c r="B30" s="1" t="s">
        <v>848</v>
      </c>
    </row>
    <row r="31" spans="1:30" x14ac:dyDescent="0.3">
      <c r="B31" s="1" t="s">
        <v>849</v>
      </c>
    </row>
  </sheetData>
  <sortState ref="B5:F15">
    <sortCondition ref="B5"/>
  </sortState>
  <mergeCells count="13">
    <mergeCell ref="AA3:AA4"/>
    <mergeCell ref="AB3:AB4"/>
    <mergeCell ref="W3:X3"/>
    <mergeCell ref="W4:X4"/>
    <mergeCell ref="AC3:AD4"/>
    <mergeCell ref="K4:L4"/>
    <mergeCell ref="N4:O4"/>
    <mergeCell ref="Q4:R4"/>
    <mergeCell ref="T4:U4"/>
    <mergeCell ref="K3:L3"/>
    <mergeCell ref="N3:O3"/>
    <mergeCell ref="Q3:R3"/>
    <mergeCell ref="T3:U3"/>
  </mergeCells>
  <pageMargins left="0.7" right="0.7" top="0.75" bottom="0.75" header="0.3" footer="0.3"/>
  <pageSetup scale="54" fitToHeight="0" orientation="landscape" r:id="rId1"/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90" zoomScaleNormal="90" workbookViewId="0">
      <selection activeCell="L16" sqref="L16"/>
    </sheetView>
  </sheetViews>
  <sheetFormatPr defaultRowHeight="15.75" x14ac:dyDescent="0.25"/>
  <cols>
    <col min="1" max="1" width="5.5703125" style="194" customWidth="1"/>
    <col min="2" max="2" width="22.140625" style="194" bestFit="1" customWidth="1"/>
    <col min="3" max="3" width="9.5703125" style="194" bestFit="1" customWidth="1"/>
    <col min="4" max="4" width="15.140625" style="194" bestFit="1" customWidth="1"/>
    <col min="5" max="5" width="15.140625" style="194" customWidth="1"/>
    <col min="6" max="6" width="31.28515625" style="194" customWidth="1"/>
    <col min="7" max="7" width="18" style="194" bestFit="1" customWidth="1"/>
    <col min="8" max="8" width="27.140625" style="194" bestFit="1" customWidth="1"/>
    <col min="9" max="9" width="11.7109375" style="194" bestFit="1" customWidth="1"/>
    <col min="10" max="10" width="18.42578125" style="194" bestFit="1" customWidth="1"/>
    <col min="11" max="11" width="10.28515625" style="220" bestFit="1" customWidth="1"/>
    <col min="12" max="12" width="11.7109375" style="194" bestFit="1" customWidth="1"/>
    <col min="13" max="16384" width="9.140625" style="194"/>
  </cols>
  <sheetData>
    <row r="1" spans="1:10" x14ac:dyDescent="0.25">
      <c r="A1" s="192" t="s">
        <v>0</v>
      </c>
      <c r="B1" s="193"/>
      <c r="C1" s="193"/>
    </row>
    <row r="2" spans="1:10" x14ac:dyDescent="0.25">
      <c r="A2" s="192" t="s">
        <v>43</v>
      </c>
      <c r="B2" s="193"/>
      <c r="C2" s="193"/>
    </row>
    <row r="4" spans="1:10" x14ac:dyDescent="0.25">
      <c r="A4" s="195" t="s">
        <v>1</v>
      </c>
      <c r="B4" s="195" t="s">
        <v>2</v>
      </c>
      <c r="C4" s="195" t="s">
        <v>1502</v>
      </c>
      <c r="D4" s="196" t="s">
        <v>3</v>
      </c>
      <c r="E4" s="196" t="s">
        <v>1499</v>
      </c>
      <c r="F4" s="195" t="s">
        <v>4</v>
      </c>
      <c r="G4" s="195" t="s">
        <v>5</v>
      </c>
      <c r="H4" s="197" t="s">
        <v>6</v>
      </c>
    </row>
    <row r="5" spans="1:10" x14ac:dyDescent="0.25">
      <c r="A5" s="198">
        <v>1</v>
      </c>
      <c r="B5" s="199" t="s">
        <v>288</v>
      </c>
      <c r="C5" s="199" t="s">
        <v>2254</v>
      </c>
      <c r="D5" s="200" t="s">
        <v>134</v>
      </c>
      <c r="E5" s="200" t="s">
        <v>2255</v>
      </c>
      <c r="F5" s="201" t="s">
        <v>135</v>
      </c>
      <c r="G5" s="201" t="s">
        <v>302</v>
      </c>
      <c r="H5" s="202">
        <v>42259</v>
      </c>
      <c r="I5" s="203"/>
    </row>
    <row r="7" spans="1:10" x14ac:dyDescent="0.25">
      <c r="A7" s="195" t="s">
        <v>1</v>
      </c>
      <c r="B7" s="195" t="s">
        <v>2</v>
      </c>
      <c r="C7" s="195"/>
      <c r="D7" s="196" t="s">
        <v>3</v>
      </c>
      <c r="E7" s="196"/>
      <c r="F7" s="195" t="s">
        <v>4</v>
      </c>
      <c r="G7" s="195" t="s">
        <v>5</v>
      </c>
      <c r="H7" s="197" t="s">
        <v>1169</v>
      </c>
    </row>
    <row r="8" spans="1:10" x14ac:dyDescent="0.25">
      <c r="A8" s="198">
        <v>1</v>
      </c>
      <c r="B8" s="199" t="s">
        <v>288</v>
      </c>
      <c r="C8" s="199" t="s">
        <v>2254</v>
      </c>
      <c r="D8" s="200" t="s">
        <v>134</v>
      </c>
      <c r="E8" s="200" t="s">
        <v>2255</v>
      </c>
      <c r="F8" s="201" t="s">
        <v>135</v>
      </c>
      <c r="G8" s="201" t="s">
        <v>1168</v>
      </c>
      <c r="H8" s="202">
        <v>42248</v>
      </c>
    </row>
    <row r="10" spans="1:10" ht="47.25" x14ac:dyDescent="0.25">
      <c r="B10" s="204" t="s">
        <v>1017</v>
      </c>
      <c r="C10" s="204" t="s">
        <v>1018</v>
      </c>
      <c r="D10" s="205" t="s">
        <v>1019</v>
      </c>
      <c r="E10" s="205"/>
      <c r="F10" s="206" t="s">
        <v>1020</v>
      </c>
      <c r="G10" s="207">
        <v>3450</v>
      </c>
      <c r="H10" s="208" t="s">
        <v>1021</v>
      </c>
      <c r="I10" s="221">
        <v>3450</v>
      </c>
    </row>
    <row r="11" spans="1:10" ht="78.75" x14ac:dyDescent="0.25">
      <c r="B11" s="209" t="s">
        <v>1022</v>
      </c>
      <c r="C11" s="209" t="s">
        <v>1023</v>
      </c>
      <c r="D11" s="210" t="s">
        <v>1019</v>
      </c>
      <c r="E11" s="210"/>
      <c r="F11" s="211" t="s">
        <v>1024</v>
      </c>
      <c r="G11" s="212">
        <v>10800</v>
      </c>
      <c r="H11" s="213" t="s">
        <v>1027</v>
      </c>
      <c r="I11" s="222">
        <v>10800</v>
      </c>
      <c r="J11" s="194" t="s">
        <v>1028</v>
      </c>
    </row>
    <row r="12" spans="1:10" ht="78.75" x14ac:dyDescent="0.25">
      <c r="B12" s="214" t="s">
        <v>1025</v>
      </c>
      <c r="C12" s="204" t="s">
        <v>1026</v>
      </c>
      <c r="D12" s="215" t="s">
        <v>1019</v>
      </c>
      <c r="E12" s="215"/>
      <c r="F12" s="216" t="s">
        <v>1024</v>
      </c>
      <c r="G12" s="217">
        <v>8100</v>
      </c>
      <c r="H12" s="218" t="s">
        <v>1162</v>
      </c>
      <c r="I12" s="222">
        <v>8100</v>
      </c>
    </row>
    <row r="13" spans="1:10" x14ac:dyDescent="0.25">
      <c r="G13" s="219">
        <f>SUM(G10:G12)</f>
        <v>22350</v>
      </c>
      <c r="I13" s="222">
        <f>SUM(I10:I12)</f>
        <v>22350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3"/>
  <sheetViews>
    <sheetView view="pageBreakPreview" zoomScaleNormal="100" zoomScaleSheetLayoutView="100" workbookViewId="0">
      <selection activeCell="AE6" sqref="AE6"/>
    </sheetView>
  </sheetViews>
  <sheetFormatPr defaultRowHeight="16.5" x14ac:dyDescent="0.3"/>
  <cols>
    <col min="1" max="1" width="9.28515625" style="1" bestFit="1" customWidth="1"/>
    <col min="2" max="2" width="34.42578125" style="1" bestFit="1" customWidth="1"/>
    <col min="3" max="3" width="9.7109375" style="15" bestFit="1" customWidth="1"/>
    <col min="4" max="4" width="13.140625" style="1" bestFit="1" customWidth="1"/>
    <col min="5" max="5" width="11.28515625" style="1" bestFit="1" customWidth="1"/>
    <col min="6" max="6" width="14" style="1" bestFit="1" customWidth="1"/>
    <col min="7" max="7" width="10.42578125" style="1" bestFit="1" customWidth="1"/>
    <col min="8" max="8" width="36.140625" style="1" bestFit="1" customWidth="1"/>
    <col min="9" max="9" width="23" style="1" bestFit="1" customWidth="1"/>
    <col min="10" max="10" width="34" style="1" bestFit="1" customWidth="1"/>
    <col min="11" max="11" width="12.140625" style="15" bestFit="1" customWidth="1"/>
    <col min="12" max="12" width="9" style="78" bestFit="1" customWidth="1"/>
    <col min="13" max="13" width="11" style="120" bestFit="1" customWidth="1"/>
    <col min="14" max="14" width="12.140625" style="15" bestFit="1" customWidth="1"/>
    <col min="15" max="15" width="9" style="78" bestFit="1" customWidth="1"/>
    <col min="16" max="16" width="11" style="120" bestFit="1" customWidth="1"/>
    <col min="17" max="17" width="12.140625" style="15" bestFit="1" customWidth="1"/>
    <col min="18" max="18" width="9" style="78" bestFit="1" customWidth="1"/>
    <col min="19" max="19" width="11" style="120" bestFit="1" customWidth="1"/>
    <col min="20" max="20" width="12.140625" style="15" bestFit="1" customWidth="1"/>
    <col min="21" max="21" width="9" style="78" bestFit="1" customWidth="1"/>
    <col min="22" max="22" width="11" style="120" bestFit="1" customWidth="1"/>
    <col min="23" max="23" width="12.140625" style="15" bestFit="1" customWidth="1"/>
    <col min="24" max="24" width="9" style="351" bestFit="1" customWidth="1"/>
    <col min="25" max="25" width="11" style="120" bestFit="1" customWidth="1"/>
    <col min="26" max="26" width="12.140625" style="1" bestFit="1" customWidth="1"/>
    <col min="27" max="27" width="9" style="78" bestFit="1" customWidth="1"/>
    <col min="28" max="28" width="13.140625" style="289" bestFit="1" customWidth="1"/>
    <col min="29" max="29" width="12.140625" style="15" bestFit="1" customWidth="1"/>
    <col min="30" max="30" width="9" style="78" bestFit="1" customWidth="1"/>
    <col min="31" max="31" width="11" style="120" bestFit="1" customWidth="1"/>
    <col min="32" max="32" width="12.140625" style="1" bestFit="1" customWidth="1"/>
    <col min="33" max="33" width="9" style="1" bestFit="1" customWidth="1"/>
    <col min="34" max="34" width="11" style="120" bestFit="1" customWidth="1"/>
    <col min="35" max="35" width="36.28515625" style="1" bestFit="1" customWidth="1"/>
    <col min="36" max="36" width="23.5703125" style="1" bestFit="1" customWidth="1"/>
    <col min="37" max="16384" width="9.140625" style="1"/>
  </cols>
  <sheetData>
    <row r="1" spans="1:36" x14ac:dyDescent="0.3">
      <c r="A1" s="4" t="s">
        <v>0</v>
      </c>
      <c r="B1" s="5"/>
      <c r="C1" s="306"/>
    </row>
    <row r="2" spans="1:36" x14ac:dyDescent="0.3">
      <c r="A2" s="4" t="s">
        <v>43</v>
      </c>
      <c r="B2" s="5"/>
      <c r="C2" s="306"/>
    </row>
    <row r="3" spans="1:36" x14ac:dyDescent="0.3">
      <c r="A3" s="43" t="s">
        <v>542</v>
      </c>
      <c r="K3" s="646" t="s">
        <v>521</v>
      </c>
      <c r="L3" s="647"/>
      <c r="M3" s="238" t="s">
        <v>937</v>
      </c>
      <c r="N3" s="646" t="s">
        <v>521</v>
      </c>
      <c r="O3" s="647"/>
      <c r="P3" s="238" t="s">
        <v>937</v>
      </c>
      <c r="Q3" s="646" t="s">
        <v>521</v>
      </c>
      <c r="R3" s="647"/>
      <c r="S3" s="238" t="s">
        <v>937</v>
      </c>
      <c r="T3" s="646" t="s">
        <v>521</v>
      </c>
      <c r="U3" s="647"/>
      <c r="V3" s="238" t="s">
        <v>937</v>
      </c>
      <c r="W3" s="646" t="s">
        <v>521</v>
      </c>
      <c r="X3" s="647"/>
      <c r="Y3" s="238" t="s">
        <v>937</v>
      </c>
      <c r="Z3" s="687" t="s">
        <v>521</v>
      </c>
      <c r="AA3" s="687"/>
      <c r="AB3" s="478" t="s">
        <v>937</v>
      </c>
      <c r="AC3" s="687" t="s">
        <v>521</v>
      </c>
      <c r="AD3" s="687"/>
      <c r="AE3" s="478" t="s">
        <v>937</v>
      </c>
      <c r="AF3" s="688" t="s">
        <v>521</v>
      </c>
      <c r="AG3" s="689"/>
      <c r="AH3" s="259" t="s">
        <v>937</v>
      </c>
    </row>
    <row r="4" spans="1:36" x14ac:dyDescent="0.3">
      <c r="A4" s="2" t="s">
        <v>1</v>
      </c>
      <c r="B4" s="2" t="s">
        <v>2</v>
      </c>
      <c r="C4" s="2" t="s">
        <v>1502</v>
      </c>
      <c r="D4" s="3" t="s">
        <v>3</v>
      </c>
      <c r="E4" s="3" t="s">
        <v>1499</v>
      </c>
      <c r="F4" s="2" t="s">
        <v>371</v>
      </c>
      <c r="G4" s="2" t="s">
        <v>5</v>
      </c>
      <c r="H4" s="7" t="s">
        <v>6</v>
      </c>
      <c r="I4" s="7" t="s">
        <v>539</v>
      </c>
      <c r="J4" s="57" t="s">
        <v>543</v>
      </c>
      <c r="K4" s="334" t="s">
        <v>936</v>
      </c>
      <c r="L4" s="347" t="s">
        <v>525</v>
      </c>
      <c r="M4" s="478" t="s">
        <v>525</v>
      </c>
      <c r="N4" s="349" t="s">
        <v>936</v>
      </c>
      <c r="O4" s="347" t="s">
        <v>525</v>
      </c>
      <c r="P4" s="478" t="s">
        <v>525</v>
      </c>
      <c r="Q4" s="349" t="s">
        <v>936</v>
      </c>
      <c r="R4" s="347" t="s">
        <v>525</v>
      </c>
      <c r="S4" s="478" t="s">
        <v>525</v>
      </c>
      <c r="T4" s="349" t="s">
        <v>936</v>
      </c>
      <c r="U4" s="347" t="s">
        <v>525</v>
      </c>
      <c r="V4" s="478" t="s">
        <v>525</v>
      </c>
      <c r="W4" s="349" t="s">
        <v>936</v>
      </c>
      <c r="X4" s="347" t="s">
        <v>525</v>
      </c>
      <c r="Y4" s="478" t="s">
        <v>525</v>
      </c>
      <c r="Z4" s="258" t="s">
        <v>936</v>
      </c>
      <c r="AA4" s="347" t="s">
        <v>525</v>
      </c>
      <c r="AB4" s="478" t="s">
        <v>525</v>
      </c>
      <c r="AC4" s="349" t="s">
        <v>936</v>
      </c>
      <c r="AD4" s="347" t="s">
        <v>525</v>
      </c>
      <c r="AE4" s="478" t="s">
        <v>525</v>
      </c>
      <c r="AF4" s="51" t="s">
        <v>936</v>
      </c>
      <c r="AG4" s="259" t="s">
        <v>525</v>
      </c>
      <c r="AH4" s="259" t="s">
        <v>525</v>
      </c>
    </row>
    <row r="5" spans="1:36" s="119" customFormat="1" x14ac:dyDescent="0.3">
      <c r="A5" s="66">
        <v>1</v>
      </c>
      <c r="B5" s="151" t="s">
        <v>173</v>
      </c>
      <c r="C5" s="66" t="s">
        <v>2256</v>
      </c>
      <c r="D5" s="381" t="s">
        <v>174</v>
      </c>
      <c r="E5" s="381" t="s">
        <v>2257</v>
      </c>
      <c r="F5" s="237" t="s">
        <v>372</v>
      </c>
      <c r="G5" s="66" t="s">
        <v>300</v>
      </c>
      <c r="H5" s="67" t="s">
        <v>175</v>
      </c>
      <c r="I5" s="151" t="s">
        <v>547</v>
      </c>
      <c r="J5" s="151" t="s">
        <v>548</v>
      </c>
      <c r="K5" s="66" t="s">
        <v>2988</v>
      </c>
      <c r="L5" s="382">
        <v>1495</v>
      </c>
      <c r="M5" s="123">
        <v>1495</v>
      </c>
      <c r="N5" s="66" t="s">
        <v>2989</v>
      </c>
      <c r="O5" s="117">
        <v>1105</v>
      </c>
      <c r="P5" s="123">
        <v>1105</v>
      </c>
      <c r="Q5" s="66" t="s">
        <v>2990</v>
      </c>
      <c r="R5" s="117">
        <v>1105</v>
      </c>
      <c r="S5" s="123">
        <v>1105</v>
      </c>
      <c r="T5" s="66" t="s">
        <v>2991</v>
      </c>
      <c r="U5" s="117">
        <v>1105</v>
      </c>
      <c r="V5" s="123">
        <v>1105</v>
      </c>
      <c r="W5" s="66" t="s">
        <v>2992</v>
      </c>
      <c r="X5" s="383">
        <v>1105</v>
      </c>
      <c r="Y5" s="123">
        <v>1105</v>
      </c>
      <c r="Z5" s="66" t="s">
        <v>2993</v>
      </c>
      <c r="AA5" s="117">
        <v>1105</v>
      </c>
      <c r="AB5" s="292">
        <v>1105</v>
      </c>
      <c r="AC5" s="66" t="s">
        <v>2994</v>
      </c>
      <c r="AD5" s="117">
        <v>1105</v>
      </c>
      <c r="AE5" s="123">
        <v>1105</v>
      </c>
      <c r="AF5" s="384" t="s">
        <v>2995</v>
      </c>
      <c r="AG5" s="382">
        <v>2105</v>
      </c>
      <c r="AH5" s="123">
        <v>2105</v>
      </c>
      <c r="AI5" s="119" t="s">
        <v>1217</v>
      </c>
      <c r="AJ5" s="119" t="s">
        <v>590</v>
      </c>
    </row>
    <row r="6" spans="1:36" s="119" customFormat="1" x14ac:dyDescent="0.3">
      <c r="A6" s="66">
        <v>2</v>
      </c>
      <c r="B6" s="151" t="s">
        <v>156</v>
      </c>
      <c r="C6" s="66" t="s">
        <v>2258</v>
      </c>
      <c r="D6" s="381" t="s">
        <v>157</v>
      </c>
      <c r="E6" s="381" t="s">
        <v>2259</v>
      </c>
      <c r="F6" s="237" t="s">
        <v>372</v>
      </c>
      <c r="G6" s="66" t="s">
        <v>300</v>
      </c>
      <c r="H6" s="67" t="s">
        <v>158</v>
      </c>
      <c r="I6" s="151" t="s">
        <v>540</v>
      </c>
      <c r="J6" s="151" t="s">
        <v>538</v>
      </c>
      <c r="K6" s="66" t="s">
        <v>2337</v>
      </c>
      <c r="L6" s="382">
        <v>1495</v>
      </c>
      <c r="M6" s="123">
        <v>1495</v>
      </c>
      <c r="N6" s="66" t="s">
        <v>2338</v>
      </c>
      <c r="O6" s="117">
        <v>1105</v>
      </c>
      <c r="P6" s="123">
        <v>1105</v>
      </c>
      <c r="Q6" s="66" t="s">
        <v>2339</v>
      </c>
      <c r="R6" s="117">
        <v>1105</v>
      </c>
      <c r="S6" s="123">
        <v>1105</v>
      </c>
      <c r="T6" s="66" t="s">
        <v>2340</v>
      </c>
      <c r="U6" s="117">
        <v>1105</v>
      </c>
      <c r="V6" s="123"/>
      <c r="W6" s="66" t="s">
        <v>2341</v>
      </c>
      <c r="X6" s="383">
        <v>1105</v>
      </c>
      <c r="Y6" s="123">
        <v>1105</v>
      </c>
      <c r="Z6" s="151" t="s">
        <v>2342</v>
      </c>
      <c r="AA6" s="117">
        <v>1105</v>
      </c>
      <c r="AB6" s="292">
        <v>1080</v>
      </c>
      <c r="AC6" s="66" t="s">
        <v>2343</v>
      </c>
      <c r="AD6" s="117">
        <v>2105</v>
      </c>
      <c r="AE6" s="123">
        <v>2105</v>
      </c>
      <c r="AF6" s="151"/>
      <c r="AG6" s="151"/>
      <c r="AH6" s="123"/>
    </row>
    <row r="7" spans="1:36" x14ac:dyDescent="0.3">
      <c r="A7" s="12">
        <v>3</v>
      </c>
      <c r="B7" s="83" t="s">
        <v>160</v>
      </c>
      <c r="C7" s="82" t="s">
        <v>2260</v>
      </c>
      <c r="D7" s="9" t="s">
        <v>161</v>
      </c>
      <c r="E7" s="9" t="s">
        <v>2261</v>
      </c>
      <c r="F7" s="592" t="s">
        <v>372</v>
      </c>
      <c r="G7" s="82" t="s">
        <v>300</v>
      </c>
      <c r="H7" s="85" t="s">
        <v>158</v>
      </c>
      <c r="I7" s="82" t="s">
        <v>2684</v>
      </c>
      <c r="J7" s="83" t="s">
        <v>538</v>
      </c>
      <c r="K7" s="260" t="s">
        <v>2980</v>
      </c>
      <c r="L7" s="261">
        <v>1495</v>
      </c>
      <c r="M7" s="121">
        <v>1495</v>
      </c>
      <c r="N7" s="260" t="s">
        <v>2981</v>
      </c>
      <c r="O7" s="261">
        <v>1105</v>
      </c>
      <c r="P7" s="121">
        <v>1105</v>
      </c>
      <c r="Q7" s="260" t="s">
        <v>2982</v>
      </c>
      <c r="R7" s="261">
        <v>1105</v>
      </c>
      <c r="S7" s="121">
        <v>1105</v>
      </c>
      <c r="T7" s="262" t="s">
        <v>2983</v>
      </c>
      <c r="U7" s="350">
        <v>1105</v>
      </c>
      <c r="V7" s="121">
        <v>1105</v>
      </c>
      <c r="W7" s="260" t="s">
        <v>2984</v>
      </c>
      <c r="X7" s="350">
        <v>1105</v>
      </c>
      <c r="Y7" s="121">
        <v>1105</v>
      </c>
      <c r="Z7" s="263" t="s">
        <v>2985</v>
      </c>
      <c r="AA7" s="264">
        <v>1105</v>
      </c>
      <c r="AB7" s="355">
        <v>1080</v>
      </c>
      <c r="AC7" s="260" t="s">
        <v>2986</v>
      </c>
      <c r="AD7" s="261">
        <v>1105</v>
      </c>
      <c r="AE7" s="121">
        <v>1105</v>
      </c>
      <c r="AF7" s="251" t="s">
        <v>2987</v>
      </c>
      <c r="AG7" s="261">
        <v>1105</v>
      </c>
      <c r="AH7" s="121">
        <v>1105</v>
      </c>
    </row>
    <row r="8" spans="1:36" x14ac:dyDescent="0.3">
      <c r="A8" s="12">
        <v>4</v>
      </c>
      <c r="B8" s="18" t="s">
        <v>259</v>
      </c>
      <c r="C8" s="335" t="s">
        <v>2262</v>
      </c>
      <c r="D8" s="17" t="s">
        <v>298</v>
      </c>
      <c r="E8" s="17" t="s">
        <v>2263</v>
      </c>
      <c r="F8" s="592" t="s">
        <v>372</v>
      </c>
      <c r="G8" s="82" t="s">
        <v>300</v>
      </c>
      <c r="H8" s="85" t="s">
        <v>550</v>
      </c>
      <c r="I8" s="82" t="s">
        <v>2684</v>
      </c>
      <c r="J8" s="83" t="s">
        <v>541</v>
      </c>
      <c r="K8" s="82" t="s">
        <v>2344</v>
      </c>
      <c r="L8" s="261">
        <v>1120</v>
      </c>
      <c r="M8" s="121">
        <v>1120</v>
      </c>
      <c r="N8" s="82" t="s">
        <v>2345</v>
      </c>
      <c r="O8" s="89">
        <v>850</v>
      </c>
      <c r="P8" s="121">
        <v>850</v>
      </c>
      <c r="Q8" s="82" t="s">
        <v>2346</v>
      </c>
      <c r="R8" s="89">
        <v>850</v>
      </c>
      <c r="S8" s="121">
        <v>850</v>
      </c>
      <c r="T8" s="82" t="s">
        <v>2347</v>
      </c>
      <c r="U8" s="89">
        <v>850</v>
      </c>
      <c r="V8" s="121">
        <v>800</v>
      </c>
      <c r="W8" s="82" t="s">
        <v>2348</v>
      </c>
      <c r="X8" s="46">
        <v>850</v>
      </c>
      <c r="Y8" s="121">
        <v>850</v>
      </c>
      <c r="Z8" s="83" t="s">
        <v>2349</v>
      </c>
      <c r="AA8" s="89">
        <v>850</v>
      </c>
      <c r="AB8" s="290">
        <v>850</v>
      </c>
      <c r="AC8" s="82"/>
      <c r="AD8" s="89"/>
      <c r="AE8" s="121"/>
      <c r="AF8" s="83"/>
      <c r="AG8" s="83"/>
      <c r="AH8" s="121"/>
    </row>
    <row r="9" spans="1:36" x14ac:dyDescent="0.3">
      <c r="A9" s="12">
        <v>5</v>
      </c>
      <c r="B9" s="83" t="s">
        <v>374</v>
      </c>
      <c r="C9" s="82" t="s">
        <v>2266</v>
      </c>
      <c r="D9" s="9" t="s">
        <v>375</v>
      </c>
      <c r="E9" s="9" t="s">
        <v>2267</v>
      </c>
      <c r="F9" s="592" t="s">
        <v>372</v>
      </c>
      <c r="G9" s="82" t="s">
        <v>300</v>
      </c>
      <c r="H9" s="85" t="s">
        <v>536</v>
      </c>
      <c r="I9" s="85"/>
      <c r="J9" s="83" t="s">
        <v>537</v>
      </c>
      <c r="K9" s="82" t="s">
        <v>2352</v>
      </c>
      <c r="L9" s="261">
        <v>5720</v>
      </c>
      <c r="M9" s="121">
        <v>5720</v>
      </c>
      <c r="N9" s="82" t="s">
        <v>2353</v>
      </c>
      <c r="O9" s="89">
        <v>2200</v>
      </c>
      <c r="P9" s="121">
        <v>2200</v>
      </c>
      <c r="Q9" s="82" t="s">
        <v>2711</v>
      </c>
      <c r="R9" s="89">
        <v>1300</v>
      </c>
      <c r="S9" s="121">
        <v>1250</v>
      </c>
      <c r="T9" s="82" t="s">
        <v>2712</v>
      </c>
      <c r="U9" s="89">
        <v>1300</v>
      </c>
      <c r="V9" s="121">
        <v>1250</v>
      </c>
      <c r="W9" s="82" t="s">
        <v>2713</v>
      </c>
      <c r="X9" s="46">
        <v>1300</v>
      </c>
      <c r="Y9" s="121">
        <v>1250</v>
      </c>
      <c r="Z9" s="83"/>
      <c r="AA9" s="89"/>
      <c r="AB9" s="290"/>
      <c r="AC9" s="82"/>
      <c r="AD9" s="89"/>
      <c r="AE9" s="121"/>
      <c r="AF9" s="83"/>
      <c r="AG9" s="83"/>
      <c r="AH9" s="121"/>
    </row>
    <row r="10" spans="1:36" x14ac:dyDescent="0.3">
      <c r="A10" s="12">
        <v>6</v>
      </c>
      <c r="B10" s="83" t="s">
        <v>1045</v>
      </c>
      <c r="C10" s="82" t="s">
        <v>2268</v>
      </c>
      <c r="D10" s="9" t="s">
        <v>1046</v>
      </c>
      <c r="E10" s="9" t="s">
        <v>2269</v>
      </c>
      <c r="F10" s="592" t="s">
        <v>372</v>
      </c>
      <c r="G10" s="82" t="s">
        <v>300</v>
      </c>
      <c r="H10" s="85" t="s">
        <v>1573</v>
      </c>
      <c r="I10" s="83"/>
      <c r="J10" s="83" t="s">
        <v>548</v>
      </c>
      <c r="K10" s="82" t="s">
        <v>2714</v>
      </c>
      <c r="L10" s="261">
        <v>5720</v>
      </c>
      <c r="M10" s="121">
        <v>5670</v>
      </c>
      <c r="N10" s="82" t="s">
        <v>2715</v>
      </c>
      <c r="O10" s="89">
        <v>2200</v>
      </c>
      <c r="P10" s="121">
        <v>2150</v>
      </c>
      <c r="Q10" s="82" t="s">
        <v>2716</v>
      </c>
      <c r="R10" s="89">
        <v>1300</v>
      </c>
      <c r="S10" s="121">
        <v>1250</v>
      </c>
      <c r="T10" s="82"/>
      <c r="U10" s="89"/>
      <c r="V10" s="121"/>
      <c r="W10" s="82"/>
      <c r="X10" s="46"/>
      <c r="Y10" s="121"/>
      <c r="Z10" s="83"/>
      <c r="AA10" s="89"/>
      <c r="AB10" s="290"/>
      <c r="AC10" s="82"/>
      <c r="AD10" s="89"/>
      <c r="AE10" s="121"/>
      <c r="AF10" s="83"/>
      <c r="AG10" s="83"/>
      <c r="AH10" s="121"/>
    </row>
    <row r="11" spans="1:36" x14ac:dyDescent="0.3">
      <c r="A11" s="12">
        <v>7</v>
      </c>
      <c r="B11" s="83" t="s">
        <v>2925</v>
      </c>
      <c r="C11" s="82" t="s">
        <v>2928</v>
      </c>
      <c r="D11" s="137" t="s">
        <v>2927</v>
      </c>
      <c r="E11" s="9" t="s">
        <v>2926</v>
      </c>
      <c r="F11" s="592" t="s">
        <v>372</v>
      </c>
      <c r="G11" s="82" t="s">
        <v>300</v>
      </c>
      <c r="H11" s="85" t="s">
        <v>2924</v>
      </c>
      <c r="I11" s="83"/>
      <c r="J11" s="85" t="s">
        <v>0</v>
      </c>
      <c r="K11" s="261"/>
      <c r="L11" s="121"/>
      <c r="M11" s="82"/>
      <c r="N11" s="89"/>
      <c r="O11" s="121"/>
      <c r="P11" s="82"/>
      <c r="Q11" s="89"/>
      <c r="R11" s="121"/>
      <c r="S11" s="82"/>
      <c r="T11" s="89"/>
      <c r="U11" s="121"/>
      <c r="V11" s="82"/>
      <c r="W11" s="46"/>
      <c r="X11" s="121"/>
      <c r="Y11" s="83"/>
      <c r="Z11" s="89"/>
      <c r="AA11" s="290"/>
      <c r="AB11" s="82"/>
      <c r="AC11" s="89"/>
      <c r="AD11" s="121"/>
      <c r="AE11" s="83"/>
      <c r="AF11" s="83"/>
      <c r="AG11" s="121"/>
      <c r="AH11" s="83"/>
    </row>
    <row r="16" spans="1:36" x14ac:dyDescent="0.3">
      <c r="B16" s="1" t="s">
        <v>2685</v>
      </c>
      <c r="H16" s="1" t="s">
        <v>2973</v>
      </c>
    </row>
    <row r="17" spans="2:8" x14ac:dyDescent="0.3">
      <c r="B17" s="1" t="s">
        <v>2686</v>
      </c>
      <c r="H17" s="1" t="s">
        <v>2974</v>
      </c>
    </row>
    <row r="18" spans="2:8" x14ac:dyDescent="0.3">
      <c r="B18" s="1" t="s">
        <v>2687</v>
      </c>
      <c r="H18" s="1" t="s">
        <v>2687</v>
      </c>
    </row>
    <row r="19" spans="2:8" x14ac:dyDescent="0.3">
      <c r="B19" s="1" t="s">
        <v>2688</v>
      </c>
      <c r="H19" s="1" t="s">
        <v>2975</v>
      </c>
    </row>
    <row r="20" spans="2:8" x14ac:dyDescent="0.3">
      <c r="B20" s="1" t="s">
        <v>2689</v>
      </c>
      <c r="H20" s="1" t="s">
        <v>2976</v>
      </c>
    </row>
    <row r="21" spans="2:8" x14ac:dyDescent="0.3">
      <c r="B21" s="1" t="s">
        <v>2690</v>
      </c>
      <c r="H21" s="1" t="s">
        <v>2977</v>
      </c>
    </row>
    <row r="22" spans="2:8" x14ac:dyDescent="0.3">
      <c r="B22" s="1" t="s">
        <v>2691</v>
      </c>
      <c r="H22" s="1" t="s">
        <v>2978</v>
      </c>
    </row>
    <row r="23" spans="2:8" x14ac:dyDescent="0.3">
      <c r="H23" s="1" t="s">
        <v>2979</v>
      </c>
    </row>
  </sheetData>
  <sortState ref="B5:F8">
    <sortCondition ref="B5"/>
  </sortState>
  <mergeCells count="8">
    <mergeCell ref="AC3:AD3"/>
    <mergeCell ref="AF3:AG3"/>
    <mergeCell ref="K3:L3"/>
    <mergeCell ref="N3:O3"/>
    <mergeCell ref="Q3:R3"/>
    <mergeCell ref="T3:U3"/>
    <mergeCell ref="W3:X3"/>
    <mergeCell ref="Z3:AA3"/>
  </mergeCells>
  <pageMargins left="0.1" right="0.1" top="0.75" bottom="0.75" header="0.3" footer="0.3"/>
  <pageSetup scale="69" fitToHeight="0" orientation="landscape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7"/>
  <sheetViews>
    <sheetView view="pageBreakPreview" zoomScaleNormal="100" zoomScaleSheetLayoutView="100" workbookViewId="0">
      <selection activeCell="I11" sqref="I11"/>
    </sheetView>
  </sheetViews>
  <sheetFormatPr defaultRowHeight="16.5" x14ac:dyDescent="0.3"/>
  <cols>
    <col min="1" max="1" width="9.28515625" style="1" bestFit="1" customWidth="1"/>
    <col min="2" max="2" width="34.42578125" style="1" bestFit="1" customWidth="1"/>
    <col min="3" max="3" width="9.7109375" style="15" bestFit="1" customWidth="1"/>
    <col min="4" max="4" width="13.140625" style="1" bestFit="1" customWidth="1"/>
    <col min="5" max="5" width="11.28515625" style="1" bestFit="1" customWidth="1"/>
    <col min="6" max="6" width="14" style="1" bestFit="1" customWidth="1"/>
    <col min="7" max="7" width="10.42578125" style="1" bestFit="1" customWidth="1"/>
    <col min="8" max="8" width="36.140625" style="1" bestFit="1" customWidth="1"/>
    <col min="9" max="9" width="34" style="1" bestFit="1" customWidth="1"/>
    <col min="10" max="10" width="12.140625" style="15" bestFit="1" customWidth="1"/>
    <col min="11" max="11" width="9" style="78" bestFit="1" customWidth="1"/>
    <col min="12" max="12" width="11" style="120" bestFit="1" customWidth="1"/>
    <col min="13" max="13" width="12.140625" style="15" bestFit="1" customWidth="1"/>
    <col min="14" max="14" width="9" style="78" bestFit="1" customWidth="1"/>
    <col min="15" max="15" width="11" style="120" bestFit="1" customWidth="1"/>
    <col min="16" max="16" width="12.140625" style="15" bestFit="1" customWidth="1"/>
    <col min="17" max="17" width="9" style="78" bestFit="1" customWidth="1"/>
    <col min="18" max="18" width="11" style="120" bestFit="1" customWidth="1"/>
    <col min="19" max="19" width="12.140625" style="15" bestFit="1" customWidth="1"/>
    <col min="20" max="20" width="9" style="78" bestFit="1" customWidth="1"/>
    <col min="21" max="21" width="11" style="120" bestFit="1" customWidth="1"/>
    <col min="22" max="22" width="12.140625" style="15" bestFit="1" customWidth="1"/>
    <col min="23" max="23" width="9" style="351" bestFit="1" customWidth="1"/>
    <col min="24" max="24" width="11" style="120" bestFit="1" customWidth="1"/>
    <col min="25" max="25" width="12.140625" style="1" bestFit="1" customWidth="1"/>
    <col min="26" max="26" width="9" style="78" bestFit="1" customWidth="1"/>
    <col min="27" max="27" width="13.140625" style="289" bestFit="1" customWidth="1"/>
    <col min="28" max="28" width="12.140625" style="15" bestFit="1" customWidth="1"/>
    <col min="29" max="29" width="9" style="78" bestFit="1" customWidth="1"/>
    <col min="30" max="30" width="11" style="120" bestFit="1" customWidth="1"/>
    <col min="31" max="31" width="9.42578125" style="1" bestFit="1" customWidth="1"/>
    <col min="32" max="32" width="9" style="1" bestFit="1" customWidth="1"/>
    <col min="33" max="33" width="11" style="120" bestFit="1" customWidth="1"/>
    <col min="34" max="34" width="36.28515625" style="1" bestFit="1" customWidth="1"/>
    <col min="35" max="35" width="23.5703125" style="1" bestFit="1" customWidth="1"/>
    <col min="36" max="16384" width="9.140625" style="1"/>
  </cols>
  <sheetData>
    <row r="1" spans="1:35" x14ac:dyDescent="0.3">
      <c r="A1" s="4" t="s">
        <v>0</v>
      </c>
      <c r="B1" s="5"/>
      <c r="C1" s="306"/>
    </row>
    <row r="2" spans="1:35" x14ac:dyDescent="0.3">
      <c r="A2" s="4" t="s">
        <v>43</v>
      </c>
      <c r="B2" s="5"/>
      <c r="C2" s="306"/>
    </row>
    <row r="3" spans="1:35" x14ac:dyDescent="0.3">
      <c r="A3" s="43" t="s">
        <v>542</v>
      </c>
      <c r="J3" s="646" t="s">
        <v>521</v>
      </c>
      <c r="K3" s="647"/>
      <c r="L3" s="238" t="s">
        <v>937</v>
      </c>
      <c r="M3" s="646" t="s">
        <v>521</v>
      </c>
      <c r="N3" s="647"/>
      <c r="O3" s="238" t="s">
        <v>937</v>
      </c>
      <c r="P3" s="646" t="s">
        <v>521</v>
      </c>
      <c r="Q3" s="647"/>
      <c r="R3" s="238" t="s">
        <v>937</v>
      </c>
      <c r="S3" s="646" t="s">
        <v>521</v>
      </c>
      <c r="T3" s="647"/>
      <c r="U3" s="238" t="s">
        <v>937</v>
      </c>
      <c r="V3" s="646" t="s">
        <v>521</v>
      </c>
      <c r="W3" s="647"/>
      <c r="X3" s="238" t="s">
        <v>937</v>
      </c>
      <c r="Y3" s="687" t="s">
        <v>521</v>
      </c>
      <c r="Z3" s="687"/>
      <c r="AA3" s="593" t="s">
        <v>937</v>
      </c>
      <c r="AB3" s="687" t="s">
        <v>521</v>
      </c>
      <c r="AC3" s="687"/>
      <c r="AD3" s="593" t="s">
        <v>937</v>
      </c>
      <c r="AE3" s="688" t="s">
        <v>521</v>
      </c>
      <c r="AF3" s="689"/>
      <c r="AG3" s="259" t="s">
        <v>937</v>
      </c>
    </row>
    <row r="4" spans="1:35" x14ac:dyDescent="0.3">
      <c r="A4" s="2" t="s">
        <v>1</v>
      </c>
      <c r="B4" s="2" t="s">
        <v>2</v>
      </c>
      <c r="C4" s="2" t="s">
        <v>1502</v>
      </c>
      <c r="D4" s="3" t="s">
        <v>3</v>
      </c>
      <c r="E4" s="3" t="s">
        <v>1499</v>
      </c>
      <c r="F4" s="2" t="s">
        <v>371</v>
      </c>
      <c r="G4" s="2" t="s">
        <v>5</v>
      </c>
      <c r="H4" s="7" t="s">
        <v>6</v>
      </c>
      <c r="I4" s="57" t="s">
        <v>543</v>
      </c>
      <c r="J4" s="594" t="s">
        <v>936</v>
      </c>
      <c r="K4" s="593" t="s">
        <v>525</v>
      </c>
      <c r="L4" s="593" t="s">
        <v>525</v>
      </c>
      <c r="M4" s="594" t="s">
        <v>936</v>
      </c>
      <c r="N4" s="593" t="s">
        <v>525</v>
      </c>
      <c r="O4" s="593" t="s">
        <v>525</v>
      </c>
      <c r="P4" s="594" t="s">
        <v>2520</v>
      </c>
      <c r="Q4" s="593" t="s">
        <v>525</v>
      </c>
      <c r="R4" s="593" t="s">
        <v>525</v>
      </c>
      <c r="S4" s="594" t="s">
        <v>2520</v>
      </c>
      <c r="T4" s="593" t="s">
        <v>525</v>
      </c>
      <c r="U4" s="593" t="s">
        <v>525</v>
      </c>
      <c r="V4" s="594" t="s">
        <v>936</v>
      </c>
      <c r="W4" s="593" t="s">
        <v>525</v>
      </c>
      <c r="X4" s="593" t="s">
        <v>525</v>
      </c>
      <c r="Y4" s="594" t="s">
        <v>936</v>
      </c>
      <c r="Z4" s="593" t="s">
        <v>525</v>
      </c>
      <c r="AA4" s="593" t="s">
        <v>525</v>
      </c>
      <c r="AB4" s="594" t="s">
        <v>936</v>
      </c>
      <c r="AC4" s="593" t="s">
        <v>525</v>
      </c>
      <c r="AD4" s="593" t="s">
        <v>525</v>
      </c>
      <c r="AE4" s="51" t="s">
        <v>936</v>
      </c>
      <c r="AF4" s="259" t="s">
        <v>525</v>
      </c>
      <c r="AG4" s="259" t="s">
        <v>525</v>
      </c>
    </row>
    <row r="5" spans="1:35" x14ac:dyDescent="0.3">
      <c r="A5" s="82">
        <v>1</v>
      </c>
      <c r="B5" s="83" t="s">
        <v>369</v>
      </c>
      <c r="C5" s="82" t="s">
        <v>2264</v>
      </c>
      <c r="D5" s="137" t="s">
        <v>370</v>
      </c>
      <c r="E5" s="9" t="s">
        <v>2265</v>
      </c>
      <c r="F5" s="592" t="s">
        <v>373</v>
      </c>
      <c r="G5" s="82" t="s">
        <v>300</v>
      </c>
      <c r="H5" s="85" t="s">
        <v>549</v>
      </c>
      <c r="I5" s="83" t="s">
        <v>548</v>
      </c>
      <c r="J5" s="82" t="s">
        <v>2350</v>
      </c>
      <c r="K5" s="261">
        <v>900</v>
      </c>
      <c r="L5" s="121">
        <v>900</v>
      </c>
      <c r="M5" s="82" t="s">
        <v>2351</v>
      </c>
      <c r="N5" s="89">
        <v>900</v>
      </c>
      <c r="O5" s="121">
        <v>900</v>
      </c>
      <c r="P5" t="s">
        <v>2918</v>
      </c>
      <c r="Q5" s="89">
        <v>1300</v>
      </c>
      <c r="R5" s="121">
        <v>1300</v>
      </c>
      <c r="S5" t="s">
        <v>2919</v>
      </c>
      <c r="T5" s="89">
        <v>1300</v>
      </c>
      <c r="U5" s="121">
        <v>1300</v>
      </c>
      <c r="V5" s="82"/>
      <c r="W5" s="46"/>
      <c r="X5" s="121"/>
      <c r="Y5" s="83"/>
      <c r="Z5" s="89"/>
      <c r="AA5" s="290"/>
      <c r="AB5" s="82"/>
      <c r="AC5" s="89"/>
      <c r="AD5" s="121"/>
      <c r="AE5" s="83"/>
      <c r="AF5" s="83"/>
      <c r="AG5" s="121"/>
    </row>
    <row r="6" spans="1:35" x14ac:dyDescent="0.3">
      <c r="A6" s="82">
        <v>2</v>
      </c>
      <c r="B6" s="83" t="s">
        <v>2912</v>
      </c>
      <c r="C6" s="15" t="s">
        <v>2914</v>
      </c>
      <c r="D6" s="137" t="s">
        <v>2915</v>
      </c>
      <c r="E6" s="9" t="s">
        <v>2913</v>
      </c>
      <c r="F6" s="592" t="s">
        <v>373</v>
      </c>
      <c r="G6" s="82" t="s">
        <v>300</v>
      </c>
      <c r="H6" s="85" t="s">
        <v>2916</v>
      </c>
      <c r="I6" s="83" t="s">
        <v>2917</v>
      </c>
      <c r="J6" s="82"/>
      <c r="K6" s="261"/>
      <c r="L6" s="121"/>
      <c r="M6" s="82"/>
      <c r="N6" s="89"/>
      <c r="O6" s="121"/>
      <c r="P6" s="82"/>
      <c r="Q6" s="89"/>
      <c r="R6" s="121"/>
      <c r="S6" s="82"/>
      <c r="T6" s="89"/>
      <c r="U6" s="121"/>
      <c r="V6" s="82"/>
      <c r="W6" s="46"/>
      <c r="X6" s="121"/>
      <c r="Y6" s="83"/>
      <c r="Z6" s="89"/>
      <c r="AA6" s="290"/>
      <c r="AB6" s="82"/>
      <c r="AC6" s="89"/>
      <c r="AD6" s="121"/>
      <c r="AE6" s="83"/>
      <c r="AF6" s="83"/>
      <c r="AG6" s="121"/>
    </row>
    <row r="7" spans="1:35" x14ac:dyDescent="0.3">
      <c r="A7" s="82">
        <v>3</v>
      </c>
      <c r="B7" s="83" t="s">
        <v>2920</v>
      </c>
      <c r="C7" s="82" t="s">
        <v>2923</v>
      </c>
      <c r="D7" s="137" t="s">
        <v>2922</v>
      </c>
      <c r="E7" s="9" t="s">
        <v>2921</v>
      </c>
      <c r="F7" s="592" t="s">
        <v>373</v>
      </c>
      <c r="G7" s="82" t="s">
        <v>300</v>
      </c>
      <c r="H7" s="85" t="s">
        <v>2924</v>
      </c>
      <c r="I7" s="83" t="s">
        <v>0</v>
      </c>
      <c r="J7" s="82"/>
      <c r="K7" s="261"/>
      <c r="L7" s="121"/>
      <c r="M7" s="82"/>
      <c r="N7" s="89"/>
      <c r="O7" s="121"/>
      <c r="P7" s="82"/>
      <c r="Q7" s="89"/>
      <c r="R7" s="121"/>
      <c r="S7" s="82"/>
      <c r="T7" s="89"/>
      <c r="U7" s="121"/>
      <c r="V7" s="82"/>
      <c r="W7" s="46"/>
      <c r="X7" s="121"/>
      <c r="Y7" s="83"/>
      <c r="Z7" s="89"/>
      <c r="AA7" s="290"/>
      <c r="AB7" s="82"/>
      <c r="AC7" s="89"/>
      <c r="AD7" s="121"/>
      <c r="AE7" s="83"/>
      <c r="AF7" s="83"/>
      <c r="AG7" s="121"/>
    </row>
    <row r="9" spans="1:35" x14ac:dyDescent="0.3">
      <c r="C9" s="1"/>
    </row>
    <row r="11" spans="1:35" x14ac:dyDescent="0.3">
      <c r="B11" s="1" t="s">
        <v>2685</v>
      </c>
    </row>
    <row r="12" spans="1:35" x14ac:dyDescent="0.3">
      <c r="B12" s="1" t="s">
        <v>2686</v>
      </c>
    </row>
    <row r="13" spans="1:35" x14ac:dyDescent="0.3">
      <c r="B13" s="1" t="s">
        <v>2687</v>
      </c>
    </row>
    <row r="14" spans="1:35" s="15" customFormat="1" x14ac:dyDescent="0.3">
      <c r="A14" s="1"/>
      <c r="B14" s="1" t="s">
        <v>2688</v>
      </c>
      <c r="D14" s="1"/>
      <c r="E14" s="1"/>
      <c r="F14" s="1"/>
      <c r="G14" s="1"/>
      <c r="H14" s="1"/>
      <c r="I14" s="1"/>
      <c r="K14" s="78"/>
      <c r="L14" s="120"/>
      <c r="N14" s="78"/>
      <c r="O14" s="120"/>
      <c r="Q14" s="78"/>
      <c r="R14" s="120"/>
      <c r="T14" s="78"/>
      <c r="U14" s="120"/>
      <c r="W14" s="351"/>
      <c r="X14" s="120"/>
      <c r="Y14" s="1"/>
      <c r="Z14" s="78"/>
      <c r="AA14" s="289"/>
      <c r="AC14" s="78"/>
      <c r="AD14" s="120"/>
      <c r="AE14" s="1"/>
      <c r="AF14" s="1"/>
      <c r="AG14" s="120"/>
      <c r="AH14" s="1"/>
      <c r="AI14" s="1"/>
    </row>
    <row r="15" spans="1:35" s="15" customFormat="1" x14ac:dyDescent="0.3">
      <c r="A15" s="1"/>
      <c r="B15" s="1" t="s">
        <v>2689</v>
      </c>
      <c r="D15" s="1"/>
      <c r="E15" s="1"/>
      <c r="F15" s="1"/>
      <c r="G15" s="1"/>
      <c r="H15" s="1"/>
      <c r="I15" s="1"/>
      <c r="K15" s="78"/>
      <c r="L15" s="120"/>
      <c r="N15" s="78"/>
      <c r="O15" s="120"/>
      <c r="Q15" s="78"/>
      <c r="R15" s="120"/>
      <c r="T15" s="78"/>
      <c r="U15" s="120"/>
      <c r="W15" s="351"/>
      <c r="X15" s="120"/>
      <c r="Y15" s="1"/>
      <c r="Z15" s="78"/>
      <c r="AA15" s="289"/>
      <c r="AC15" s="78"/>
      <c r="AD15" s="120"/>
      <c r="AE15" s="1"/>
      <c r="AF15" s="1"/>
      <c r="AG15" s="120"/>
      <c r="AH15" s="1"/>
      <c r="AI15" s="1"/>
    </row>
    <row r="16" spans="1:35" s="15" customFormat="1" x14ac:dyDescent="0.3">
      <c r="A16" s="1"/>
      <c r="B16" s="1" t="s">
        <v>2690</v>
      </c>
      <c r="D16" s="1"/>
      <c r="E16" s="1"/>
      <c r="F16" s="1"/>
      <c r="G16" s="1"/>
      <c r="H16" s="1"/>
      <c r="I16" s="1"/>
      <c r="K16" s="78"/>
      <c r="L16" s="120"/>
      <c r="N16" s="78"/>
      <c r="O16" s="120"/>
      <c r="Q16" s="78"/>
      <c r="R16" s="120"/>
      <c r="T16" s="78"/>
      <c r="U16" s="120"/>
      <c r="W16" s="351"/>
      <c r="X16" s="120"/>
      <c r="Y16" s="1"/>
      <c r="Z16" s="78"/>
      <c r="AA16" s="289"/>
      <c r="AC16" s="78"/>
      <c r="AD16" s="120"/>
      <c r="AE16" s="1"/>
      <c r="AF16" s="1"/>
      <c r="AG16" s="120"/>
      <c r="AH16" s="1"/>
      <c r="AI16" s="1"/>
    </row>
    <row r="17" spans="1:35" s="15" customFormat="1" x14ac:dyDescent="0.3">
      <c r="A17" s="1"/>
      <c r="B17" s="1" t="s">
        <v>2691</v>
      </c>
      <c r="D17" s="1"/>
      <c r="E17" s="1"/>
      <c r="F17" s="1"/>
      <c r="G17" s="1"/>
      <c r="H17" s="1"/>
      <c r="I17" s="1"/>
      <c r="K17" s="78"/>
      <c r="L17" s="120"/>
      <c r="N17" s="78"/>
      <c r="O17" s="120"/>
      <c r="Q17" s="78"/>
      <c r="R17" s="120"/>
      <c r="T17" s="78"/>
      <c r="U17" s="120"/>
      <c r="W17" s="351"/>
      <c r="X17" s="120"/>
      <c r="Y17" s="1"/>
      <c r="Z17" s="78"/>
      <c r="AA17" s="289"/>
      <c r="AC17" s="78"/>
      <c r="AD17" s="120"/>
      <c r="AE17" s="1"/>
      <c r="AF17" s="1"/>
      <c r="AG17" s="120"/>
      <c r="AH17" s="1"/>
      <c r="AI17" s="1"/>
    </row>
  </sheetData>
  <mergeCells count="8">
    <mergeCell ref="AB3:AC3"/>
    <mergeCell ref="AE3:AF3"/>
    <mergeCell ref="J3:K3"/>
    <mergeCell ref="M3:N3"/>
    <mergeCell ref="P3:Q3"/>
    <mergeCell ref="S3:T3"/>
    <mergeCell ref="V3:W3"/>
    <mergeCell ref="Y3:Z3"/>
  </mergeCells>
  <pageMargins left="0.1" right="0.1" top="0.75" bottom="0.75" header="0.3" footer="0.3"/>
  <pageSetup scale="79" fitToHeight="0" orientation="landscape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4"/>
  <sheetViews>
    <sheetView view="pageBreakPreview" zoomScale="90" zoomScaleNormal="80" zoomScaleSheetLayoutView="90" workbookViewId="0">
      <selection activeCell="B10" sqref="B10"/>
    </sheetView>
  </sheetViews>
  <sheetFormatPr defaultRowHeight="16.5" x14ac:dyDescent="0.3"/>
  <cols>
    <col min="2" max="2" width="36.140625" customWidth="1"/>
    <col min="3" max="3" width="9.7109375" style="329" bestFit="1" customWidth="1"/>
    <col min="4" max="4" width="14.28515625" bestFit="1" customWidth="1"/>
    <col min="5" max="5" width="11.42578125" style="329" bestFit="1" customWidth="1"/>
    <col min="6" max="6" width="12.42578125" style="329" bestFit="1" customWidth="1"/>
    <col min="7" max="7" width="32.140625" bestFit="1" customWidth="1"/>
    <col min="8" max="8" width="71.28515625" bestFit="1" customWidth="1"/>
    <col min="9" max="9" width="14.42578125" bestFit="1" customWidth="1"/>
    <col min="10" max="10" width="23.28515625" bestFit="1" customWidth="1"/>
    <col min="11" max="11" width="12.140625" style="15" customWidth="1"/>
    <col min="12" max="12" width="9" style="78" customWidth="1"/>
    <col min="13" max="13" width="17" style="78" bestFit="1" customWidth="1"/>
    <col min="14" max="14" width="18.42578125" style="15" bestFit="1" customWidth="1"/>
    <col min="15" max="15" width="9" style="78" customWidth="1"/>
    <col min="16" max="16" width="11" style="78" customWidth="1"/>
    <col min="17" max="17" width="12.140625" style="15" customWidth="1"/>
    <col min="18" max="18" width="9" style="78" customWidth="1"/>
    <col min="19" max="19" width="11" style="78" customWidth="1"/>
    <col min="20" max="20" width="12.140625" style="15" customWidth="1"/>
    <col min="21" max="21" width="9" style="78" customWidth="1"/>
    <col min="22" max="22" width="11" style="78" customWidth="1"/>
    <col min="23" max="23" width="12.140625" style="15" customWidth="1"/>
    <col min="24" max="24" width="9" style="351" customWidth="1"/>
  </cols>
  <sheetData>
    <row r="1" spans="1:24" x14ac:dyDescent="0.3">
      <c r="A1" s="4" t="s">
        <v>0</v>
      </c>
      <c r="B1" s="5"/>
      <c r="C1" s="306"/>
    </row>
    <row r="2" spans="1:24" x14ac:dyDescent="0.3">
      <c r="A2" s="4" t="s">
        <v>43</v>
      </c>
      <c r="B2" s="5"/>
      <c r="C2" s="306"/>
    </row>
    <row r="3" spans="1:24" x14ac:dyDescent="0.3">
      <c r="K3" s="646" t="s">
        <v>521</v>
      </c>
      <c r="L3" s="647"/>
      <c r="M3" s="238" t="s">
        <v>937</v>
      </c>
      <c r="N3" s="646" t="s">
        <v>521</v>
      </c>
      <c r="O3" s="647"/>
      <c r="P3" s="238" t="s">
        <v>937</v>
      </c>
      <c r="Q3" s="646" t="s">
        <v>521</v>
      </c>
      <c r="R3" s="647"/>
      <c r="S3" s="238" t="s">
        <v>937</v>
      </c>
      <c r="T3" s="646" t="s">
        <v>521</v>
      </c>
      <c r="U3" s="647"/>
      <c r="V3" s="238" t="s">
        <v>937</v>
      </c>
      <c r="W3" s="646" t="s">
        <v>521</v>
      </c>
      <c r="X3" s="647"/>
    </row>
    <row r="4" spans="1:24" x14ac:dyDescent="0.3">
      <c r="A4" s="2" t="s">
        <v>1</v>
      </c>
      <c r="B4" s="2" t="s">
        <v>2</v>
      </c>
      <c r="C4" s="2" t="s">
        <v>1502</v>
      </c>
      <c r="D4" s="3" t="s">
        <v>3</v>
      </c>
      <c r="E4" s="3" t="s">
        <v>1499</v>
      </c>
      <c r="F4" s="2" t="s">
        <v>4</v>
      </c>
      <c r="G4" s="2" t="s">
        <v>5</v>
      </c>
      <c r="H4" s="7" t="s">
        <v>6</v>
      </c>
      <c r="I4" s="7" t="s">
        <v>520</v>
      </c>
      <c r="K4" s="349" t="s">
        <v>936</v>
      </c>
      <c r="L4" s="348" t="s">
        <v>525</v>
      </c>
      <c r="M4" s="348" t="s">
        <v>525</v>
      </c>
      <c r="N4" s="349" t="s">
        <v>936</v>
      </c>
      <c r="O4" s="348" t="s">
        <v>525</v>
      </c>
      <c r="P4" s="348" t="s">
        <v>525</v>
      </c>
      <c r="Q4" s="349" t="s">
        <v>936</v>
      </c>
      <c r="R4" s="348" t="s">
        <v>525</v>
      </c>
      <c r="S4" s="348" t="s">
        <v>525</v>
      </c>
      <c r="T4" s="349" t="s">
        <v>936</v>
      </c>
      <c r="U4" s="348" t="s">
        <v>525</v>
      </c>
      <c r="V4" s="348" t="s">
        <v>525</v>
      </c>
      <c r="W4" s="349" t="s">
        <v>936</v>
      </c>
      <c r="X4" s="348" t="s">
        <v>525</v>
      </c>
    </row>
    <row r="5" spans="1:24" x14ac:dyDescent="0.3">
      <c r="A5" s="6">
        <v>1</v>
      </c>
      <c r="B5" s="8" t="s">
        <v>178</v>
      </c>
      <c r="C5" s="82" t="s">
        <v>2270</v>
      </c>
      <c r="D5" s="9" t="s">
        <v>182</v>
      </c>
      <c r="E5" s="9" t="s">
        <v>2271</v>
      </c>
      <c r="F5" s="82" t="s">
        <v>177</v>
      </c>
      <c r="G5" s="6" t="s">
        <v>300</v>
      </c>
      <c r="H5" s="13" t="s">
        <v>183</v>
      </c>
      <c r="I5" s="338">
        <v>15200</v>
      </c>
      <c r="K5" s="82" t="s">
        <v>2354</v>
      </c>
      <c r="L5" s="261">
        <v>1105</v>
      </c>
      <c r="M5" s="89">
        <v>1105</v>
      </c>
      <c r="N5" s="82" t="s">
        <v>2355</v>
      </c>
      <c r="O5" s="89">
        <v>1105</v>
      </c>
      <c r="P5" s="89">
        <v>1105</v>
      </c>
      <c r="Q5" s="82"/>
      <c r="R5" s="89"/>
      <c r="S5" s="89"/>
      <c r="T5" s="82"/>
      <c r="U5" s="89"/>
      <c r="V5" s="89"/>
      <c r="W5" s="82"/>
      <c r="X5" s="46"/>
    </row>
    <row r="6" spans="1:24" x14ac:dyDescent="0.3">
      <c r="A6" s="6">
        <v>2</v>
      </c>
      <c r="B6" s="8" t="s">
        <v>176</v>
      </c>
      <c r="C6" s="9" t="s">
        <v>2272</v>
      </c>
      <c r="D6" s="9" t="s">
        <v>179</v>
      </c>
      <c r="E6" s="9" t="s">
        <v>2273</v>
      </c>
      <c r="F6" s="82" t="s">
        <v>177</v>
      </c>
      <c r="G6" s="6" t="s">
        <v>301</v>
      </c>
      <c r="H6" s="13" t="s">
        <v>479</v>
      </c>
      <c r="I6" s="338"/>
      <c r="K6" s="82"/>
      <c r="L6" s="261"/>
      <c r="M6" s="89"/>
      <c r="N6" s="82"/>
      <c r="O6" s="89"/>
      <c r="P6" s="89"/>
      <c r="Q6" s="82"/>
      <c r="R6" s="89"/>
      <c r="S6" s="89"/>
      <c r="T6" s="82"/>
      <c r="U6" s="89"/>
      <c r="V6" s="89"/>
      <c r="W6" s="82"/>
      <c r="X6" s="46"/>
    </row>
    <row r="7" spans="1:24" x14ac:dyDescent="0.3">
      <c r="A7" s="82">
        <v>3</v>
      </c>
      <c r="B7" s="8" t="s">
        <v>349</v>
      </c>
      <c r="C7" s="82" t="s">
        <v>1905</v>
      </c>
      <c r="D7" s="9" t="s">
        <v>397</v>
      </c>
      <c r="E7" s="82" t="s">
        <v>2274</v>
      </c>
      <c r="F7" s="82" t="s">
        <v>398</v>
      </c>
      <c r="G7" s="6" t="s">
        <v>399</v>
      </c>
      <c r="H7" s="13" t="s">
        <v>400</v>
      </c>
      <c r="I7" s="338">
        <v>28443</v>
      </c>
      <c r="J7" s="336" t="s">
        <v>401</v>
      </c>
      <c r="K7" s="260"/>
      <c r="L7" s="261"/>
      <c r="M7" s="89"/>
      <c r="N7" s="260"/>
      <c r="O7" s="261"/>
      <c r="P7" s="89"/>
      <c r="Q7" s="260"/>
      <c r="R7" s="261"/>
      <c r="S7" s="89"/>
      <c r="T7" s="262"/>
      <c r="U7" s="350"/>
      <c r="V7" s="89"/>
      <c r="W7" s="260"/>
      <c r="X7" s="350"/>
    </row>
    <row r="8" spans="1:24" x14ac:dyDescent="0.3">
      <c r="A8" s="82">
        <v>4</v>
      </c>
      <c r="B8" s="83" t="s">
        <v>873</v>
      </c>
      <c r="C8" s="82" t="s">
        <v>2275</v>
      </c>
      <c r="D8" s="9" t="s">
        <v>2444</v>
      </c>
      <c r="E8" s="82" t="s">
        <v>2276</v>
      </c>
      <c r="F8" s="82" t="s">
        <v>177</v>
      </c>
      <c r="G8" s="82" t="s">
        <v>302</v>
      </c>
      <c r="H8" s="83" t="s">
        <v>874</v>
      </c>
      <c r="I8" s="89">
        <v>3600</v>
      </c>
      <c r="J8" s="337"/>
      <c r="K8" s="82" t="s">
        <v>2356</v>
      </c>
      <c r="L8" s="261">
        <v>3600</v>
      </c>
      <c r="M8" s="78">
        <v>3600</v>
      </c>
      <c r="N8" s="568" t="s">
        <v>2882</v>
      </c>
      <c r="O8" s="89"/>
      <c r="P8" s="89"/>
      <c r="Q8" s="82"/>
      <c r="R8" s="89"/>
      <c r="S8" s="89"/>
      <c r="T8" s="82"/>
      <c r="U8" s="89"/>
      <c r="V8" s="89"/>
      <c r="W8" s="82"/>
      <c r="X8" s="46"/>
    </row>
    <row r="9" spans="1:24" x14ac:dyDescent="0.3">
      <c r="A9" s="82">
        <v>5</v>
      </c>
      <c r="B9" s="83" t="s">
        <v>78</v>
      </c>
      <c r="C9" s="82" t="s">
        <v>1851</v>
      </c>
      <c r="D9" s="125">
        <v>830915035547</v>
      </c>
      <c r="E9" s="125" t="s">
        <v>1852</v>
      </c>
      <c r="F9" s="82" t="s">
        <v>177</v>
      </c>
      <c r="G9" s="83" t="s">
        <v>879</v>
      </c>
      <c r="H9" s="85" t="s">
        <v>880</v>
      </c>
      <c r="I9" s="338">
        <v>6105.5</v>
      </c>
      <c r="K9" s="82"/>
      <c r="L9" s="261"/>
      <c r="M9" s="89"/>
      <c r="N9" s="82"/>
      <c r="O9" s="89"/>
      <c r="P9" s="89"/>
      <c r="Q9" s="82"/>
      <c r="R9" s="89"/>
      <c r="S9" s="89"/>
      <c r="T9" s="82"/>
      <c r="U9" s="89"/>
      <c r="V9" s="89"/>
      <c r="W9" s="82"/>
      <c r="X9" s="46"/>
    </row>
    <row r="10" spans="1:24" x14ac:dyDescent="0.3">
      <c r="A10" s="82">
        <v>6</v>
      </c>
      <c r="B10" s="83" t="s">
        <v>56</v>
      </c>
      <c r="C10" s="82" t="s">
        <v>1817</v>
      </c>
      <c r="D10" s="9" t="s">
        <v>57</v>
      </c>
      <c r="E10" s="82" t="s">
        <v>1818</v>
      </c>
      <c r="F10" s="82" t="s">
        <v>177</v>
      </c>
      <c r="G10" s="83" t="s">
        <v>879</v>
      </c>
      <c r="H10" s="83" t="s">
        <v>1216</v>
      </c>
      <c r="I10" s="89">
        <v>10311</v>
      </c>
      <c r="K10" s="82"/>
      <c r="L10" s="261"/>
      <c r="M10" s="89"/>
      <c r="N10" s="82"/>
      <c r="O10" s="89"/>
      <c r="P10" s="89"/>
      <c r="Q10" s="82"/>
      <c r="R10" s="89"/>
      <c r="S10" s="89"/>
      <c r="T10" s="82"/>
      <c r="U10" s="89"/>
      <c r="V10" s="89"/>
      <c r="W10" s="82"/>
      <c r="X10" s="46"/>
    </row>
    <row r="11" spans="1:24" x14ac:dyDescent="0.3">
      <c r="A11" s="1"/>
      <c r="B11" s="1"/>
      <c r="C11" s="15"/>
      <c r="D11" s="1"/>
      <c r="E11" s="15"/>
      <c r="F11" s="15"/>
      <c r="G11" s="1"/>
      <c r="H11" s="1"/>
      <c r="I11" s="1"/>
      <c r="K11" s="82"/>
      <c r="L11" s="261"/>
      <c r="M11" s="89"/>
      <c r="N11" s="82"/>
      <c r="O11" s="89"/>
      <c r="P11" s="89"/>
      <c r="Q11" s="82"/>
      <c r="R11" s="89"/>
      <c r="S11" s="89"/>
      <c r="T11" s="82"/>
      <c r="U11" s="89"/>
      <c r="V11" s="89"/>
      <c r="W11" s="82"/>
      <c r="X11" s="46"/>
    </row>
    <row r="12" spans="1:24" x14ac:dyDescent="0.3">
      <c r="A12" s="1"/>
      <c r="B12" s="1"/>
      <c r="C12" s="15"/>
      <c r="D12" s="1"/>
      <c r="E12" s="15"/>
      <c r="F12" s="15"/>
      <c r="G12" s="1"/>
      <c r="H12" s="1"/>
      <c r="I12" s="1"/>
    </row>
    <row r="13" spans="1:24" x14ac:dyDescent="0.3">
      <c r="A13" s="1"/>
      <c r="B13" s="1"/>
      <c r="C13" s="15"/>
      <c r="D13" s="1"/>
      <c r="E13" s="15"/>
      <c r="F13" s="15"/>
      <c r="G13" s="1"/>
      <c r="H13" s="1"/>
      <c r="I13" s="1"/>
    </row>
    <row r="14" spans="1:24" x14ac:dyDescent="0.3">
      <c r="A14" s="1"/>
      <c r="B14" s="1"/>
      <c r="C14" s="15"/>
      <c r="D14" s="1"/>
      <c r="E14" s="15"/>
      <c r="F14" s="15"/>
      <c r="G14" s="1"/>
      <c r="H14" s="1"/>
      <c r="I14" s="1"/>
    </row>
  </sheetData>
  <sortState ref="B5:F6">
    <sortCondition ref="B5"/>
  </sortState>
  <mergeCells count="5">
    <mergeCell ref="K3:L3"/>
    <mergeCell ref="N3:O3"/>
    <mergeCell ref="Q3:R3"/>
    <mergeCell ref="T3:U3"/>
    <mergeCell ref="W3:X3"/>
  </mergeCells>
  <pageMargins left="0.25" right="0.25" top="0.75" bottom="0.75" header="0.3" footer="0.3"/>
  <pageSetup scale="57" fitToHeight="0" orientation="landscape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"/>
  <sheetViews>
    <sheetView view="pageBreakPreview" zoomScaleNormal="100" zoomScaleSheetLayoutView="100" workbookViewId="0">
      <selection activeCell="M18" sqref="M18"/>
    </sheetView>
  </sheetViews>
  <sheetFormatPr defaultRowHeight="16.5" x14ac:dyDescent="0.3"/>
  <cols>
    <col min="1" max="1" width="6.28515625" customWidth="1"/>
    <col min="2" max="2" width="29.5703125" customWidth="1"/>
    <col min="3" max="3" width="9.7109375" style="329" bestFit="1" customWidth="1"/>
    <col min="4" max="4" width="14.28515625" bestFit="1" customWidth="1"/>
    <col min="5" max="5" width="11.28515625" bestFit="1" customWidth="1"/>
    <col min="6" max="6" width="8.28515625" bestFit="1" customWidth="1"/>
    <col min="7" max="7" width="10.42578125" bestFit="1" customWidth="1"/>
    <col min="8" max="8" width="25.7109375" bestFit="1" customWidth="1"/>
    <col min="9" max="9" width="12.140625" style="15" customWidth="1"/>
    <col min="10" max="10" width="9" style="78" customWidth="1"/>
    <col min="11" max="11" width="11" style="78" customWidth="1"/>
    <col min="12" max="12" width="12.140625" style="15" customWidth="1"/>
    <col min="13" max="13" width="9" style="78" customWidth="1"/>
    <col min="14" max="14" width="11" style="78" customWidth="1"/>
    <col min="15" max="15" width="12.140625" style="15" customWidth="1"/>
    <col min="16" max="16" width="9" style="78" customWidth="1"/>
    <col min="17" max="17" width="11" style="78" customWidth="1"/>
  </cols>
  <sheetData>
    <row r="1" spans="1:17" x14ac:dyDescent="0.3">
      <c r="A1" s="4" t="s">
        <v>0</v>
      </c>
      <c r="B1" s="5"/>
      <c r="C1" s="306"/>
    </row>
    <row r="2" spans="1:17" x14ac:dyDescent="0.3">
      <c r="A2" s="4" t="s">
        <v>43</v>
      </c>
      <c r="B2" s="5"/>
      <c r="C2" s="306"/>
    </row>
    <row r="3" spans="1:17" x14ac:dyDescent="0.3">
      <c r="I3" s="646" t="s">
        <v>521</v>
      </c>
      <c r="J3" s="647"/>
      <c r="K3" s="238" t="s">
        <v>937</v>
      </c>
      <c r="L3" s="646" t="s">
        <v>521</v>
      </c>
      <c r="M3" s="647"/>
      <c r="N3" s="238" t="s">
        <v>937</v>
      </c>
      <c r="O3" s="646" t="s">
        <v>521</v>
      </c>
      <c r="P3" s="647"/>
      <c r="Q3" s="238" t="s">
        <v>937</v>
      </c>
    </row>
    <row r="4" spans="1:17" x14ac:dyDescent="0.3">
      <c r="A4" s="2" t="s">
        <v>1</v>
      </c>
      <c r="B4" s="2" t="s">
        <v>2</v>
      </c>
      <c r="C4" s="2" t="s">
        <v>1502</v>
      </c>
      <c r="D4" s="3" t="s">
        <v>3</v>
      </c>
      <c r="E4" s="3" t="s">
        <v>1499</v>
      </c>
      <c r="F4" s="2" t="s">
        <v>4</v>
      </c>
      <c r="G4" s="2" t="s">
        <v>5</v>
      </c>
      <c r="H4" s="7" t="s">
        <v>6</v>
      </c>
      <c r="I4" s="349" t="s">
        <v>936</v>
      </c>
      <c r="J4" s="348" t="s">
        <v>525</v>
      </c>
      <c r="K4" s="348" t="s">
        <v>525</v>
      </c>
      <c r="L4" s="349" t="s">
        <v>936</v>
      </c>
      <c r="M4" s="348" t="s">
        <v>525</v>
      </c>
      <c r="N4" s="348" t="s">
        <v>525</v>
      </c>
      <c r="O4" s="349" t="s">
        <v>936</v>
      </c>
      <c r="P4" s="348" t="s">
        <v>525</v>
      </c>
      <c r="Q4" s="348" t="s">
        <v>525</v>
      </c>
    </row>
    <row r="5" spans="1:17" x14ac:dyDescent="0.3">
      <c r="A5" s="6">
        <v>1</v>
      </c>
      <c r="B5" s="8" t="s">
        <v>180</v>
      </c>
      <c r="C5" s="82" t="s">
        <v>2277</v>
      </c>
      <c r="D5" s="9" t="s">
        <v>2229</v>
      </c>
      <c r="E5" s="9" t="s">
        <v>2228</v>
      </c>
      <c r="F5" s="6" t="s">
        <v>181</v>
      </c>
      <c r="G5" s="6" t="s">
        <v>301</v>
      </c>
      <c r="H5" s="8" t="s">
        <v>184</v>
      </c>
      <c r="I5" s="82" t="s">
        <v>2357</v>
      </c>
      <c r="J5" s="261">
        <v>995</v>
      </c>
      <c r="K5" s="89">
        <v>995</v>
      </c>
      <c r="L5" s="82" t="s">
        <v>2358</v>
      </c>
      <c r="M5" s="89">
        <v>605</v>
      </c>
      <c r="N5" s="89">
        <v>605</v>
      </c>
      <c r="O5" s="82" t="s">
        <v>2359</v>
      </c>
      <c r="P5" s="89">
        <v>605</v>
      </c>
      <c r="Q5" s="89">
        <v>605</v>
      </c>
    </row>
    <row r="6" spans="1:17" x14ac:dyDescent="0.3">
      <c r="A6" s="1"/>
      <c r="B6" s="1"/>
      <c r="C6" s="15"/>
      <c r="D6" s="1"/>
      <c r="E6" s="1"/>
      <c r="F6" s="1"/>
      <c r="G6" s="1"/>
      <c r="H6" s="1"/>
      <c r="I6" s="82"/>
      <c r="J6" s="261"/>
      <c r="K6" s="89"/>
      <c r="L6" s="82"/>
      <c r="M6" s="89"/>
      <c r="N6" s="89"/>
      <c r="O6" s="82"/>
      <c r="P6" s="89"/>
      <c r="Q6" s="89"/>
    </row>
    <row r="7" spans="1:17" x14ac:dyDescent="0.3">
      <c r="A7" s="1"/>
      <c r="B7" s="1"/>
      <c r="C7" s="15"/>
      <c r="D7" s="1"/>
      <c r="E7" s="1"/>
      <c r="F7" s="1"/>
      <c r="G7" s="1"/>
      <c r="H7" s="1"/>
    </row>
  </sheetData>
  <mergeCells count="3">
    <mergeCell ref="I3:J3"/>
    <mergeCell ref="L3:M3"/>
    <mergeCell ref="O3:P3"/>
  </mergeCells>
  <pageMargins left="0.25" right="0.25" top="0.75" bottom="0.75" header="0.3" footer="0.3"/>
  <pageSetup paperSize="9" scale="85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3"/>
  <sheetViews>
    <sheetView view="pageBreakPreview" zoomScale="90" zoomScaleNormal="100" zoomScaleSheetLayoutView="90" workbookViewId="0">
      <selection activeCell="J20" sqref="J20"/>
    </sheetView>
  </sheetViews>
  <sheetFormatPr defaultRowHeight="15.75" x14ac:dyDescent="0.25"/>
  <cols>
    <col min="1" max="1" width="9.140625" style="194"/>
    <col min="2" max="2" width="22.28515625" style="194" customWidth="1"/>
    <col min="3" max="3" width="10.5703125" style="340" bestFit="1" customWidth="1"/>
    <col min="4" max="4" width="14.28515625" style="194" bestFit="1" customWidth="1"/>
    <col min="5" max="5" width="12.28515625" style="194" customWidth="1"/>
    <col min="6" max="6" width="14.85546875" style="194" bestFit="1" customWidth="1"/>
    <col min="7" max="7" width="11" style="194" customWidth="1"/>
    <col min="8" max="8" width="26.28515625" style="194" bestFit="1" customWidth="1"/>
    <col min="9" max="9" width="13.28515625" style="194" bestFit="1" customWidth="1"/>
    <col min="10" max="10" width="18.85546875" style="218" bestFit="1" customWidth="1"/>
    <col min="11" max="11" width="13.5703125" style="194" bestFit="1" customWidth="1"/>
    <col min="12" max="12" width="18.85546875" style="218" bestFit="1" customWidth="1"/>
    <col min="13" max="13" width="13.28515625" style="194" bestFit="1" customWidth="1"/>
    <col min="14" max="14" width="16.28515625" style="218" bestFit="1" customWidth="1"/>
    <col min="15" max="15" width="18.140625" style="194" bestFit="1" customWidth="1"/>
    <col min="16" max="16384" width="9.140625" style="194"/>
  </cols>
  <sheetData>
    <row r="1" spans="1:15" x14ac:dyDescent="0.25">
      <c r="A1" s="192" t="s">
        <v>0</v>
      </c>
      <c r="B1" s="193"/>
      <c r="C1" s="339"/>
    </row>
    <row r="2" spans="1:15" x14ac:dyDescent="0.25">
      <c r="A2" s="192" t="s">
        <v>43</v>
      </c>
      <c r="B2" s="193"/>
      <c r="C2" s="339"/>
    </row>
    <row r="3" spans="1:15" x14ac:dyDescent="0.25">
      <c r="A3" s="218" t="s">
        <v>711</v>
      </c>
    </row>
    <row r="4" spans="1:15" x14ac:dyDescent="0.25">
      <c r="A4" s="195" t="s">
        <v>1</v>
      </c>
      <c r="B4" s="195" t="s">
        <v>2</v>
      </c>
      <c r="C4" s="195" t="s">
        <v>1502</v>
      </c>
      <c r="D4" s="196" t="s">
        <v>3</v>
      </c>
      <c r="E4" s="196" t="s">
        <v>1499</v>
      </c>
      <c r="F4" s="195" t="s">
        <v>4</v>
      </c>
      <c r="G4" s="195" t="s">
        <v>5</v>
      </c>
      <c r="H4" s="197" t="s">
        <v>6</v>
      </c>
      <c r="I4" s="195" t="s">
        <v>936</v>
      </c>
      <c r="J4" s="195" t="s">
        <v>937</v>
      </c>
      <c r="K4" s="195" t="s">
        <v>936</v>
      </c>
      <c r="L4" s="195" t="s">
        <v>937</v>
      </c>
      <c r="M4" s="195" t="s">
        <v>936</v>
      </c>
      <c r="N4" s="195" t="s">
        <v>937</v>
      </c>
      <c r="O4" s="223" t="s">
        <v>944</v>
      </c>
    </row>
    <row r="5" spans="1:15" x14ac:dyDescent="0.25">
      <c r="A5" s="201">
        <v>1</v>
      </c>
      <c r="B5" s="199" t="s">
        <v>294</v>
      </c>
      <c r="C5" s="201" t="s">
        <v>2279</v>
      </c>
      <c r="D5" s="200" t="s">
        <v>295</v>
      </c>
      <c r="E5" s="200" t="s">
        <v>2280</v>
      </c>
      <c r="F5" s="201" t="s">
        <v>296</v>
      </c>
      <c r="G5" s="201" t="s">
        <v>301</v>
      </c>
      <c r="H5" s="224" t="s">
        <v>2281</v>
      </c>
      <c r="I5" s="199" t="s">
        <v>938</v>
      </c>
      <c r="J5" s="225" t="s">
        <v>940</v>
      </c>
      <c r="K5" s="199" t="s">
        <v>941</v>
      </c>
      <c r="L5" s="225" t="s">
        <v>939</v>
      </c>
      <c r="M5" s="199" t="s">
        <v>942</v>
      </c>
      <c r="N5" s="225" t="s">
        <v>943</v>
      </c>
      <c r="O5" s="199"/>
    </row>
    <row r="6" spans="1:15" x14ac:dyDescent="0.25">
      <c r="I6" s="226">
        <v>8850</v>
      </c>
      <c r="J6" s="227">
        <v>8850</v>
      </c>
      <c r="K6" s="226">
        <v>12900</v>
      </c>
      <c r="L6" s="227">
        <v>12900</v>
      </c>
      <c r="M6" s="226">
        <v>4050</v>
      </c>
      <c r="N6" s="227">
        <v>4050</v>
      </c>
      <c r="O6" s="228">
        <f>J6+L6+N6</f>
        <v>25800</v>
      </c>
    </row>
    <row r="9" spans="1:15" x14ac:dyDescent="0.25">
      <c r="B9" s="201" t="s">
        <v>1029</v>
      </c>
      <c r="C9" s="201" t="s">
        <v>1030</v>
      </c>
      <c r="D9" s="201" t="s">
        <v>296</v>
      </c>
      <c r="E9" s="229" t="s">
        <v>1031</v>
      </c>
      <c r="F9" s="341"/>
      <c r="G9" s="342"/>
      <c r="H9" s="230">
        <v>8850</v>
      </c>
    </row>
    <row r="10" spans="1:15" x14ac:dyDescent="0.25">
      <c r="B10" s="231" t="s">
        <v>1022</v>
      </c>
      <c r="C10" s="231" t="s">
        <v>1033</v>
      </c>
      <c r="D10" s="207" t="s">
        <v>296</v>
      </c>
      <c r="E10" s="232" t="s">
        <v>1032</v>
      </c>
      <c r="F10" s="203"/>
      <c r="G10" s="343"/>
      <c r="H10" s="233">
        <v>12900</v>
      </c>
    </row>
    <row r="11" spans="1:15" x14ac:dyDescent="0.25">
      <c r="B11" s="201" t="s">
        <v>1034</v>
      </c>
      <c r="C11" s="201" t="s">
        <v>1035</v>
      </c>
      <c r="D11" s="201" t="s">
        <v>296</v>
      </c>
      <c r="E11" s="229" t="s">
        <v>2560</v>
      </c>
      <c r="F11" s="344"/>
      <c r="G11" s="345"/>
      <c r="H11" s="230">
        <v>4050</v>
      </c>
    </row>
    <row r="12" spans="1:15" ht="16.5" thickBot="1" x14ac:dyDescent="0.3">
      <c r="H12" s="234">
        <f>SUM(H9:H11)</f>
        <v>25800</v>
      </c>
    </row>
    <row r="13" spans="1:15" ht="16.5" thickTop="1" x14ac:dyDescent="0.25"/>
    <row r="14" spans="1:15" x14ac:dyDescent="0.25">
      <c r="B14" s="194" t="s">
        <v>1036</v>
      </c>
    </row>
    <row r="15" spans="1:15" x14ac:dyDescent="0.25">
      <c r="B15" s="194" t="s">
        <v>1037</v>
      </c>
    </row>
    <row r="16" spans="1:15" x14ac:dyDescent="0.25">
      <c r="B16" s="194" t="s">
        <v>1038</v>
      </c>
    </row>
    <row r="17" spans="2:6" x14ac:dyDescent="0.25">
      <c r="B17" s="194" t="s">
        <v>1039</v>
      </c>
    </row>
    <row r="18" spans="2:6" x14ac:dyDescent="0.25">
      <c r="B18" s="194" t="s">
        <v>1040</v>
      </c>
    </row>
    <row r="19" spans="2:6" x14ac:dyDescent="0.25">
      <c r="B19" s="194" t="s">
        <v>1041</v>
      </c>
    </row>
    <row r="20" spans="2:6" x14ac:dyDescent="0.25">
      <c r="B20" s="194" t="s">
        <v>1042</v>
      </c>
    </row>
    <row r="23" spans="2:6" x14ac:dyDescent="0.25">
      <c r="E23" s="194" t="s">
        <v>645</v>
      </c>
      <c r="F23" s="194" t="s">
        <v>2278</v>
      </c>
    </row>
  </sheetData>
  <pageMargins left="0.7" right="0.7" top="0.75" bottom="0.75" header="0.3" footer="0.3"/>
  <pageSetup paperSize="9" scale="72" orientation="portrait" horizontalDpi="4294967293" verticalDpi="4294967293" r:id="rId1"/>
  <colBreaks count="1" manualBreakCount="1">
    <brk id="8" max="24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0"/>
  <sheetViews>
    <sheetView view="pageBreakPreview" topLeftCell="B1" zoomScale="90" zoomScaleNormal="80" zoomScaleSheetLayoutView="90" workbookViewId="0">
      <selection activeCell="B19" sqref="B19"/>
    </sheetView>
  </sheetViews>
  <sheetFormatPr defaultRowHeight="16.5" x14ac:dyDescent="0.3"/>
  <cols>
    <col min="1" max="1" width="6.42578125" style="1" customWidth="1"/>
    <col min="2" max="2" width="28.28515625" style="1" customWidth="1"/>
    <col min="3" max="3" width="14.85546875" style="15" customWidth="1"/>
    <col min="4" max="4" width="14.28515625" style="1" bestFit="1" customWidth="1"/>
    <col min="5" max="5" width="14.28515625" style="1" customWidth="1"/>
    <col min="6" max="6" width="8.28515625" style="1" bestFit="1" customWidth="1"/>
    <col min="7" max="7" width="80.140625" style="1" bestFit="1" customWidth="1"/>
    <col min="8" max="8" width="36.140625" style="1" bestFit="1" customWidth="1"/>
    <col min="9" max="9" width="13.85546875" style="1" bestFit="1" customWidth="1"/>
    <col min="10" max="10" width="9.140625" style="1"/>
    <col min="11" max="11" width="12.140625" style="1" bestFit="1" customWidth="1"/>
    <col min="12" max="12" width="7.5703125" style="78" bestFit="1" customWidth="1"/>
    <col min="13" max="13" width="18.5703125" style="120" bestFit="1" customWidth="1"/>
    <col min="14" max="14" width="22.28515625" style="1" bestFit="1" customWidth="1"/>
    <col min="15" max="15" width="9" style="78" bestFit="1" customWidth="1"/>
    <col min="16" max="16" width="18.5703125" style="120" bestFit="1" customWidth="1"/>
    <col min="17" max="17" width="12.140625" style="1" bestFit="1" customWidth="1"/>
    <col min="18" max="18" width="7.5703125" style="1" bestFit="1" customWidth="1"/>
    <col min="19" max="19" width="17.42578125" style="43" bestFit="1" customWidth="1"/>
    <col min="20" max="20" width="12.140625" style="1" bestFit="1" customWidth="1"/>
    <col min="21" max="21" width="7.5703125" style="1" bestFit="1" customWidth="1"/>
    <col min="22" max="22" width="15.5703125" style="43" bestFit="1" customWidth="1"/>
    <col min="23" max="23" width="17.28515625" style="1" bestFit="1" customWidth="1"/>
    <col min="24" max="16384" width="9.140625" style="1"/>
  </cols>
  <sheetData>
    <row r="1" spans="1:23" x14ac:dyDescent="0.3">
      <c r="A1" s="4" t="s">
        <v>0</v>
      </c>
      <c r="B1" s="5"/>
      <c r="C1" s="306"/>
    </row>
    <row r="2" spans="1:23" x14ac:dyDescent="0.3">
      <c r="A2" s="4" t="s">
        <v>43</v>
      </c>
      <c r="B2" s="5"/>
      <c r="C2" s="306"/>
      <c r="M2" s="120" t="s">
        <v>1003</v>
      </c>
      <c r="P2" s="120" t="s">
        <v>1004</v>
      </c>
      <c r="S2" s="43" t="s">
        <v>1126</v>
      </c>
    </row>
    <row r="3" spans="1:23" x14ac:dyDescent="0.3">
      <c r="A3" s="43" t="s">
        <v>519</v>
      </c>
      <c r="K3" s="646" t="s">
        <v>521</v>
      </c>
      <c r="L3" s="647"/>
      <c r="M3" s="79" t="s">
        <v>522</v>
      </c>
      <c r="N3" s="646" t="s">
        <v>521</v>
      </c>
      <c r="O3" s="647"/>
      <c r="P3" s="79" t="s">
        <v>522</v>
      </c>
      <c r="Q3" s="646" t="s">
        <v>521</v>
      </c>
      <c r="R3" s="647"/>
      <c r="S3" s="357" t="s">
        <v>522</v>
      </c>
      <c r="T3" s="646" t="s">
        <v>521</v>
      </c>
      <c r="U3" s="647"/>
      <c r="V3" s="430" t="s">
        <v>522</v>
      </c>
      <c r="W3" s="186" t="s">
        <v>975</v>
      </c>
    </row>
    <row r="4" spans="1:23" x14ac:dyDescent="0.3">
      <c r="A4" s="2" t="s">
        <v>1</v>
      </c>
      <c r="B4" s="2" t="s">
        <v>2</v>
      </c>
      <c r="C4" s="2" t="s">
        <v>1502</v>
      </c>
      <c r="D4" s="3" t="s">
        <v>3</v>
      </c>
      <c r="E4" s="3" t="s">
        <v>1499</v>
      </c>
      <c r="F4" s="2" t="s">
        <v>4</v>
      </c>
      <c r="G4" s="2" t="s">
        <v>5</v>
      </c>
      <c r="H4" s="7" t="s">
        <v>6</v>
      </c>
      <c r="I4" s="2" t="s">
        <v>507</v>
      </c>
      <c r="J4" s="68" t="s">
        <v>970</v>
      </c>
      <c r="K4" s="646">
        <v>2014</v>
      </c>
      <c r="L4" s="647"/>
      <c r="M4" s="79" t="s">
        <v>525</v>
      </c>
      <c r="N4" s="646">
        <v>2015</v>
      </c>
      <c r="O4" s="647"/>
      <c r="P4" s="79" t="s">
        <v>525</v>
      </c>
      <c r="Q4" s="646">
        <v>2015</v>
      </c>
      <c r="R4" s="647"/>
      <c r="S4" s="357" t="s">
        <v>525</v>
      </c>
      <c r="T4" s="646">
        <v>2016</v>
      </c>
      <c r="U4" s="647"/>
      <c r="V4" s="430" t="s">
        <v>525</v>
      </c>
      <c r="W4" s="79" t="s">
        <v>525</v>
      </c>
    </row>
    <row r="5" spans="1:23" x14ac:dyDescent="0.3">
      <c r="A5" s="6">
        <v>1</v>
      </c>
      <c r="B5" s="18" t="s">
        <v>254</v>
      </c>
      <c r="C5" s="335" t="s">
        <v>2282</v>
      </c>
      <c r="D5" s="19" t="s">
        <v>154</v>
      </c>
      <c r="E5" s="19" t="s">
        <v>2283</v>
      </c>
      <c r="F5" s="6" t="s">
        <v>113</v>
      </c>
      <c r="G5" s="13" t="s">
        <v>308</v>
      </c>
      <c r="H5" s="13" t="s">
        <v>155</v>
      </c>
      <c r="I5" s="8" t="s">
        <v>508</v>
      </c>
      <c r="J5" s="82" t="s">
        <v>640</v>
      </c>
      <c r="K5" s="83" t="s">
        <v>971</v>
      </c>
      <c r="L5" s="89">
        <v>850</v>
      </c>
      <c r="M5" s="121">
        <v>800</v>
      </c>
      <c r="N5" s="83" t="s">
        <v>976</v>
      </c>
      <c r="O5" s="89">
        <v>800</v>
      </c>
      <c r="P5" s="121">
        <v>800</v>
      </c>
      <c r="Q5" s="251" t="s">
        <v>1123</v>
      </c>
      <c r="R5" s="252">
        <v>800</v>
      </c>
      <c r="S5" s="121">
        <v>800</v>
      </c>
      <c r="T5" s="251" t="s">
        <v>2377</v>
      </c>
      <c r="U5" s="252">
        <v>800</v>
      </c>
      <c r="V5" s="121">
        <v>800</v>
      </c>
      <c r="W5" s="187">
        <f>M5-L5</f>
        <v>-50</v>
      </c>
    </row>
    <row r="6" spans="1:23" x14ac:dyDescent="0.3">
      <c r="A6" s="82">
        <v>2</v>
      </c>
      <c r="B6" s="18" t="s">
        <v>256</v>
      </c>
      <c r="C6" s="335" t="s">
        <v>2288</v>
      </c>
      <c r="D6" s="17" t="s">
        <v>159</v>
      </c>
      <c r="E6" s="17" t="s">
        <v>2289</v>
      </c>
      <c r="F6" s="6" t="s">
        <v>113</v>
      </c>
      <c r="G6" s="13" t="s">
        <v>308</v>
      </c>
      <c r="H6" s="13" t="s">
        <v>155</v>
      </c>
      <c r="I6" s="8" t="s">
        <v>508</v>
      </c>
      <c r="J6" s="82" t="s">
        <v>640</v>
      </c>
      <c r="K6" s="83" t="s">
        <v>972</v>
      </c>
      <c r="L6" s="89">
        <v>850</v>
      </c>
      <c r="M6" s="121">
        <v>800</v>
      </c>
      <c r="N6" s="83" t="s">
        <v>977</v>
      </c>
      <c r="O6" s="89">
        <v>800</v>
      </c>
      <c r="P6" s="121">
        <v>800</v>
      </c>
      <c r="Q6" s="251" t="s">
        <v>1125</v>
      </c>
      <c r="R6" s="252">
        <v>800</v>
      </c>
      <c r="S6" s="121">
        <v>800</v>
      </c>
      <c r="T6" s="251" t="s">
        <v>2362</v>
      </c>
      <c r="U6" s="252">
        <v>800</v>
      </c>
      <c r="V6" s="121">
        <v>800</v>
      </c>
      <c r="W6" s="187">
        <f>M6-L6</f>
        <v>-50</v>
      </c>
    </row>
    <row r="7" spans="1:23" x14ac:dyDescent="0.3">
      <c r="A7" s="82">
        <v>3</v>
      </c>
      <c r="B7" s="18" t="s">
        <v>499</v>
      </c>
      <c r="C7" s="335" t="s">
        <v>2292</v>
      </c>
      <c r="D7" s="17" t="s">
        <v>500</v>
      </c>
      <c r="E7" s="17" t="s">
        <v>2293</v>
      </c>
      <c r="F7" s="6" t="s">
        <v>113</v>
      </c>
      <c r="G7" s="13" t="s">
        <v>308</v>
      </c>
      <c r="H7" s="13" t="s">
        <v>155</v>
      </c>
      <c r="I7" s="8" t="s">
        <v>508</v>
      </c>
      <c r="J7" s="82" t="s">
        <v>640</v>
      </c>
      <c r="K7" s="83" t="s">
        <v>973</v>
      </c>
      <c r="L7" s="89">
        <v>850</v>
      </c>
      <c r="M7" s="121">
        <v>800</v>
      </c>
      <c r="N7" s="83" t="s">
        <v>978</v>
      </c>
      <c r="O7" s="89">
        <v>800</v>
      </c>
      <c r="P7" s="121">
        <v>800</v>
      </c>
      <c r="Q7" s="251" t="s">
        <v>1124</v>
      </c>
      <c r="R7" s="252">
        <v>800</v>
      </c>
      <c r="S7" s="121">
        <v>800</v>
      </c>
      <c r="T7" s="251" t="s">
        <v>2364</v>
      </c>
      <c r="U7" s="252">
        <v>800</v>
      </c>
      <c r="V7" s="121">
        <v>800</v>
      </c>
      <c r="W7" s="187">
        <f>M7-L7</f>
        <v>-50</v>
      </c>
    </row>
    <row r="8" spans="1:23" x14ac:dyDescent="0.3">
      <c r="A8" s="82">
        <v>4</v>
      </c>
      <c r="B8" s="18" t="s">
        <v>273</v>
      </c>
      <c r="C8" s="335" t="s">
        <v>2295</v>
      </c>
      <c r="D8" s="19" t="s">
        <v>163</v>
      </c>
      <c r="E8" s="19" t="s">
        <v>2296</v>
      </c>
      <c r="F8" s="6" t="s">
        <v>113</v>
      </c>
      <c r="G8" s="13" t="s">
        <v>308</v>
      </c>
      <c r="H8" s="13" t="s">
        <v>155</v>
      </c>
      <c r="I8" s="8" t="s">
        <v>508</v>
      </c>
      <c r="J8" s="82" t="s">
        <v>640</v>
      </c>
      <c r="K8" s="83" t="s">
        <v>974</v>
      </c>
      <c r="L8" s="89">
        <v>850</v>
      </c>
      <c r="M8" s="121">
        <v>800</v>
      </c>
      <c r="N8" s="83" t="s">
        <v>979</v>
      </c>
      <c r="O8" s="89">
        <v>800</v>
      </c>
      <c r="P8" s="121">
        <v>800</v>
      </c>
      <c r="Q8" s="251" t="s">
        <v>1125</v>
      </c>
      <c r="R8" s="253">
        <v>800</v>
      </c>
      <c r="S8" s="121">
        <v>800</v>
      </c>
      <c r="T8" s="251" t="s">
        <v>2380</v>
      </c>
      <c r="U8" s="253">
        <v>800</v>
      </c>
      <c r="V8" s="121">
        <v>800</v>
      </c>
      <c r="W8" s="187">
        <f>M8-L8</f>
        <v>-50</v>
      </c>
    </row>
    <row r="11" spans="1:23" x14ac:dyDescent="0.3">
      <c r="A11" s="82">
        <v>2</v>
      </c>
      <c r="B11" s="8" t="s">
        <v>517</v>
      </c>
      <c r="C11" s="82" t="s">
        <v>2284</v>
      </c>
      <c r="D11" s="82" t="s">
        <v>518</v>
      </c>
      <c r="E11" s="82" t="s">
        <v>2285</v>
      </c>
      <c r="F11" s="6" t="s">
        <v>113</v>
      </c>
      <c r="G11" s="13" t="s">
        <v>308</v>
      </c>
      <c r="H11" s="8" t="s">
        <v>511</v>
      </c>
      <c r="I11" s="8" t="s">
        <v>512</v>
      </c>
      <c r="J11" s="82" t="s">
        <v>641</v>
      </c>
      <c r="K11" s="83"/>
      <c r="L11" s="89"/>
      <c r="M11" s="121"/>
      <c r="N11" s="83" t="s">
        <v>2360</v>
      </c>
      <c r="O11" s="89">
        <f>3600+2400</f>
        <v>6000</v>
      </c>
      <c r="P11" s="121">
        <v>3600</v>
      </c>
      <c r="Q11" s="83"/>
      <c r="R11" s="83"/>
      <c r="S11" s="96"/>
      <c r="T11" s="83"/>
      <c r="U11" s="83"/>
      <c r="V11" s="96"/>
      <c r="W11" s="187"/>
    </row>
    <row r="12" spans="1:23" x14ac:dyDescent="0.3">
      <c r="A12" s="82">
        <v>3</v>
      </c>
      <c r="B12" s="8" t="s">
        <v>509</v>
      </c>
      <c r="C12" s="82" t="s">
        <v>2286</v>
      </c>
      <c r="D12" s="82" t="s">
        <v>510</v>
      </c>
      <c r="E12" s="82" t="s">
        <v>2287</v>
      </c>
      <c r="F12" s="6" t="s">
        <v>113</v>
      </c>
      <c r="G12" s="13" t="s">
        <v>308</v>
      </c>
      <c r="H12" s="8" t="s">
        <v>511</v>
      </c>
      <c r="I12" s="40" t="s">
        <v>512</v>
      </c>
      <c r="J12" s="82" t="s">
        <v>641</v>
      </c>
      <c r="K12" s="83"/>
      <c r="L12" s="89"/>
      <c r="M12" s="121"/>
      <c r="N12" s="83" t="s">
        <v>2361</v>
      </c>
      <c r="O12" s="89">
        <f>3600+2400</f>
        <v>6000</v>
      </c>
      <c r="P12" s="121">
        <v>3600</v>
      </c>
      <c r="Q12" s="83"/>
      <c r="R12" s="83"/>
      <c r="S12" s="96"/>
      <c r="T12" s="83"/>
      <c r="U12" s="83"/>
      <c r="V12" s="96"/>
      <c r="W12" s="187"/>
    </row>
    <row r="13" spans="1:23" x14ac:dyDescent="0.3">
      <c r="A13" s="82">
        <v>5</v>
      </c>
      <c r="B13" s="8" t="s">
        <v>513</v>
      </c>
      <c r="C13" s="82" t="s">
        <v>2290</v>
      </c>
      <c r="D13" s="82" t="s">
        <v>514</v>
      </c>
      <c r="E13" s="82" t="s">
        <v>2291</v>
      </c>
      <c r="F13" s="6" t="s">
        <v>113</v>
      </c>
      <c r="G13" s="13" t="s">
        <v>308</v>
      </c>
      <c r="H13" s="8" t="s">
        <v>511</v>
      </c>
      <c r="I13" s="40" t="s">
        <v>512</v>
      </c>
      <c r="J13" s="82" t="s">
        <v>641</v>
      </c>
      <c r="K13" s="83"/>
      <c r="L13" s="89"/>
      <c r="M13" s="121"/>
      <c r="N13" s="83" t="s">
        <v>2363</v>
      </c>
      <c r="O13" s="89">
        <f>3600+2400</f>
        <v>6000</v>
      </c>
      <c r="P13" s="121">
        <v>3600</v>
      </c>
      <c r="Q13" s="83"/>
      <c r="R13" s="83"/>
      <c r="S13" s="96"/>
      <c r="T13" s="83"/>
      <c r="U13" s="83"/>
      <c r="V13" s="96"/>
      <c r="W13" s="187"/>
    </row>
    <row r="14" spans="1:23" x14ac:dyDescent="0.3">
      <c r="A14" s="82">
        <v>7</v>
      </c>
      <c r="B14" s="8" t="s">
        <v>515</v>
      </c>
      <c r="C14" s="82" t="s">
        <v>2294</v>
      </c>
      <c r="D14" s="82" t="s">
        <v>516</v>
      </c>
      <c r="E14" s="82" t="s">
        <v>1720</v>
      </c>
      <c r="F14" s="6" t="s">
        <v>113</v>
      </c>
      <c r="G14" s="13" t="s">
        <v>308</v>
      </c>
      <c r="H14" s="8" t="s">
        <v>511</v>
      </c>
      <c r="I14" s="8" t="s">
        <v>512</v>
      </c>
      <c r="J14" s="82" t="s">
        <v>641</v>
      </c>
      <c r="K14" s="83"/>
      <c r="L14" s="89"/>
      <c r="M14" s="121"/>
      <c r="N14" s="83" t="s">
        <v>2365</v>
      </c>
      <c r="O14" s="89">
        <f>3600+2400</f>
        <v>6000</v>
      </c>
      <c r="P14" s="121">
        <v>3600</v>
      </c>
      <c r="Q14" s="83"/>
      <c r="R14" s="83"/>
      <c r="S14" s="96"/>
      <c r="T14" s="83"/>
      <c r="U14" s="83"/>
      <c r="V14" s="96"/>
      <c r="W14" s="187"/>
    </row>
    <row r="19" spans="2:19" x14ac:dyDescent="0.3">
      <c r="B19" s="1" t="s">
        <v>961</v>
      </c>
      <c r="H19" s="1" t="s">
        <v>2661</v>
      </c>
    </row>
    <row r="20" spans="2:19" x14ac:dyDescent="0.3">
      <c r="B20" s="1" t="s">
        <v>962</v>
      </c>
      <c r="G20" s="1" t="s">
        <v>969</v>
      </c>
      <c r="H20" s="1" t="s">
        <v>2660</v>
      </c>
    </row>
    <row r="21" spans="2:19" x14ac:dyDescent="0.3">
      <c r="B21" s="1" t="s">
        <v>963</v>
      </c>
    </row>
    <row r="22" spans="2:19" x14ac:dyDescent="0.3">
      <c r="B22" s="1" t="s">
        <v>964</v>
      </c>
    </row>
    <row r="23" spans="2:19" x14ac:dyDescent="0.3">
      <c r="B23" s="1" t="s">
        <v>965</v>
      </c>
      <c r="H23" s="1" t="s">
        <v>2663</v>
      </c>
    </row>
    <row r="24" spans="2:19" x14ac:dyDescent="0.3">
      <c r="B24" s="1" t="s">
        <v>966</v>
      </c>
    </row>
    <row r="25" spans="2:19" x14ac:dyDescent="0.3">
      <c r="B25" s="1" t="s">
        <v>967</v>
      </c>
    </row>
    <row r="27" spans="2:19" x14ac:dyDescent="0.3">
      <c r="B27" s="1" t="s">
        <v>968</v>
      </c>
    </row>
    <row r="30" spans="2:19" x14ac:dyDescent="0.3">
      <c r="C30" s="1"/>
      <c r="J30" s="78"/>
      <c r="K30" s="120"/>
      <c r="L30" s="1"/>
      <c r="M30" s="78"/>
      <c r="N30" s="120"/>
      <c r="O30" s="1"/>
      <c r="P30" s="1"/>
      <c r="S30" s="1"/>
    </row>
  </sheetData>
  <sortState ref="B5:W8">
    <sortCondition ref="B5:B8"/>
  </sortState>
  <mergeCells count="8">
    <mergeCell ref="T3:U3"/>
    <mergeCell ref="T4:U4"/>
    <mergeCell ref="K3:L3"/>
    <mergeCell ref="N3:O3"/>
    <mergeCell ref="K4:L4"/>
    <mergeCell ref="N4:O4"/>
    <mergeCell ref="Q3:R3"/>
    <mergeCell ref="Q4:R4"/>
  </mergeCells>
  <pageMargins left="0.1" right="0.1" top="0.1" bottom="0.1" header="0.3" footer="0.3"/>
  <pageSetup paperSize="9" scale="64" fitToHeight="0" orientation="landscape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view="pageBreakPreview" zoomScaleNormal="100" zoomScaleSheetLayoutView="100" workbookViewId="0">
      <selection activeCell="L9" sqref="L9"/>
    </sheetView>
  </sheetViews>
  <sheetFormatPr defaultRowHeight="16.5" x14ac:dyDescent="0.3"/>
  <cols>
    <col min="1" max="1" width="4.85546875" style="1" customWidth="1"/>
    <col min="2" max="2" width="27.42578125" style="1" bestFit="1" customWidth="1"/>
    <col min="3" max="3" width="9" style="15" bestFit="1" customWidth="1"/>
    <col min="4" max="4" width="14.28515625" style="1" bestFit="1" customWidth="1"/>
    <col min="5" max="5" width="11.28515625" style="1" bestFit="1" customWidth="1"/>
    <col min="6" max="6" width="17.28515625" style="1" bestFit="1" customWidth="1"/>
    <col min="7" max="7" width="13.5703125" style="1" bestFit="1" customWidth="1"/>
    <col min="8" max="8" width="28.140625" style="1" bestFit="1" customWidth="1"/>
    <col min="9" max="9" width="11.140625" style="1" bestFit="1" customWidth="1"/>
    <col min="10" max="10" width="25" style="1" bestFit="1" customWidth="1"/>
    <col min="11" max="16384" width="9.140625" style="1"/>
  </cols>
  <sheetData>
    <row r="1" spans="1:9" x14ac:dyDescent="0.3">
      <c r="A1" s="4" t="s">
        <v>0</v>
      </c>
    </row>
    <row r="2" spans="1:9" x14ac:dyDescent="0.3">
      <c r="A2" s="4" t="s">
        <v>43</v>
      </c>
      <c r="E2" s="1" t="s">
        <v>2589</v>
      </c>
      <c r="H2" s="87"/>
    </row>
    <row r="3" spans="1:9" x14ac:dyDescent="0.3">
      <c r="A3" s="43" t="s">
        <v>342</v>
      </c>
      <c r="E3" s="1" t="s">
        <v>2590</v>
      </c>
    </row>
    <row r="4" spans="1:9" x14ac:dyDescent="0.3">
      <c r="A4" s="43"/>
      <c r="E4" s="1" t="s">
        <v>2591</v>
      </c>
    </row>
    <row r="5" spans="1:9" x14ac:dyDescent="0.3">
      <c r="A5" s="2" t="s">
        <v>1</v>
      </c>
      <c r="B5" s="2" t="s">
        <v>2</v>
      </c>
      <c r="C5" s="2" t="s">
        <v>1502</v>
      </c>
      <c r="D5" s="3" t="s">
        <v>3</v>
      </c>
      <c r="E5" s="3" t="s">
        <v>1499</v>
      </c>
      <c r="F5" s="2" t="s">
        <v>4</v>
      </c>
      <c r="G5" s="2" t="s">
        <v>5</v>
      </c>
      <c r="H5" s="7" t="s">
        <v>6</v>
      </c>
      <c r="I5" s="7" t="s">
        <v>335</v>
      </c>
    </row>
    <row r="6" spans="1:9" x14ac:dyDescent="0.3">
      <c r="A6" s="82">
        <v>1</v>
      </c>
      <c r="B6" s="83" t="s">
        <v>343</v>
      </c>
      <c r="C6" s="82" t="s">
        <v>2297</v>
      </c>
      <c r="D6" s="9" t="s">
        <v>564</v>
      </c>
      <c r="E6" s="9" t="s">
        <v>2298</v>
      </c>
      <c r="F6" s="82" t="s">
        <v>342</v>
      </c>
      <c r="G6" s="82" t="s">
        <v>565</v>
      </c>
      <c r="H6" s="82" t="s">
        <v>344</v>
      </c>
      <c r="I6" s="89">
        <v>24600</v>
      </c>
    </row>
    <row r="7" spans="1:9" x14ac:dyDescent="0.3">
      <c r="A7" s="83">
        <v>2</v>
      </c>
      <c r="B7" s="83" t="s">
        <v>2612</v>
      </c>
      <c r="C7" s="82"/>
      <c r="D7" s="83"/>
      <c r="E7" s="83"/>
      <c r="F7" s="83"/>
      <c r="G7" s="83"/>
      <c r="H7" s="83"/>
      <c r="I7" s="83"/>
    </row>
    <row r="8" spans="1:9" x14ac:dyDescent="0.3">
      <c r="A8" s="83">
        <v>3</v>
      </c>
      <c r="B8" s="83" t="s">
        <v>2613</v>
      </c>
      <c r="C8" s="82"/>
      <c r="D8" s="83"/>
      <c r="E8" s="83"/>
      <c r="F8" s="83"/>
      <c r="G8" s="83"/>
      <c r="H8" s="83"/>
      <c r="I8" s="83"/>
    </row>
    <row r="9" spans="1:9" x14ac:dyDescent="0.3">
      <c r="A9" s="83">
        <v>4</v>
      </c>
      <c r="B9" s="83"/>
      <c r="C9" s="82"/>
      <c r="D9" s="83"/>
      <c r="E9" s="83"/>
      <c r="F9" s="83"/>
      <c r="G9" s="83"/>
      <c r="H9" s="83"/>
      <c r="I9" s="83"/>
    </row>
    <row r="10" spans="1:9" x14ac:dyDescent="0.3">
      <c r="A10" s="83">
        <v>5</v>
      </c>
      <c r="B10" s="83"/>
      <c r="C10" s="82"/>
      <c r="D10" s="83"/>
      <c r="E10" s="83"/>
      <c r="F10" s="83"/>
      <c r="G10" s="83"/>
      <c r="H10" s="83"/>
      <c r="I10" s="83"/>
    </row>
  </sheetData>
  <pageMargins left="0.7" right="0.7" top="0.75" bottom="0.75" header="0.3" footer="0.3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BM656"/>
  <sheetViews>
    <sheetView view="pageBreakPreview" zoomScale="90" zoomScaleNormal="100" zoomScaleSheetLayoutView="90" workbookViewId="0">
      <pane ySplit="5" topLeftCell="A6" activePane="bottomLeft" state="frozen"/>
      <selection pane="bottomLeft" activeCell="G2" sqref="G2"/>
    </sheetView>
  </sheetViews>
  <sheetFormatPr defaultRowHeight="16.5" x14ac:dyDescent="0.3"/>
  <cols>
    <col min="1" max="1" width="9.140625" style="27"/>
    <col min="2" max="2" width="63.42578125" style="1" bestFit="1" customWidth="1"/>
    <col min="3" max="3" width="13" style="15" customWidth="1"/>
    <col min="4" max="4" width="13.140625" style="185" bestFit="1" customWidth="1"/>
    <col min="5" max="5" width="12" style="185" bestFit="1" customWidth="1"/>
    <col min="6" max="6" width="18" style="15" customWidth="1"/>
    <col min="7" max="7" width="20.28515625" style="15" customWidth="1"/>
    <col min="8" max="8" width="32.7109375" style="21" customWidth="1"/>
    <col min="9" max="9" width="14.42578125" style="396" bestFit="1" customWidth="1"/>
    <col min="10" max="10" width="7.5703125" style="78" bestFit="1" customWidth="1"/>
    <col min="11" max="11" width="10" style="78" bestFit="1" customWidth="1"/>
    <col min="12" max="12" width="14" style="120" bestFit="1" customWidth="1"/>
    <col min="13" max="13" width="15.85546875" style="120" bestFit="1" customWidth="1"/>
    <col min="14" max="14" width="19.140625" style="293" bestFit="1" customWidth="1"/>
    <col min="15" max="15" width="18.7109375" style="120" customWidth="1"/>
    <col min="16" max="16" width="19" style="188" customWidth="1"/>
    <col min="17" max="16384" width="9.140625" style="1"/>
  </cols>
  <sheetData>
    <row r="1" spans="1:5473" x14ac:dyDescent="0.3">
      <c r="A1" s="36" t="s">
        <v>0</v>
      </c>
      <c r="B1" s="48"/>
      <c r="C1" s="313"/>
      <c r="D1" s="385"/>
      <c r="E1" s="385"/>
      <c r="F1" s="39"/>
      <c r="G1" s="24"/>
      <c r="H1" s="49"/>
      <c r="I1" s="549"/>
    </row>
    <row r="2" spans="1:5473" x14ac:dyDescent="0.3">
      <c r="A2" s="36" t="s">
        <v>43</v>
      </c>
      <c r="B2" s="48"/>
      <c r="C2" s="313"/>
      <c r="D2" s="184"/>
      <c r="E2" s="184"/>
      <c r="F2" s="24"/>
      <c r="G2" s="551" t="s">
        <v>3030</v>
      </c>
      <c r="H2" s="49" t="s">
        <v>2757</v>
      </c>
      <c r="I2" s="549"/>
    </row>
    <row r="3" spans="1:5473" x14ac:dyDescent="0.3">
      <c r="A3" s="50" t="s">
        <v>2733</v>
      </c>
    </row>
    <row r="4" spans="1:5473" s="27" customFormat="1" ht="16.5" customHeight="1" x14ac:dyDescent="0.3">
      <c r="A4" s="654" t="s">
        <v>1</v>
      </c>
      <c r="B4" s="652" t="s">
        <v>2</v>
      </c>
      <c r="C4" s="652" t="s">
        <v>1502</v>
      </c>
      <c r="D4" s="656" t="s">
        <v>3</v>
      </c>
      <c r="E4" s="656" t="s">
        <v>1492</v>
      </c>
      <c r="F4" s="652" t="s">
        <v>4</v>
      </c>
      <c r="G4" s="652" t="s">
        <v>5</v>
      </c>
      <c r="H4" s="652" t="s">
        <v>6</v>
      </c>
      <c r="I4" s="650" t="s">
        <v>520</v>
      </c>
      <c r="J4" s="646" t="s">
        <v>521</v>
      </c>
      <c r="K4" s="647"/>
      <c r="L4" s="543" t="s">
        <v>522</v>
      </c>
      <c r="M4" s="296" t="s">
        <v>523</v>
      </c>
      <c r="N4" s="649" t="s">
        <v>524</v>
      </c>
      <c r="O4" s="635" t="s">
        <v>755</v>
      </c>
      <c r="P4" s="648" t="s">
        <v>571</v>
      </c>
    </row>
    <row r="5" spans="1:5473" s="27" customFormat="1" ht="16.5" customHeight="1" x14ac:dyDescent="0.3">
      <c r="A5" s="655"/>
      <c r="B5" s="653"/>
      <c r="C5" s="653"/>
      <c r="D5" s="657"/>
      <c r="E5" s="657"/>
      <c r="F5" s="653"/>
      <c r="G5" s="653"/>
      <c r="H5" s="653"/>
      <c r="I5" s="651"/>
      <c r="J5" s="646">
        <v>2016</v>
      </c>
      <c r="K5" s="647"/>
      <c r="L5" s="543" t="s">
        <v>525</v>
      </c>
      <c r="M5" s="548" t="s">
        <v>525</v>
      </c>
      <c r="N5" s="649"/>
      <c r="O5" s="636"/>
      <c r="P5" s="648"/>
    </row>
    <row r="6" spans="1:5473" s="27" customFormat="1" x14ac:dyDescent="0.3">
      <c r="A6" s="11">
        <v>1</v>
      </c>
      <c r="B6" s="26" t="s">
        <v>1509</v>
      </c>
      <c r="C6" s="12" t="s">
        <v>1508</v>
      </c>
      <c r="D6" s="317" t="s">
        <v>1511</v>
      </c>
      <c r="E6" s="124" t="s">
        <v>1510</v>
      </c>
      <c r="F6" s="12" t="s">
        <v>7</v>
      </c>
      <c r="G6" s="11" t="s">
        <v>1528</v>
      </c>
      <c r="H6" s="86" t="s">
        <v>1498</v>
      </c>
      <c r="I6" s="550">
        <v>10000</v>
      </c>
      <c r="J6" s="122"/>
      <c r="K6" s="75">
        <v>3600</v>
      </c>
      <c r="L6" s="122">
        <v>3420</v>
      </c>
      <c r="M6" s="122">
        <f>I6-L6</f>
        <v>6580</v>
      </c>
      <c r="N6" s="93"/>
      <c r="O6" s="93"/>
      <c r="P6" s="76"/>
    </row>
    <row r="7" spans="1:5473" s="27" customFormat="1" x14ac:dyDescent="0.3">
      <c r="A7" s="11">
        <v>2</v>
      </c>
      <c r="B7" s="40" t="s">
        <v>1531</v>
      </c>
      <c r="C7" s="12" t="s">
        <v>1530</v>
      </c>
      <c r="D7" s="299">
        <v>780323136050</v>
      </c>
      <c r="E7" s="299" t="s">
        <v>1529</v>
      </c>
      <c r="F7" s="12" t="s">
        <v>7</v>
      </c>
      <c r="G7" s="11" t="s">
        <v>1528</v>
      </c>
      <c r="H7" s="86" t="s">
        <v>1532</v>
      </c>
      <c r="I7" s="550">
        <v>10000</v>
      </c>
      <c r="J7" s="122"/>
      <c r="K7" s="75">
        <v>3000</v>
      </c>
      <c r="L7" s="122">
        <v>2850</v>
      </c>
      <c r="M7" s="122">
        <f t="shared" ref="M7:M22" si="0">I7-L7</f>
        <v>7150</v>
      </c>
      <c r="N7" s="93"/>
      <c r="O7" s="93"/>
      <c r="P7" s="76"/>
    </row>
    <row r="8" spans="1:5473" s="27" customFormat="1" x14ac:dyDescent="0.3">
      <c r="A8" s="11">
        <v>3</v>
      </c>
      <c r="B8" s="40" t="s">
        <v>2120</v>
      </c>
      <c r="C8" s="12" t="s">
        <v>2121</v>
      </c>
      <c r="D8" s="299">
        <v>900712105374</v>
      </c>
      <c r="E8" s="299" t="s">
        <v>2119</v>
      </c>
      <c r="F8" s="12" t="s">
        <v>7</v>
      </c>
      <c r="G8" s="11" t="s">
        <v>1528</v>
      </c>
      <c r="H8" s="86" t="s">
        <v>1495</v>
      </c>
      <c r="I8" s="550">
        <v>10000</v>
      </c>
      <c r="J8" s="122"/>
      <c r="K8" s="75">
        <v>3900</v>
      </c>
      <c r="L8" s="122">
        <v>3705</v>
      </c>
      <c r="M8" s="122">
        <f t="shared" si="0"/>
        <v>6295</v>
      </c>
      <c r="N8" s="93"/>
      <c r="O8" s="93"/>
      <c r="P8" s="76"/>
    </row>
    <row r="9" spans="1:5473" s="27" customFormat="1" x14ac:dyDescent="0.3">
      <c r="A9" s="11">
        <v>4</v>
      </c>
      <c r="B9" s="40" t="s">
        <v>2448</v>
      </c>
      <c r="C9" s="12" t="s">
        <v>1560</v>
      </c>
      <c r="D9" s="310" t="s">
        <v>1559</v>
      </c>
      <c r="E9" s="299" t="s">
        <v>1558</v>
      </c>
      <c r="F9" s="12" t="s">
        <v>7</v>
      </c>
      <c r="G9" s="11" t="s">
        <v>1528</v>
      </c>
      <c r="H9" s="86" t="s">
        <v>1524</v>
      </c>
      <c r="I9" s="550">
        <v>10000</v>
      </c>
      <c r="J9" s="122"/>
      <c r="K9" s="75">
        <v>8400</v>
      </c>
      <c r="L9" s="122">
        <v>7980</v>
      </c>
      <c r="M9" s="122">
        <f t="shared" si="0"/>
        <v>2020</v>
      </c>
      <c r="N9" s="93"/>
      <c r="O9" s="93"/>
      <c r="P9" s="76"/>
    </row>
    <row r="10" spans="1:5473" s="27" customFormat="1" x14ac:dyDescent="0.3">
      <c r="A10" s="11">
        <v>5</v>
      </c>
      <c r="B10" s="40" t="s">
        <v>1574</v>
      </c>
      <c r="C10" s="12" t="s">
        <v>1577</v>
      </c>
      <c r="D10" s="310" t="s">
        <v>1576</v>
      </c>
      <c r="E10" s="299" t="s">
        <v>1575</v>
      </c>
      <c r="F10" s="12" t="s">
        <v>7</v>
      </c>
      <c r="G10" s="11" t="s">
        <v>1528</v>
      </c>
      <c r="H10" s="86" t="s">
        <v>1544</v>
      </c>
      <c r="I10" s="550">
        <v>10000</v>
      </c>
      <c r="J10" s="122"/>
      <c r="K10" s="75">
        <v>3600</v>
      </c>
      <c r="L10" s="122">
        <v>3420</v>
      </c>
      <c r="M10" s="122">
        <f t="shared" si="0"/>
        <v>6580</v>
      </c>
      <c r="N10" s="93"/>
      <c r="O10" s="93"/>
      <c r="P10" s="76"/>
    </row>
    <row r="11" spans="1:5473" s="83" customFormat="1" x14ac:dyDescent="0.3">
      <c r="A11" s="11">
        <v>6</v>
      </c>
      <c r="B11" s="40" t="s">
        <v>2447</v>
      </c>
      <c r="C11" s="12" t="s">
        <v>1566</v>
      </c>
      <c r="D11" s="310" t="s">
        <v>1604</v>
      </c>
      <c r="E11" s="299" t="s">
        <v>1279</v>
      </c>
      <c r="F11" s="12" t="s">
        <v>7</v>
      </c>
      <c r="G11" s="11" t="s">
        <v>1528</v>
      </c>
      <c r="H11" s="86" t="s">
        <v>1498</v>
      </c>
      <c r="I11" s="550">
        <v>10000</v>
      </c>
      <c r="J11" s="122"/>
      <c r="K11" s="75">
        <v>10000</v>
      </c>
      <c r="L11" s="122">
        <v>9500</v>
      </c>
      <c r="M11" s="122">
        <f t="shared" si="0"/>
        <v>500</v>
      </c>
      <c r="N11" s="93"/>
      <c r="O11" s="93"/>
      <c r="P11" s="76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84"/>
      <c r="DP11" s="84"/>
      <c r="DQ11" s="84"/>
      <c r="DR11" s="84"/>
      <c r="DS11" s="84"/>
      <c r="DT11" s="84"/>
      <c r="DU11" s="84"/>
      <c r="DV11" s="84"/>
      <c r="DW11" s="84"/>
      <c r="DX11" s="84"/>
      <c r="DY11" s="84"/>
      <c r="DZ11" s="84"/>
      <c r="EA11" s="84"/>
      <c r="EB11" s="84"/>
      <c r="EC11" s="84"/>
      <c r="ED11" s="84"/>
      <c r="EE11" s="84"/>
      <c r="EF11" s="84"/>
      <c r="EG11" s="84"/>
      <c r="EH11" s="84"/>
      <c r="EI11" s="84"/>
      <c r="EJ11" s="84"/>
      <c r="EK11" s="84"/>
      <c r="EL11" s="84"/>
      <c r="EM11" s="84"/>
      <c r="EN11" s="84"/>
      <c r="EO11" s="84"/>
      <c r="EP11" s="84"/>
      <c r="EQ11" s="84"/>
      <c r="ER11" s="84"/>
      <c r="ES11" s="84"/>
      <c r="ET11" s="84"/>
      <c r="EU11" s="84"/>
      <c r="EV11" s="84"/>
      <c r="EW11" s="84"/>
      <c r="EX11" s="84"/>
      <c r="EY11" s="84"/>
      <c r="EZ11" s="84"/>
      <c r="FA11" s="84"/>
      <c r="FB11" s="84"/>
      <c r="FC11" s="84"/>
      <c r="FD11" s="84"/>
      <c r="FE11" s="84"/>
      <c r="FF11" s="84"/>
      <c r="FG11" s="84"/>
      <c r="FH11" s="84"/>
      <c r="FI11" s="84"/>
      <c r="FJ11" s="84"/>
      <c r="FK11" s="84"/>
      <c r="FL11" s="84"/>
      <c r="FM11" s="84"/>
      <c r="FN11" s="84"/>
      <c r="FO11" s="84"/>
      <c r="FP11" s="84"/>
      <c r="FQ11" s="84"/>
      <c r="FR11" s="84"/>
      <c r="FS11" s="84"/>
      <c r="FT11" s="84"/>
      <c r="FU11" s="84"/>
      <c r="FV11" s="84"/>
      <c r="FW11" s="84"/>
      <c r="FX11" s="84"/>
      <c r="FY11" s="84"/>
      <c r="FZ11" s="84"/>
      <c r="GA11" s="84"/>
      <c r="GB11" s="84"/>
      <c r="GC11" s="84"/>
      <c r="GD11" s="84"/>
      <c r="GE11" s="84"/>
      <c r="GF11" s="84"/>
      <c r="GG11" s="84"/>
      <c r="GH11" s="84"/>
      <c r="GI11" s="84"/>
      <c r="GJ11" s="84"/>
      <c r="GK11" s="84"/>
      <c r="GL11" s="84"/>
      <c r="GM11" s="84"/>
      <c r="GN11" s="84"/>
      <c r="GO11" s="84"/>
      <c r="GP11" s="84"/>
      <c r="GQ11" s="84"/>
      <c r="GR11" s="84"/>
      <c r="GS11" s="84"/>
      <c r="GT11" s="84"/>
      <c r="GU11" s="84"/>
      <c r="GV11" s="84"/>
      <c r="GW11" s="84"/>
      <c r="GX11" s="84"/>
      <c r="GY11" s="84"/>
      <c r="GZ11" s="84"/>
      <c r="HA11" s="84"/>
      <c r="HB11" s="84"/>
      <c r="HC11" s="84"/>
      <c r="HD11" s="84"/>
      <c r="HE11" s="84"/>
      <c r="HF11" s="84"/>
      <c r="HG11" s="84"/>
      <c r="HH11" s="84"/>
      <c r="HI11" s="84"/>
      <c r="HJ11" s="84"/>
      <c r="HK11" s="84"/>
      <c r="HL11" s="84"/>
      <c r="HM11" s="84"/>
      <c r="HN11" s="84"/>
      <c r="HO11" s="84"/>
      <c r="HP11" s="84"/>
      <c r="HQ11" s="84"/>
      <c r="HR11" s="84"/>
      <c r="HS11" s="84"/>
      <c r="HT11" s="84"/>
      <c r="HU11" s="84"/>
      <c r="HV11" s="84"/>
      <c r="HW11" s="84"/>
      <c r="HX11" s="84"/>
      <c r="HY11" s="84"/>
      <c r="HZ11" s="84"/>
      <c r="IA11" s="84"/>
      <c r="IB11" s="84"/>
      <c r="IC11" s="84"/>
      <c r="ID11" s="84"/>
      <c r="IE11" s="84"/>
      <c r="IF11" s="84"/>
      <c r="IG11" s="84"/>
      <c r="IH11" s="84"/>
      <c r="II11" s="84"/>
      <c r="IJ11" s="84"/>
      <c r="IK11" s="84"/>
      <c r="IL11" s="84"/>
      <c r="IM11" s="84"/>
      <c r="IN11" s="84"/>
      <c r="IO11" s="84"/>
      <c r="IP11" s="84"/>
      <c r="IQ11" s="84"/>
      <c r="IR11" s="84"/>
      <c r="IS11" s="84"/>
      <c r="IT11" s="84"/>
      <c r="IU11" s="84"/>
      <c r="IV11" s="84"/>
      <c r="IW11" s="84"/>
      <c r="IX11" s="84"/>
      <c r="IY11" s="84"/>
      <c r="IZ11" s="84"/>
      <c r="JA11" s="84"/>
      <c r="JB11" s="84"/>
      <c r="JC11" s="84"/>
      <c r="JD11" s="84"/>
      <c r="JE11" s="84"/>
      <c r="JF11" s="84"/>
      <c r="JG11" s="84"/>
      <c r="JH11" s="84"/>
      <c r="JI11" s="84"/>
      <c r="JJ11" s="84"/>
      <c r="JK11" s="84"/>
      <c r="JL11" s="84"/>
      <c r="JM11" s="84"/>
      <c r="JN11" s="84"/>
      <c r="JO11" s="84"/>
      <c r="JP11" s="84"/>
      <c r="JQ11" s="84"/>
      <c r="JR11" s="84"/>
      <c r="JS11" s="84"/>
      <c r="JT11" s="84"/>
      <c r="JU11" s="84"/>
      <c r="JV11" s="84"/>
      <c r="JW11" s="84"/>
      <c r="JX11" s="84"/>
      <c r="JY11" s="84"/>
      <c r="JZ11" s="84"/>
      <c r="KA11" s="84"/>
      <c r="KB11" s="84"/>
      <c r="KC11" s="84"/>
      <c r="KD11" s="84"/>
      <c r="KE11" s="84"/>
      <c r="KF11" s="84"/>
      <c r="KG11" s="84"/>
      <c r="KH11" s="84"/>
      <c r="KI11" s="84"/>
      <c r="KJ11" s="84"/>
      <c r="KK11" s="84"/>
      <c r="KL11" s="84"/>
      <c r="KM11" s="84"/>
      <c r="KN11" s="84"/>
      <c r="KO11" s="84"/>
      <c r="KP11" s="84"/>
      <c r="KQ11" s="84"/>
      <c r="KR11" s="84"/>
      <c r="KS11" s="84"/>
      <c r="KT11" s="84"/>
      <c r="KU11" s="84"/>
      <c r="KV11" s="84"/>
      <c r="KW11" s="84"/>
      <c r="KX11" s="84"/>
      <c r="KY11" s="84"/>
      <c r="KZ11" s="84"/>
      <c r="LA11" s="84"/>
      <c r="LB11" s="84"/>
      <c r="LC11" s="84"/>
      <c r="LD11" s="84"/>
      <c r="LE11" s="84"/>
      <c r="LF11" s="84"/>
      <c r="LG11" s="84"/>
      <c r="LH11" s="84"/>
      <c r="LI11" s="84"/>
      <c r="LJ11" s="84"/>
      <c r="LK11" s="84"/>
      <c r="LL11" s="84"/>
      <c r="LM11" s="84"/>
      <c r="LN11" s="84"/>
      <c r="LO11" s="84"/>
      <c r="LP11" s="84"/>
      <c r="LQ11" s="84"/>
      <c r="LR11" s="84"/>
      <c r="LS11" s="84"/>
      <c r="LT11" s="84"/>
      <c r="LU11" s="84"/>
      <c r="LV11" s="84"/>
      <c r="LW11" s="84"/>
      <c r="LX11" s="84"/>
      <c r="LY11" s="84"/>
      <c r="LZ11" s="84"/>
      <c r="MA11" s="84"/>
      <c r="MB11" s="84"/>
      <c r="MC11" s="84"/>
      <c r="MD11" s="84"/>
      <c r="ME11" s="84"/>
      <c r="MF11" s="84"/>
      <c r="MG11" s="84"/>
      <c r="MH11" s="84"/>
      <c r="MI11" s="84"/>
      <c r="MJ11" s="84"/>
      <c r="MK11" s="84"/>
      <c r="ML11" s="84"/>
      <c r="MM11" s="84"/>
      <c r="MN11" s="84"/>
      <c r="MO11" s="84"/>
      <c r="MP11" s="84"/>
      <c r="MQ11" s="84"/>
      <c r="MR11" s="84"/>
      <c r="MS11" s="84"/>
      <c r="MT11" s="84"/>
      <c r="MU11" s="84"/>
      <c r="MV11" s="84"/>
      <c r="MW11" s="84"/>
      <c r="MX11" s="84"/>
      <c r="MY11" s="84"/>
      <c r="MZ11" s="84"/>
      <c r="NA11" s="84"/>
      <c r="NB11" s="84"/>
      <c r="NC11" s="84"/>
      <c r="ND11" s="84"/>
      <c r="NE11" s="84"/>
      <c r="NF11" s="84"/>
      <c r="NG11" s="84"/>
      <c r="NH11" s="84"/>
      <c r="NI11" s="84"/>
      <c r="NJ11" s="84"/>
      <c r="NK11" s="84"/>
      <c r="NL11" s="84"/>
      <c r="NM11" s="84"/>
      <c r="NN11" s="84"/>
      <c r="NO11" s="84"/>
      <c r="NP11" s="84"/>
      <c r="NQ11" s="84"/>
      <c r="NR11" s="84"/>
      <c r="NS11" s="84"/>
      <c r="NT11" s="84"/>
      <c r="NU11" s="84"/>
      <c r="NV11" s="84"/>
      <c r="NW11" s="84"/>
      <c r="NX11" s="84"/>
      <c r="NY11" s="84"/>
      <c r="NZ11" s="84"/>
      <c r="OA11" s="84"/>
      <c r="OB11" s="84"/>
      <c r="OC11" s="84"/>
      <c r="OD11" s="84"/>
      <c r="OE11" s="84"/>
      <c r="OF11" s="84"/>
      <c r="OG11" s="84"/>
      <c r="OH11" s="84"/>
      <c r="OI11" s="84"/>
      <c r="OJ11" s="84"/>
      <c r="OK11" s="84"/>
      <c r="OL11" s="84"/>
      <c r="OM11" s="84"/>
      <c r="ON11" s="84"/>
      <c r="OO11" s="84"/>
      <c r="OP11" s="84"/>
      <c r="OQ11" s="84"/>
      <c r="OR11" s="84"/>
      <c r="OS11" s="84"/>
      <c r="OT11" s="84"/>
      <c r="OU11" s="84"/>
      <c r="OV11" s="84"/>
      <c r="OW11" s="84"/>
      <c r="OX11" s="84"/>
      <c r="OY11" s="84"/>
      <c r="OZ11" s="84"/>
      <c r="PA11" s="84"/>
      <c r="PB11" s="84"/>
      <c r="PC11" s="84"/>
      <c r="PD11" s="84"/>
      <c r="PE11" s="84"/>
      <c r="PF11" s="84"/>
      <c r="PG11" s="84"/>
      <c r="PH11" s="84"/>
      <c r="PI11" s="84"/>
      <c r="PJ11" s="84"/>
      <c r="PK11" s="84"/>
      <c r="PL11" s="84"/>
      <c r="PM11" s="84"/>
      <c r="PN11" s="84"/>
      <c r="PO11" s="84"/>
      <c r="PP11" s="84"/>
      <c r="PQ11" s="84"/>
      <c r="PR11" s="84"/>
      <c r="PS11" s="84"/>
      <c r="PT11" s="84"/>
      <c r="PU11" s="84"/>
      <c r="PV11" s="84"/>
      <c r="PW11" s="84"/>
      <c r="PX11" s="84"/>
      <c r="PY11" s="84"/>
      <c r="PZ11" s="84"/>
      <c r="QA11" s="84"/>
      <c r="QB11" s="84"/>
      <c r="QC11" s="84"/>
      <c r="QD11" s="84"/>
      <c r="QE11" s="84"/>
      <c r="QF11" s="84"/>
      <c r="QG11" s="84"/>
      <c r="QH11" s="84"/>
      <c r="QI11" s="84"/>
      <c r="QJ11" s="84"/>
      <c r="QK11" s="84"/>
      <c r="QL11" s="84"/>
      <c r="QM11" s="84"/>
      <c r="QN11" s="84"/>
      <c r="QO11" s="84"/>
      <c r="QP11" s="84"/>
      <c r="QQ11" s="84"/>
      <c r="QR11" s="84"/>
      <c r="QS11" s="84"/>
      <c r="QT11" s="84"/>
      <c r="QU11" s="84"/>
      <c r="QV11" s="84"/>
      <c r="QW11" s="84"/>
      <c r="QX11" s="84"/>
      <c r="QY11" s="84"/>
      <c r="QZ11" s="84"/>
      <c r="RA11" s="84"/>
      <c r="RB11" s="84"/>
      <c r="RC11" s="84"/>
      <c r="RD11" s="84"/>
      <c r="RE11" s="84"/>
      <c r="RF11" s="84"/>
      <c r="RG11" s="84"/>
      <c r="RH11" s="84"/>
      <c r="RI11" s="84"/>
      <c r="RJ11" s="84"/>
      <c r="RK11" s="84"/>
      <c r="RL11" s="84"/>
      <c r="RM11" s="84"/>
      <c r="RN11" s="84"/>
      <c r="RO11" s="84"/>
      <c r="RP11" s="84"/>
      <c r="RQ11" s="84"/>
      <c r="RR11" s="84"/>
      <c r="RS11" s="84"/>
      <c r="RT11" s="84"/>
      <c r="RU11" s="84"/>
      <c r="RV11" s="84"/>
      <c r="RW11" s="84"/>
      <c r="RX11" s="84"/>
      <c r="RY11" s="84"/>
      <c r="RZ11" s="84"/>
      <c r="SA11" s="84"/>
      <c r="SB11" s="84"/>
      <c r="SC11" s="84"/>
      <c r="SD11" s="84"/>
      <c r="SE11" s="84"/>
      <c r="SF11" s="84"/>
      <c r="SG11" s="84"/>
      <c r="SH11" s="84"/>
      <c r="SI11" s="84"/>
      <c r="SJ11" s="84"/>
      <c r="SK11" s="84"/>
      <c r="SL11" s="84"/>
      <c r="SM11" s="84"/>
      <c r="SN11" s="84"/>
      <c r="SO11" s="84"/>
      <c r="SP11" s="84"/>
      <c r="SQ11" s="84"/>
      <c r="SR11" s="84"/>
      <c r="SS11" s="84"/>
      <c r="ST11" s="84"/>
      <c r="SU11" s="84"/>
      <c r="SV11" s="84"/>
      <c r="SW11" s="84"/>
      <c r="SX11" s="84"/>
      <c r="SY11" s="84"/>
      <c r="SZ11" s="84"/>
      <c r="TA11" s="84"/>
      <c r="TB11" s="84"/>
      <c r="TC11" s="84"/>
      <c r="TD11" s="84"/>
      <c r="TE11" s="84"/>
      <c r="TF11" s="84"/>
      <c r="TG11" s="84"/>
      <c r="TH11" s="84"/>
      <c r="TI11" s="84"/>
      <c r="TJ11" s="84"/>
      <c r="TK11" s="84"/>
      <c r="TL11" s="84"/>
      <c r="TM11" s="84"/>
      <c r="TN11" s="84"/>
      <c r="TO11" s="84"/>
      <c r="TP11" s="84"/>
      <c r="TQ11" s="84"/>
      <c r="TR11" s="84"/>
      <c r="TS11" s="84"/>
      <c r="TT11" s="84"/>
      <c r="TU11" s="84"/>
      <c r="TV11" s="84"/>
      <c r="TW11" s="84"/>
      <c r="TX11" s="84"/>
      <c r="TY11" s="84"/>
      <c r="TZ11" s="84"/>
      <c r="UA11" s="84"/>
      <c r="UB11" s="84"/>
      <c r="UC11" s="84"/>
      <c r="UD11" s="84"/>
      <c r="UE11" s="84"/>
      <c r="UF11" s="84"/>
      <c r="UG11" s="84"/>
      <c r="UH11" s="84"/>
      <c r="UI11" s="84"/>
      <c r="UJ11" s="84"/>
      <c r="UK11" s="84"/>
      <c r="UL11" s="84"/>
      <c r="UM11" s="84"/>
      <c r="UN11" s="84"/>
      <c r="UO11" s="84"/>
      <c r="UP11" s="84"/>
      <c r="UQ11" s="84"/>
      <c r="UR11" s="84"/>
      <c r="US11" s="84"/>
      <c r="UT11" s="84"/>
      <c r="UU11" s="84"/>
      <c r="UV11" s="84"/>
      <c r="UW11" s="84"/>
      <c r="UX11" s="84"/>
      <c r="UY11" s="84"/>
      <c r="UZ11" s="84"/>
      <c r="VA11" s="84"/>
      <c r="VB11" s="84"/>
      <c r="VC11" s="84"/>
      <c r="VD11" s="84"/>
      <c r="VE11" s="84"/>
      <c r="VF11" s="84"/>
      <c r="VG11" s="84"/>
      <c r="VH11" s="84"/>
      <c r="VI11" s="84"/>
      <c r="VJ11" s="84"/>
      <c r="VK11" s="84"/>
      <c r="VL11" s="84"/>
      <c r="VM11" s="84"/>
      <c r="VN11" s="84"/>
      <c r="VO11" s="84"/>
      <c r="VP11" s="84"/>
      <c r="VQ11" s="84"/>
      <c r="VR11" s="84"/>
      <c r="VS11" s="84"/>
      <c r="VT11" s="84"/>
      <c r="VU11" s="84"/>
      <c r="VV11" s="84"/>
      <c r="VW11" s="84"/>
      <c r="VX11" s="84"/>
      <c r="VY11" s="84"/>
      <c r="VZ11" s="84"/>
      <c r="WA11" s="84"/>
      <c r="WB11" s="84"/>
      <c r="WC11" s="84"/>
      <c r="WD11" s="84"/>
      <c r="WE11" s="84"/>
      <c r="WF11" s="84"/>
      <c r="WG11" s="84"/>
      <c r="WH11" s="84"/>
      <c r="WI11" s="84"/>
      <c r="WJ11" s="84"/>
      <c r="WK11" s="84"/>
      <c r="WL11" s="84"/>
      <c r="WM11" s="84"/>
      <c r="WN11" s="84"/>
      <c r="WO11" s="84"/>
      <c r="WP11" s="84"/>
      <c r="WQ11" s="84"/>
      <c r="WR11" s="84"/>
      <c r="WS11" s="84"/>
      <c r="WT11" s="84"/>
      <c r="WU11" s="84"/>
      <c r="WV11" s="84"/>
      <c r="WW11" s="84"/>
      <c r="WX11" s="84"/>
      <c r="WY11" s="84"/>
      <c r="WZ11" s="84"/>
      <c r="XA11" s="84"/>
      <c r="XB11" s="84"/>
      <c r="XC11" s="84"/>
      <c r="XD11" s="84"/>
      <c r="XE11" s="84"/>
      <c r="XF11" s="84"/>
      <c r="XG11" s="84"/>
      <c r="XH11" s="84"/>
      <c r="XI11" s="84"/>
      <c r="XJ11" s="84"/>
      <c r="XK11" s="84"/>
      <c r="XL11" s="84"/>
      <c r="XM11" s="84"/>
      <c r="XN11" s="84"/>
      <c r="XO11" s="84"/>
      <c r="XP11" s="84"/>
      <c r="XQ11" s="84"/>
      <c r="XR11" s="84"/>
      <c r="XS11" s="84"/>
      <c r="XT11" s="84"/>
      <c r="XU11" s="84"/>
      <c r="XV11" s="84"/>
      <c r="XW11" s="84"/>
      <c r="XX11" s="84"/>
      <c r="XY11" s="84"/>
      <c r="XZ11" s="84"/>
      <c r="YA11" s="84"/>
      <c r="YB11" s="84"/>
      <c r="YC11" s="84"/>
      <c r="YD11" s="84"/>
      <c r="YE11" s="84"/>
      <c r="YF11" s="84"/>
      <c r="YG11" s="84"/>
      <c r="YH11" s="84"/>
      <c r="YI11" s="84"/>
      <c r="YJ11" s="84"/>
      <c r="YK11" s="84"/>
      <c r="YL11" s="84"/>
      <c r="YM11" s="84"/>
      <c r="YN11" s="84"/>
      <c r="YO11" s="84"/>
      <c r="YP11" s="84"/>
      <c r="YQ11" s="84"/>
      <c r="YR11" s="84"/>
      <c r="YS11" s="84"/>
      <c r="YT11" s="84"/>
      <c r="YU11" s="84"/>
      <c r="YV11" s="84"/>
      <c r="YW11" s="84"/>
      <c r="YX11" s="84"/>
      <c r="YY11" s="84"/>
      <c r="YZ11" s="84"/>
      <c r="ZA11" s="84"/>
      <c r="ZB11" s="84"/>
      <c r="ZC11" s="84"/>
      <c r="ZD11" s="84"/>
      <c r="ZE11" s="84"/>
      <c r="ZF11" s="84"/>
      <c r="ZG11" s="84"/>
      <c r="ZH11" s="84"/>
      <c r="ZI11" s="84"/>
      <c r="ZJ11" s="84"/>
      <c r="ZK11" s="84"/>
      <c r="ZL11" s="84"/>
      <c r="ZM11" s="84"/>
      <c r="ZN11" s="84"/>
      <c r="ZO11" s="84"/>
      <c r="ZP11" s="84"/>
      <c r="ZQ11" s="84"/>
      <c r="ZR11" s="84"/>
      <c r="ZS11" s="84"/>
      <c r="ZT11" s="84"/>
      <c r="ZU11" s="84"/>
      <c r="ZV11" s="84"/>
      <c r="ZW11" s="84"/>
      <c r="ZX11" s="84"/>
      <c r="ZY11" s="84"/>
      <c r="ZZ11" s="84"/>
      <c r="AAA11" s="84"/>
      <c r="AAB11" s="84"/>
      <c r="AAC11" s="84"/>
      <c r="AAD11" s="84"/>
      <c r="AAE11" s="84"/>
      <c r="AAF11" s="84"/>
      <c r="AAG11" s="84"/>
      <c r="AAH11" s="84"/>
      <c r="AAI11" s="84"/>
      <c r="AAJ11" s="84"/>
      <c r="AAK11" s="84"/>
      <c r="AAL11" s="84"/>
      <c r="AAM11" s="84"/>
      <c r="AAN11" s="84"/>
      <c r="AAO11" s="84"/>
      <c r="AAP11" s="84"/>
      <c r="AAQ11" s="84"/>
      <c r="AAR11" s="84"/>
      <c r="AAS11" s="84"/>
      <c r="AAT11" s="84"/>
      <c r="AAU11" s="84"/>
      <c r="AAV11" s="84"/>
      <c r="AAW11" s="84"/>
      <c r="AAX11" s="84"/>
      <c r="AAY11" s="84"/>
      <c r="AAZ11" s="84"/>
      <c r="ABA11" s="84"/>
      <c r="ABB11" s="84"/>
      <c r="ABC11" s="84"/>
      <c r="ABD11" s="84"/>
      <c r="ABE11" s="84"/>
      <c r="ABF11" s="84"/>
      <c r="ABG11" s="84"/>
      <c r="ABH11" s="84"/>
      <c r="ABI11" s="84"/>
      <c r="ABJ11" s="84"/>
      <c r="ABK11" s="84"/>
      <c r="ABL11" s="84"/>
      <c r="ABM11" s="84"/>
      <c r="ABN11" s="84"/>
      <c r="ABO11" s="84"/>
      <c r="ABP11" s="84"/>
      <c r="ABQ11" s="84"/>
      <c r="ABR11" s="84"/>
      <c r="ABS11" s="84"/>
      <c r="ABT11" s="84"/>
      <c r="ABU11" s="84"/>
      <c r="ABV11" s="84"/>
      <c r="ABW11" s="84"/>
      <c r="ABX11" s="84"/>
      <c r="ABY11" s="84"/>
      <c r="ABZ11" s="84"/>
      <c r="ACA11" s="84"/>
      <c r="ACB11" s="84"/>
      <c r="ACC11" s="84"/>
      <c r="ACD11" s="84"/>
      <c r="ACE11" s="84"/>
      <c r="ACF11" s="84"/>
      <c r="ACG11" s="84"/>
      <c r="ACH11" s="84"/>
      <c r="ACI11" s="84"/>
      <c r="ACJ11" s="84"/>
      <c r="ACK11" s="84"/>
      <c r="ACL11" s="84"/>
      <c r="ACM11" s="84"/>
      <c r="ACN11" s="84"/>
      <c r="ACO11" s="84"/>
      <c r="ACP11" s="84"/>
      <c r="ACQ11" s="84"/>
      <c r="ACR11" s="84"/>
      <c r="ACS11" s="84"/>
      <c r="ACT11" s="84"/>
      <c r="ACU11" s="84"/>
      <c r="ACV11" s="84"/>
      <c r="ACW11" s="84"/>
      <c r="ACX11" s="84"/>
      <c r="ACY11" s="84"/>
      <c r="ACZ11" s="84"/>
      <c r="ADA11" s="84"/>
      <c r="ADB11" s="84"/>
      <c r="ADC11" s="84"/>
      <c r="ADD11" s="84"/>
      <c r="ADE11" s="84"/>
      <c r="ADF11" s="84"/>
      <c r="ADG11" s="84"/>
      <c r="ADH11" s="84"/>
      <c r="ADI11" s="84"/>
      <c r="ADJ11" s="84"/>
      <c r="ADK11" s="84"/>
      <c r="ADL11" s="84"/>
      <c r="ADM11" s="84"/>
      <c r="ADN11" s="84"/>
      <c r="ADO11" s="84"/>
      <c r="ADP11" s="84"/>
      <c r="ADQ11" s="84"/>
      <c r="ADR11" s="84"/>
      <c r="ADS11" s="84"/>
      <c r="ADT11" s="84"/>
      <c r="ADU11" s="84"/>
      <c r="ADV11" s="84"/>
      <c r="ADW11" s="84"/>
      <c r="ADX11" s="84"/>
      <c r="ADY11" s="84"/>
      <c r="ADZ11" s="84"/>
      <c r="AEA11" s="84"/>
      <c r="AEB11" s="84"/>
      <c r="AEC11" s="84"/>
      <c r="AED11" s="84"/>
      <c r="AEE11" s="84"/>
      <c r="AEF11" s="84"/>
      <c r="AEG11" s="84"/>
      <c r="AEH11" s="84"/>
      <c r="AEI11" s="84"/>
      <c r="AEJ11" s="84"/>
      <c r="AEK11" s="84"/>
      <c r="AEL11" s="84"/>
      <c r="AEM11" s="84"/>
      <c r="AEN11" s="84"/>
      <c r="AEO11" s="84"/>
      <c r="AEP11" s="84"/>
      <c r="AEQ11" s="84"/>
      <c r="AER11" s="84"/>
      <c r="AES11" s="84"/>
      <c r="AET11" s="84"/>
      <c r="AEU11" s="84"/>
      <c r="AEV11" s="84"/>
      <c r="AEW11" s="84"/>
      <c r="AEX11" s="84"/>
      <c r="AEY11" s="84"/>
      <c r="AEZ11" s="84"/>
      <c r="AFA11" s="84"/>
      <c r="AFB11" s="84"/>
      <c r="AFC11" s="84"/>
      <c r="AFD11" s="84"/>
      <c r="AFE11" s="84"/>
      <c r="AFF11" s="84"/>
      <c r="AFG11" s="84"/>
      <c r="AFH11" s="84"/>
      <c r="AFI11" s="84"/>
      <c r="AFJ11" s="84"/>
      <c r="AFK11" s="84"/>
      <c r="AFL11" s="84"/>
      <c r="AFM11" s="84"/>
      <c r="AFN11" s="84"/>
      <c r="AFO11" s="84"/>
      <c r="AFP11" s="84"/>
      <c r="AFQ11" s="84"/>
      <c r="AFR11" s="84"/>
      <c r="AFS11" s="84"/>
      <c r="AFT11" s="84"/>
      <c r="AFU11" s="84"/>
      <c r="AFV11" s="84"/>
      <c r="AFW11" s="84"/>
      <c r="AFX11" s="84"/>
      <c r="AFY11" s="84"/>
      <c r="AFZ11" s="84"/>
      <c r="AGA11" s="84"/>
      <c r="AGB11" s="84"/>
      <c r="AGC11" s="84"/>
      <c r="AGD11" s="84"/>
      <c r="AGE11" s="84"/>
      <c r="AGF11" s="84"/>
      <c r="AGG11" s="84"/>
      <c r="AGH11" s="84"/>
      <c r="AGI11" s="84"/>
      <c r="AGJ11" s="84"/>
      <c r="AGK11" s="84"/>
      <c r="AGL11" s="84"/>
      <c r="AGM11" s="84"/>
      <c r="AGN11" s="84"/>
      <c r="AGO11" s="84"/>
      <c r="AGP11" s="84"/>
      <c r="AGQ11" s="84"/>
      <c r="AGR11" s="84"/>
      <c r="AGS11" s="84"/>
      <c r="AGT11" s="84"/>
      <c r="AGU11" s="84"/>
      <c r="AGV11" s="84"/>
      <c r="AGW11" s="84"/>
      <c r="AGX11" s="84"/>
      <c r="AGY11" s="84"/>
      <c r="AGZ11" s="84"/>
      <c r="AHA11" s="84"/>
      <c r="AHB11" s="84"/>
      <c r="AHC11" s="84"/>
      <c r="AHD11" s="84"/>
      <c r="AHE11" s="84"/>
      <c r="AHF11" s="84"/>
      <c r="AHG11" s="84"/>
      <c r="AHH11" s="84"/>
      <c r="AHI11" s="84"/>
      <c r="AHJ11" s="84"/>
      <c r="AHK11" s="84"/>
      <c r="AHL11" s="84"/>
      <c r="AHM11" s="84"/>
      <c r="AHN11" s="84"/>
      <c r="AHO11" s="84"/>
      <c r="AHP11" s="84"/>
      <c r="AHQ11" s="84"/>
      <c r="AHR11" s="84"/>
      <c r="AHS11" s="84"/>
      <c r="AHT11" s="84"/>
      <c r="AHU11" s="84"/>
      <c r="AHV11" s="84"/>
      <c r="AHW11" s="84"/>
      <c r="AHX11" s="84"/>
      <c r="AHY11" s="84"/>
      <c r="AHZ11" s="84"/>
      <c r="AIA11" s="84"/>
      <c r="AIB11" s="84"/>
      <c r="AIC11" s="84"/>
      <c r="AID11" s="84"/>
      <c r="AIE11" s="84"/>
      <c r="AIF11" s="84"/>
      <c r="AIG11" s="84"/>
      <c r="AIH11" s="84"/>
      <c r="AII11" s="84"/>
      <c r="AIJ11" s="84"/>
      <c r="AIK11" s="84"/>
      <c r="AIL11" s="84"/>
      <c r="AIM11" s="84"/>
      <c r="AIN11" s="84"/>
      <c r="AIO11" s="84"/>
      <c r="AIP11" s="84"/>
      <c r="AIQ11" s="84"/>
      <c r="AIR11" s="84"/>
      <c r="AIS11" s="84"/>
      <c r="AIT11" s="84"/>
      <c r="AIU11" s="84"/>
      <c r="AIV11" s="84"/>
      <c r="AIW11" s="84"/>
      <c r="AIX11" s="84"/>
      <c r="AIY11" s="84"/>
      <c r="AIZ11" s="84"/>
      <c r="AJA11" s="84"/>
      <c r="AJB11" s="84"/>
      <c r="AJC11" s="84"/>
      <c r="AJD11" s="84"/>
      <c r="AJE11" s="84"/>
      <c r="AJF11" s="84"/>
      <c r="AJG11" s="84"/>
      <c r="AJH11" s="84"/>
      <c r="AJI11" s="84"/>
      <c r="AJJ11" s="84"/>
      <c r="AJK11" s="84"/>
      <c r="AJL11" s="84"/>
      <c r="AJM11" s="84"/>
      <c r="AJN11" s="84"/>
      <c r="AJO11" s="84"/>
      <c r="AJP11" s="84"/>
      <c r="AJQ11" s="84"/>
      <c r="AJR11" s="84"/>
      <c r="AJS11" s="84"/>
      <c r="AJT11" s="84"/>
      <c r="AJU11" s="84"/>
      <c r="AJV11" s="84"/>
      <c r="AJW11" s="84"/>
      <c r="AJX11" s="84"/>
      <c r="AJY11" s="84"/>
      <c r="AJZ11" s="84"/>
      <c r="AKA11" s="84"/>
      <c r="AKB11" s="84"/>
      <c r="AKC11" s="84"/>
      <c r="AKD11" s="84"/>
      <c r="AKE11" s="84"/>
      <c r="AKF11" s="84"/>
      <c r="AKG11" s="84"/>
      <c r="AKH11" s="84"/>
      <c r="AKI11" s="84"/>
      <c r="AKJ11" s="84"/>
      <c r="AKK11" s="84"/>
      <c r="AKL11" s="84"/>
      <c r="AKM11" s="84"/>
      <c r="AKN11" s="84"/>
      <c r="AKO11" s="84"/>
      <c r="AKP11" s="84"/>
      <c r="AKQ11" s="84"/>
      <c r="AKR11" s="84"/>
      <c r="AKS11" s="84"/>
      <c r="AKT11" s="84"/>
      <c r="AKU11" s="84"/>
      <c r="AKV11" s="84"/>
      <c r="AKW11" s="84"/>
      <c r="AKX11" s="84"/>
      <c r="AKY11" s="84"/>
      <c r="AKZ11" s="84"/>
      <c r="ALA11" s="84"/>
      <c r="ALB11" s="84"/>
      <c r="ALC11" s="84"/>
      <c r="ALD11" s="84"/>
      <c r="ALE11" s="84"/>
      <c r="ALF11" s="84"/>
      <c r="ALG11" s="84"/>
      <c r="ALH11" s="84"/>
      <c r="ALI11" s="84"/>
      <c r="ALJ11" s="84"/>
      <c r="ALK11" s="84"/>
      <c r="ALL11" s="84"/>
      <c r="ALM11" s="84"/>
      <c r="ALN11" s="84"/>
      <c r="ALO11" s="84"/>
      <c r="ALP11" s="84"/>
      <c r="ALQ11" s="84"/>
      <c r="ALR11" s="84"/>
      <c r="ALS11" s="84"/>
      <c r="ALT11" s="84"/>
      <c r="ALU11" s="84"/>
      <c r="ALV11" s="84"/>
      <c r="ALW11" s="84"/>
      <c r="ALX11" s="84"/>
      <c r="ALY11" s="84"/>
      <c r="ALZ11" s="84"/>
      <c r="AMA11" s="84"/>
      <c r="AMB11" s="84"/>
      <c r="AMC11" s="84"/>
      <c r="AMD11" s="84"/>
      <c r="AME11" s="84"/>
      <c r="AMF11" s="84"/>
      <c r="AMG11" s="84"/>
      <c r="AMH11" s="84"/>
      <c r="AMI11" s="84"/>
      <c r="AMJ11" s="84"/>
      <c r="AMK11" s="84"/>
      <c r="AML11" s="84"/>
      <c r="AMM11" s="84"/>
      <c r="AMN11" s="84"/>
      <c r="AMO11" s="84"/>
      <c r="AMP11" s="84"/>
      <c r="AMQ11" s="84"/>
      <c r="AMR11" s="84"/>
      <c r="AMS11" s="84"/>
      <c r="AMT11" s="84"/>
      <c r="AMU11" s="84"/>
      <c r="AMV11" s="84"/>
      <c r="AMW11" s="84"/>
      <c r="AMX11" s="84"/>
      <c r="AMY11" s="84"/>
      <c r="AMZ11" s="84"/>
      <c r="ANA11" s="84"/>
      <c r="ANB11" s="84"/>
      <c r="ANC11" s="84"/>
      <c r="AND11" s="84"/>
      <c r="ANE11" s="84"/>
      <c r="ANF11" s="84"/>
      <c r="ANG11" s="84"/>
      <c r="ANH11" s="84"/>
      <c r="ANI11" s="84"/>
      <c r="ANJ11" s="84"/>
      <c r="ANK11" s="84"/>
      <c r="ANL11" s="84"/>
      <c r="ANM11" s="84"/>
      <c r="ANN11" s="84"/>
      <c r="ANO11" s="84"/>
      <c r="ANP11" s="84"/>
      <c r="ANQ11" s="84"/>
      <c r="ANR11" s="84"/>
      <c r="ANS11" s="84"/>
      <c r="ANT11" s="84"/>
      <c r="ANU11" s="84"/>
      <c r="ANV11" s="84"/>
      <c r="ANW11" s="84"/>
      <c r="ANX11" s="84"/>
      <c r="ANY11" s="84"/>
      <c r="ANZ11" s="84"/>
      <c r="AOA11" s="84"/>
      <c r="AOB11" s="84"/>
      <c r="AOC11" s="84"/>
      <c r="AOD11" s="84"/>
      <c r="AOE11" s="84"/>
      <c r="AOF11" s="84"/>
      <c r="AOG11" s="84"/>
      <c r="AOH11" s="84"/>
      <c r="AOI11" s="84"/>
      <c r="AOJ11" s="84"/>
      <c r="AOK11" s="84"/>
      <c r="AOL11" s="84"/>
      <c r="AOM11" s="84"/>
      <c r="AON11" s="84"/>
      <c r="AOO11" s="84"/>
      <c r="AOP11" s="84"/>
      <c r="AOQ11" s="84"/>
      <c r="AOR11" s="84"/>
      <c r="AOS11" s="84"/>
      <c r="AOT11" s="84"/>
      <c r="AOU11" s="84"/>
      <c r="AOV11" s="84"/>
      <c r="AOW11" s="84"/>
      <c r="AOX11" s="84"/>
      <c r="AOY11" s="84"/>
      <c r="AOZ11" s="84"/>
      <c r="APA11" s="84"/>
      <c r="APB11" s="84"/>
      <c r="APC11" s="84"/>
      <c r="APD11" s="84"/>
      <c r="APE11" s="84"/>
      <c r="APF11" s="84"/>
      <c r="APG11" s="84"/>
      <c r="APH11" s="84"/>
      <c r="API11" s="84"/>
      <c r="APJ11" s="84"/>
      <c r="APK11" s="84"/>
      <c r="APL11" s="84"/>
      <c r="APM11" s="84"/>
      <c r="APN11" s="84"/>
      <c r="APO11" s="84"/>
      <c r="APP11" s="84"/>
      <c r="APQ11" s="84"/>
      <c r="APR11" s="84"/>
      <c r="APS11" s="84"/>
      <c r="APT11" s="84"/>
      <c r="APU11" s="84"/>
      <c r="APV11" s="84"/>
      <c r="APW11" s="84"/>
      <c r="APX11" s="84"/>
      <c r="APY11" s="84"/>
      <c r="APZ11" s="84"/>
      <c r="AQA11" s="84"/>
      <c r="AQB11" s="84"/>
      <c r="AQC11" s="84"/>
      <c r="AQD11" s="84"/>
      <c r="AQE11" s="84"/>
      <c r="AQF11" s="84"/>
      <c r="AQG11" s="84"/>
      <c r="AQH11" s="84"/>
      <c r="AQI11" s="84"/>
      <c r="AQJ11" s="84"/>
      <c r="AQK11" s="84"/>
      <c r="AQL11" s="84"/>
      <c r="AQM11" s="84"/>
      <c r="AQN11" s="84"/>
      <c r="AQO11" s="84"/>
      <c r="AQP11" s="84"/>
      <c r="AQQ11" s="84"/>
      <c r="AQR11" s="84"/>
      <c r="AQS11" s="84"/>
      <c r="AQT11" s="84"/>
      <c r="AQU11" s="84"/>
      <c r="AQV11" s="84"/>
      <c r="AQW11" s="84"/>
      <c r="AQX11" s="84"/>
      <c r="AQY11" s="84"/>
      <c r="AQZ11" s="84"/>
      <c r="ARA11" s="84"/>
      <c r="ARB11" s="84"/>
      <c r="ARC11" s="84"/>
      <c r="ARD11" s="84"/>
      <c r="ARE11" s="84"/>
      <c r="ARF11" s="84"/>
      <c r="ARG11" s="84"/>
      <c r="ARH11" s="84"/>
      <c r="ARI11" s="84"/>
      <c r="ARJ11" s="84"/>
      <c r="ARK11" s="84"/>
      <c r="ARL11" s="84"/>
      <c r="ARM11" s="84"/>
      <c r="ARN11" s="84"/>
      <c r="ARO11" s="84"/>
      <c r="ARP11" s="84"/>
      <c r="ARQ11" s="84"/>
      <c r="ARR11" s="84"/>
      <c r="ARS11" s="84"/>
      <c r="ART11" s="84"/>
      <c r="ARU11" s="84"/>
      <c r="ARV11" s="84"/>
      <c r="ARW11" s="84"/>
      <c r="ARX11" s="84"/>
      <c r="ARY11" s="84"/>
      <c r="ARZ11" s="84"/>
      <c r="ASA11" s="84"/>
      <c r="ASB11" s="84"/>
      <c r="ASC11" s="84"/>
      <c r="ASD11" s="84"/>
      <c r="ASE11" s="84"/>
      <c r="ASF11" s="84"/>
      <c r="ASG11" s="84"/>
      <c r="ASH11" s="84"/>
      <c r="ASI11" s="84"/>
      <c r="ASJ11" s="84"/>
      <c r="ASK11" s="84"/>
      <c r="ASL11" s="84"/>
      <c r="ASM11" s="84"/>
      <c r="ASN11" s="84"/>
      <c r="ASO11" s="84"/>
      <c r="ASP11" s="84"/>
      <c r="ASQ11" s="84"/>
      <c r="ASR11" s="84"/>
      <c r="ASS11" s="84"/>
      <c r="AST11" s="84"/>
      <c r="ASU11" s="84"/>
      <c r="ASV11" s="84"/>
      <c r="ASW11" s="84"/>
      <c r="ASX11" s="84"/>
      <c r="ASY11" s="84"/>
      <c r="ASZ11" s="84"/>
      <c r="ATA11" s="84"/>
      <c r="ATB11" s="84"/>
      <c r="ATC11" s="84"/>
      <c r="ATD11" s="84"/>
      <c r="ATE11" s="84"/>
      <c r="ATF11" s="84"/>
      <c r="ATG11" s="84"/>
      <c r="ATH11" s="84"/>
      <c r="ATI11" s="84"/>
      <c r="ATJ11" s="84"/>
      <c r="ATK11" s="84"/>
      <c r="ATL11" s="84"/>
      <c r="ATM11" s="84"/>
      <c r="ATN11" s="84"/>
      <c r="ATO11" s="84"/>
      <c r="ATP11" s="84"/>
      <c r="ATQ11" s="84"/>
      <c r="ATR11" s="84"/>
      <c r="ATS11" s="84"/>
      <c r="ATT11" s="84"/>
      <c r="ATU11" s="84"/>
      <c r="ATV11" s="84"/>
      <c r="ATW11" s="84"/>
      <c r="ATX11" s="84"/>
      <c r="ATY11" s="84"/>
      <c r="ATZ11" s="84"/>
      <c r="AUA11" s="84"/>
      <c r="AUB11" s="84"/>
      <c r="AUC11" s="84"/>
      <c r="AUD11" s="84"/>
      <c r="AUE11" s="84"/>
      <c r="AUF11" s="84"/>
      <c r="AUG11" s="84"/>
      <c r="AUH11" s="84"/>
      <c r="AUI11" s="84"/>
      <c r="AUJ11" s="84"/>
      <c r="AUK11" s="84"/>
      <c r="AUL11" s="84"/>
      <c r="AUM11" s="84"/>
      <c r="AUN11" s="84"/>
      <c r="AUO11" s="84"/>
      <c r="AUP11" s="84"/>
      <c r="AUQ11" s="84"/>
      <c r="AUR11" s="84"/>
      <c r="AUS11" s="84"/>
      <c r="AUT11" s="84"/>
      <c r="AUU11" s="84"/>
      <c r="AUV11" s="84"/>
      <c r="AUW11" s="84"/>
      <c r="AUX11" s="84"/>
      <c r="AUY11" s="84"/>
      <c r="AUZ11" s="84"/>
      <c r="AVA11" s="84"/>
      <c r="AVB11" s="84"/>
      <c r="AVC11" s="84"/>
      <c r="AVD11" s="84"/>
      <c r="AVE11" s="84"/>
      <c r="AVF11" s="84"/>
      <c r="AVG11" s="84"/>
      <c r="AVH11" s="84"/>
      <c r="AVI11" s="84"/>
      <c r="AVJ11" s="84"/>
      <c r="AVK11" s="84"/>
      <c r="AVL11" s="84"/>
      <c r="AVM11" s="84"/>
      <c r="AVN11" s="84"/>
      <c r="AVO11" s="84"/>
      <c r="AVP11" s="84"/>
      <c r="AVQ11" s="84"/>
      <c r="AVR11" s="84"/>
      <c r="AVS11" s="84"/>
      <c r="AVT11" s="84"/>
      <c r="AVU11" s="84"/>
      <c r="AVV11" s="84"/>
      <c r="AVW11" s="84"/>
      <c r="AVX11" s="84"/>
      <c r="AVY11" s="84"/>
      <c r="AVZ11" s="84"/>
      <c r="AWA11" s="84"/>
      <c r="AWB11" s="84"/>
      <c r="AWC11" s="84"/>
      <c r="AWD11" s="84"/>
      <c r="AWE11" s="84"/>
      <c r="AWF11" s="84"/>
      <c r="AWG11" s="84"/>
      <c r="AWH11" s="84"/>
      <c r="AWI11" s="84"/>
      <c r="AWJ11" s="84"/>
      <c r="AWK11" s="84"/>
      <c r="AWL11" s="84"/>
      <c r="AWM11" s="84"/>
      <c r="AWN11" s="84"/>
      <c r="AWO11" s="84"/>
      <c r="AWP11" s="84"/>
      <c r="AWQ11" s="84"/>
      <c r="AWR11" s="84"/>
      <c r="AWS11" s="84"/>
      <c r="AWT11" s="84"/>
      <c r="AWU11" s="84"/>
      <c r="AWV11" s="84"/>
      <c r="AWW11" s="84"/>
      <c r="AWX11" s="84"/>
      <c r="AWY11" s="84"/>
      <c r="AWZ11" s="84"/>
      <c r="AXA11" s="84"/>
      <c r="AXB11" s="84"/>
      <c r="AXC11" s="84"/>
      <c r="AXD11" s="84"/>
      <c r="AXE11" s="84"/>
      <c r="AXF11" s="84"/>
      <c r="AXG11" s="84"/>
      <c r="AXH11" s="84"/>
      <c r="AXI11" s="84"/>
      <c r="AXJ11" s="84"/>
      <c r="AXK11" s="84"/>
      <c r="AXL11" s="84"/>
      <c r="AXM11" s="84"/>
      <c r="AXN11" s="84"/>
      <c r="AXO11" s="84"/>
      <c r="AXP11" s="84"/>
      <c r="AXQ11" s="84"/>
      <c r="AXR11" s="84"/>
      <c r="AXS11" s="84"/>
      <c r="AXT11" s="84"/>
      <c r="AXU11" s="84"/>
      <c r="AXV11" s="84"/>
      <c r="AXW11" s="84"/>
      <c r="AXX11" s="84"/>
      <c r="AXY11" s="84"/>
      <c r="AXZ11" s="84"/>
      <c r="AYA11" s="84"/>
      <c r="AYB11" s="84"/>
      <c r="AYC11" s="84"/>
      <c r="AYD11" s="84"/>
      <c r="AYE11" s="84"/>
      <c r="AYF11" s="84"/>
      <c r="AYG11" s="84"/>
      <c r="AYH11" s="84"/>
      <c r="AYI11" s="84"/>
      <c r="AYJ11" s="84"/>
      <c r="AYK11" s="84"/>
      <c r="AYL11" s="84"/>
      <c r="AYM11" s="84"/>
      <c r="AYN11" s="84"/>
      <c r="AYO11" s="84"/>
      <c r="AYP11" s="84"/>
      <c r="AYQ11" s="84"/>
      <c r="AYR11" s="84"/>
      <c r="AYS11" s="84"/>
      <c r="AYT11" s="84"/>
      <c r="AYU11" s="84"/>
      <c r="AYV11" s="84"/>
      <c r="AYW11" s="84"/>
      <c r="AYX11" s="84"/>
      <c r="AYY11" s="84"/>
      <c r="AYZ11" s="84"/>
      <c r="AZA11" s="84"/>
      <c r="AZB11" s="84"/>
      <c r="AZC11" s="84"/>
      <c r="AZD11" s="84"/>
      <c r="AZE11" s="84"/>
      <c r="AZF11" s="84"/>
      <c r="AZG11" s="84"/>
      <c r="AZH11" s="84"/>
      <c r="AZI11" s="84"/>
      <c r="AZJ11" s="84"/>
      <c r="AZK11" s="84"/>
      <c r="AZL11" s="84"/>
      <c r="AZM11" s="84"/>
      <c r="AZN11" s="84"/>
      <c r="AZO11" s="84"/>
      <c r="AZP11" s="84"/>
      <c r="AZQ11" s="84"/>
      <c r="AZR11" s="84"/>
      <c r="AZS11" s="84"/>
      <c r="AZT11" s="84"/>
      <c r="AZU11" s="84"/>
      <c r="AZV11" s="84"/>
      <c r="AZW11" s="84"/>
      <c r="AZX11" s="84"/>
      <c r="AZY11" s="84"/>
      <c r="AZZ11" s="84"/>
      <c r="BAA11" s="84"/>
      <c r="BAB11" s="84"/>
      <c r="BAC11" s="84"/>
      <c r="BAD11" s="84"/>
      <c r="BAE11" s="84"/>
      <c r="BAF11" s="84"/>
      <c r="BAG11" s="84"/>
      <c r="BAH11" s="84"/>
      <c r="BAI11" s="84"/>
      <c r="BAJ11" s="84"/>
      <c r="BAK11" s="84"/>
      <c r="BAL11" s="84"/>
      <c r="BAM11" s="84"/>
      <c r="BAN11" s="84"/>
      <c r="BAO11" s="84"/>
      <c r="BAP11" s="84"/>
      <c r="BAQ11" s="84"/>
      <c r="BAR11" s="84"/>
      <c r="BAS11" s="84"/>
      <c r="BAT11" s="84"/>
      <c r="BAU11" s="84"/>
      <c r="BAV11" s="84"/>
      <c r="BAW11" s="84"/>
      <c r="BAX11" s="84"/>
      <c r="BAY11" s="84"/>
      <c r="BAZ11" s="84"/>
      <c r="BBA11" s="84"/>
      <c r="BBB11" s="84"/>
      <c r="BBC11" s="84"/>
      <c r="BBD11" s="84"/>
      <c r="BBE11" s="84"/>
      <c r="BBF11" s="84"/>
      <c r="BBG11" s="84"/>
      <c r="BBH11" s="84"/>
      <c r="BBI11" s="84"/>
      <c r="BBJ11" s="84"/>
      <c r="BBK11" s="84"/>
      <c r="BBL11" s="84"/>
      <c r="BBM11" s="84"/>
      <c r="BBN11" s="84"/>
      <c r="BBO11" s="84"/>
      <c r="BBP11" s="84"/>
      <c r="BBQ11" s="84"/>
      <c r="BBR11" s="84"/>
      <c r="BBS11" s="84"/>
      <c r="BBT11" s="84"/>
      <c r="BBU11" s="84"/>
      <c r="BBV11" s="84"/>
      <c r="BBW11" s="84"/>
      <c r="BBX11" s="84"/>
      <c r="BBY11" s="84"/>
      <c r="BBZ11" s="84"/>
      <c r="BCA11" s="84"/>
      <c r="BCB11" s="84"/>
      <c r="BCC11" s="84"/>
      <c r="BCD11" s="84"/>
      <c r="BCE11" s="84"/>
      <c r="BCF11" s="84"/>
      <c r="BCG11" s="84"/>
      <c r="BCH11" s="84"/>
      <c r="BCI11" s="84"/>
      <c r="BCJ11" s="84"/>
      <c r="BCK11" s="84"/>
      <c r="BCL11" s="84"/>
      <c r="BCM11" s="84"/>
      <c r="BCN11" s="84"/>
      <c r="BCO11" s="84"/>
      <c r="BCP11" s="84"/>
      <c r="BCQ11" s="84"/>
      <c r="BCR11" s="84"/>
      <c r="BCS11" s="84"/>
      <c r="BCT11" s="84"/>
      <c r="BCU11" s="84"/>
      <c r="BCV11" s="84"/>
      <c r="BCW11" s="84"/>
      <c r="BCX11" s="84"/>
      <c r="BCY11" s="84"/>
      <c r="BCZ11" s="84"/>
      <c r="BDA11" s="84"/>
      <c r="BDB11" s="84"/>
      <c r="BDC11" s="84"/>
      <c r="BDD11" s="84"/>
      <c r="BDE11" s="84"/>
      <c r="BDF11" s="84"/>
      <c r="BDG11" s="84"/>
      <c r="BDH11" s="84"/>
      <c r="BDI11" s="84"/>
      <c r="BDJ11" s="84"/>
      <c r="BDK11" s="84"/>
      <c r="BDL11" s="84"/>
      <c r="BDM11" s="84"/>
      <c r="BDN11" s="84"/>
      <c r="BDO11" s="84"/>
      <c r="BDP11" s="84"/>
      <c r="BDQ11" s="84"/>
      <c r="BDR11" s="84"/>
      <c r="BDS11" s="84"/>
      <c r="BDT11" s="84"/>
      <c r="BDU11" s="84"/>
      <c r="BDV11" s="84"/>
      <c r="BDW11" s="84"/>
      <c r="BDX11" s="84"/>
      <c r="BDY11" s="84"/>
      <c r="BDZ11" s="84"/>
      <c r="BEA11" s="84"/>
      <c r="BEB11" s="84"/>
      <c r="BEC11" s="84"/>
      <c r="BED11" s="84"/>
      <c r="BEE11" s="84"/>
      <c r="BEF11" s="84"/>
      <c r="BEG11" s="84"/>
      <c r="BEH11" s="84"/>
      <c r="BEI11" s="84"/>
      <c r="BEJ11" s="84"/>
      <c r="BEK11" s="84"/>
      <c r="BEL11" s="84"/>
      <c r="BEM11" s="84"/>
      <c r="BEN11" s="84"/>
      <c r="BEO11" s="84"/>
      <c r="BEP11" s="84"/>
      <c r="BEQ11" s="84"/>
      <c r="BER11" s="84"/>
      <c r="BES11" s="84"/>
      <c r="BET11" s="84"/>
      <c r="BEU11" s="84"/>
      <c r="BEV11" s="84"/>
      <c r="BEW11" s="84"/>
      <c r="BEX11" s="84"/>
      <c r="BEY11" s="84"/>
      <c r="BEZ11" s="84"/>
      <c r="BFA11" s="84"/>
      <c r="BFB11" s="84"/>
      <c r="BFC11" s="84"/>
      <c r="BFD11" s="84"/>
      <c r="BFE11" s="84"/>
      <c r="BFF11" s="84"/>
      <c r="BFG11" s="84"/>
      <c r="BFH11" s="84"/>
      <c r="BFI11" s="84"/>
      <c r="BFJ11" s="84"/>
      <c r="BFK11" s="84"/>
      <c r="BFL11" s="84"/>
      <c r="BFM11" s="84"/>
      <c r="BFN11" s="84"/>
      <c r="BFO11" s="84"/>
      <c r="BFP11" s="84"/>
      <c r="BFQ11" s="84"/>
      <c r="BFR11" s="84"/>
      <c r="BFS11" s="84"/>
      <c r="BFT11" s="84"/>
      <c r="BFU11" s="84"/>
      <c r="BFV11" s="84"/>
      <c r="BFW11" s="84"/>
      <c r="BFX11" s="84"/>
      <c r="BFY11" s="84"/>
      <c r="BFZ11" s="84"/>
      <c r="BGA11" s="84"/>
      <c r="BGB11" s="84"/>
      <c r="BGC11" s="84"/>
      <c r="BGD11" s="84"/>
      <c r="BGE11" s="84"/>
      <c r="BGF11" s="84"/>
      <c r="BGG11" s="84"/>
      <c r="BGH11" s="84"/>
      <c r="BGI11" s="84"/>
      <c r="BGJ11" s="84"/>
      <c r="BGK11" s="84"/>
      <c r="BGL11" s="84"/>
      <c r="BGM11" s="84"/>
      <c r="BGN11" s="84"/>
      <c r="BGO11" s="84"/>
      <c r="BGP11" s="84"/>
      <c r="BGQ11" s="84"/>
      <c r="BGR11" s="84"/>
      <c r="BGS11" s="84"/>
      <c r="BGT11" s="84"/>
      <c r="BGU11" s="84"/>
      <c r="BGV11" s="84"/>
      <c r="BGW11" s="84"/>
      <c r="BGX11" s="84"/>
      <c r="BGY11" s="84"/>
      <c r="BGZ11" s="84"/>
      <c r="BHA11" s="84"/>
      <c r="BHB11" s="84"/>
      <c r="BHC11" s="84"/>
      <c r="BHD11" s="84"/>
      <c r="BHE11" s="84"/>
      <c r="BHF11" s="84"/>
      <c r="BHG11" s="84"/>
      <c r="BHH11" s="84"/>
      <c r="BHI11" s="84"/>
      <c r="BHJ11" s="84"/>
      <c r="BHK11" s="84"/>
      <c r="BHL11" s="84"/>
      <c r="BHM11" s="84"/>
      <c r="BHN11" s="84"/>
      <c r="BHO11" s="84"/>
      <c r="BHP11" s="84"/>
      <c r="BHQ11" s="84"/>
      <c r="BHR11" s="84"/>
      <c r="BHS11" s="84"/>
      <c r="BHT11" s="84"/>
      <c r="BHU11" s="84"/>
      <c r="BHV11" s="84"/>
      <c r="BHW11" s="84"/>
      <c r="BHX11" s="84"/>
      <c r="BHY11" s="84"/>
      <c r="BHZ11" s="84"/>
      <c r="BIA11" s="84"/>
      <c r="BIB11" s="84"/>
      <c r="BIC11" s="84"/>
      <c r="BID11" s="84"/>
      <c r="BIE11" s="84"/>
      <c r="BIF11" s="84"/>
      <c r="BIG11" s="84"/>
      <c r="BIH11" s="84"/>
      <c r="BII11" s="84"/>
      <c r="BIJ11" s="84"/>
      <c r="BIK11" s="84"/>
      <c r="BIL11" s="84"/>
      <c r="BIM11" s="84"/>
      <c r="BIN11" s="84"/>
      <c r="BIO11" s="84"/>
      <c r="BIP11" s="84"/>
      <c r="BIQ11" s="84"/>
      <c r="BIR11" s="84"/>
      <c r="BIS11" s="84"/>
      <c r="BIT11" s="84"/>
      <c r="BIU11" s="84"/>
      <c r="BIV11" s="84"/>
      <c r="BIW11" s="84"/>
      <c r="BIX11" s="84"/>
      <c r="BIY11" s="84"/>
      <c r="BIZ11" s="84"/>
      <c r="BJA11" s="84"/>
      <c r="BJB11" s="84"/>
      <c r="BJC11" s="84"/>
      <c r="BJD11" s="84"/>
      <c r="BJE11" s="84"/>
      <c r="BJF11" s="84"/>
      <c r="BJG11" s="84"/>
      <c r="BJH11" s="84"/>
      <c r="BJI11" s="84"/>
      <c r="BJJ11" s="84"/>
      <c r="BJK11" s="84"/>
      <c r="BJL11" s="84"/>
      <c r="BJM11" s="84"/>
      <c r="BJN11" s="84"/>
      <c r="BJO11" s="84"/>
      <c r="BJP11" s="84"/>
      <c r="BJQ11" s="84"/>
      <c r="BJR11" s="84"/>
      <c r="BJS11" s="84"/>
      <c r="BJT11" s="84"/>
      <c r="BJU11" s="84"/>
      <c r="BJV11" s="84"/>
      <c r="BJW11" s="84"/>
      <c r="BJX11" s="84"/>
      <c r="BJY11" s="84"/>
      <c r="BJZ11" s="84"/>
      <c r="BKA11" s="84"/>
      <c r="BKB11" s="84"/>
      <c r="BKC11" s="84"/>
      <c r="BKD11" s="84"/>
      <c r="BKE11" s="84"/>
      <c r="BKF11" s="84"/>
      <c r="BKG11" s="84"/>
      <c r="BKH11" s="84"/>
      <c r="BKI11" s="84"/>
      <c r="BKJ11" s="84"/>
      <c r="BKK11" s="84"/>
      <c r="BKL11" s="84"/>
      <c r="BKM11" s="84"/>
      <c r="BKN11" s="84"/>
      <c r="BKO11" s="84"/>
      <c r="BKP11" s="84"/>
      <c r="BKQ11" s="84"/>
      <c r="BKR11" s="84"/>
      <c r="BKS11" s="84"/>
      <c r="BKT11" s="84"/>
      <c r="BKU11" s="84"/>
      <c r="BKV11" s="84"/>
      <c r="BKW11" s="84"/>
      <c r="BKX11" s="84"/>
      <c r="BKY11" s="84"/>
      <c r="BKZ11" s="84"/>
      <c r="BLA11" s="84"/>
      <c r="BLB11" s="84"/>
      <c r="BLC11" s="84"/>
      <c r="BLD11" s="84"/>
      <c r="BLE11" s="84"/>
      <c r="BLF11" s="84"/>
      <c r="BLG11" s="84"/>
      <c r="BLH11" s="84"/>
      <c r="BLI11" s="84"/>
      <c r="BLJ11" s="84"/>
      <c r="BLK11" s="84"/>
      <c r="BLL11" s="84"/>
      <c r="BLM11" s="84"/>
      <c r="BLN11" s="84"/>
      <c r="BLO11" s="84"/>
      <c r="BLP11" s="84"/>
      <c r="BLQ11" s="84"/>
      <c r="BLR11" s="84"/>
      <c r="BLS11" s="84"/>
      <c r="BLT11" s="84"/>
      <c r="BLU11" s="84"/>
      <c r="BLV11" s="84"/>
      <c r="BLW11" s="84"/>
      <c r="BLX11" s="84"/>
      <c r="BLY11" s="84"/>
      <c r="BLZ11" s="84"/>
      <c r="BMA11" s="84"/>
      <c r="BMB11" s="84"/>
      <c r="BMC11" s="84"/>
      <c r="BMD11" s="84"/>
      <c r="BME11" s="84"/>
      <c r="BMF11" s="84"/>
      <c r="BMG11" s="84"/>
      <c r="BMH11" s="84"/>
      <c r="BMI11" s="84"/>
      <c r="BMJ11" s="84"/>
      <c r="BMK11" s="84"/>
      <c r="BML11" s="84"/>
      <c r="BMM11" s="84"/>
      <c r="BMN11" s="84"/>
      <c r="BMO11" s="84"/>
      <c r="BMP11" s="84"/>
      <c r="BMQ11" s="84"/>
      <c r="BMR11" s="84"/>
      <c r="BMS11" s="84"/>
      <c r="BMT11" s="84"/>
      <c r="BMU11" s="84"/>
      <c r="BMV11" s="84"/>
      <c r="BMW11" s="84"/>
      <c r="BMX11" s="84"/>
      <c r="BMY11" s="84"/>
      <c r="BMZ11" s="84"/>
      <c r="BNA11" s="84"/>
      <c r="BNB11" s="84"/>
      <c r="BNC11" s="84"/>
      <c r="BND11" s="84"/>
      <c r="BNE11" s="84"/>
      <c r="BNF11" s="84"/>
      <c r="BNG11" s="84"/>
      <c r="BNH11" s="84"/>
      <c r="BNI11" s="84"/>
      <c r="BNJ11" s="84"/>
      <c r="BNK11" s="84"/>
      <c r="BNL11" s="84"/>
      <c r="BNM11" s="84"/>
      <c r="BNN11" s="84"/>
      <c r="BNO11" s="84"/>
      <c r="BNP11" s="84"/>
      <c r="BNQ11" s="84"/>
      <c r="BNR11" s="84"/>
      <c r="BNS11" s="84"/>
      <c r="BNT11" s="84"/>
      <c r="BNU11" s="84"/>
      <c r="BNV11" s="84"/>
      <c r="BNW11" s="84"/>
      <c r="BNX11" s="84"/>
      <c r="BNY11" s="84"/>
      <c r="BNZ11" s="84"/>
      <c r="BOA11" s="84"/>
      <c r="BOB11" s="84"/>
      <c r="BOC11" s="84"/>
      <c r="BOD11" s="84"/>
      <c r="BOE11" s="84"/>
      <c r="BOF11" s="84"/>
      <c r="BOG11" s="84"/>
      <c r="BOH11" s="84"/>
      <c r="BOI11" s="84"/>
      <c r="BOJ11" s="84"/>
      <c r="BOK11" s="84"/>
      <c r="BOL11" s="84"/>
      <c r="BOM11" s="84"/>
      <c r="BON11" s="84"/>
      <c r="BOO11" s="84"/>
      <c r="BOP11" s="84"/>
      <c r="BOQ11" s="84"/>
      <c r="BOR11" s="84"/>
      <c r="BOS11" s="84"/>
      <c r="BOT11" s="84"/>
      <c r="BOU11" s="84"/>
      <c r="BOV11" s="84"/>
      <c r="BOW11" s="84"/>
      <c r="BOX11" s="84"/>
      <c r="BOY11" s="84"/>
      <c r="BOZ11" s="84"/>
      <c r="BPA11" s="84"/>
      <c r="BPB11" s="84"/>
      <c r="BPC11" s="84"/>
      <c r="BPD11" s="84"/>
      <c r="BPE11" s="84"/>
      <c r="BPF11" s="84"/>
      <c r="BPG11" s="84"/>
      <c r="BPH11" s="84"/>
      <c r="BPI11" s="84"/>
      <c r="BPJ11" s="84"/>
      <c r="BPK11" s="84"/>
      <c r="BPL11" s="84"/>
      <c r="BPM11" s="84"/>
      <c r="BPN11" s="84"/>
      <c r="BPO11" s="84"/>
      <c r="BPP11" s="84"/>
      <c r="BPQ11" s="84"/>
      <c r="BPR11" s="84"/>
      <c r="BPS11" s="84"/>
      <c r="BPT11" s="84"/>
      <c r="BPU11" s="84"/>
      <c r="BPV11" s="84"/>
      <c r="BPW11" s="84"/>
      <c r="BPX11" s="84"/>
      <c r="BPY11" s="84"/>
      <c r="BPZ11" s="84"/>
      <c r="BQA11" s="84"/>
      <c r="BQB11" s="84"/>
      <c r="BQC11" s="84"/>
      <c r="BQD11" s="84"/>
      <c r="BQE11" s="84"/>
      <c r="BQF11" s="84"/>
      <c r="BQG11" s="84"/>
      <c r="BQH11" s="84"/>
      <c r="BQI11" s="84"/>
      <c r="BQJ11" s="84"/>
      <c r="BQK11" s="84"/>
      <c r="BQL11" s="84"/>
      <c r="BQM11" s="84"/>
      <c r="BQN11" s="84"/>
      <c r="BQO11" s="84"/>
      <c r="BQP11" s="84"/>
      <c r="BQQ11" s="84"/>
      <c r="BQR11" s="84"/>
      <c r="BQS11" s="84"/>
      <c r="BQT11" s="84"/>
      <c r="BQU11" s="84"/>
      <c r="BQV11" s="84"/>
      <c r="BQW11" s="84"/>
      <c r="BQX11" s="84"/>
      <c r="BQY11" s="84"/>
      <c r="BQZ11" s="84"/>
      <c r="BRA11" s="84"/>
      <c r="BRB11" s="84"/>
      <c r="BRC11" s="84"/>
      <c r="BRD11" s="84"/>
      <c r="BRE11" s="84"/>
      <c r="BRF11" s="84"/>
      <c r="BRG11" s="84"/>
      <c r="BRH11" s="84"/>
      <c r="BRI11" s="84"/>
      <c r="BRJ11" s="84"/>
      <c r="BRK11" s="84"/>
      <c r="BRL11" s="84"/>
      <c r="BRM11" s="84"/>
      <c r="BRN11" s="84"/>
      <c r="BRO11" s="84"/>
      <c r="BRP11" s="84"/>
      <c r="BRQ11" s="84"/>
      <c r="BRR11" s="84"/>
      <c r="BRS11" s="84"/>
      <c r="BRT11" s="84"/>
      <c r="BRU11" s="84"/>
      <c r="BRV11" s="84"/>
      <c r="BRW11" s="84"/>
      <c r="BRX11" s="84"/>
      <c r="BRY11" s="84"/>
      <c r="BRZ11" s="84"/>
      <c r="BSA11" s="84"/>
      <c r="BSB11" s="84"/>
      <c r="BSC11" s="84"/>
      <c r="BSD11" s="84"/>
      <c r="BSE11" s="84"/>
      <c r="BSF11" s="84"/>
      <c r="BSG11" s="84"/>
      <c r="BSH11" s="84"/>
      <c r="BSI11" s="84"/>
      <c r="BSJ11" s="84"/>
      <c r="BSK11" s="84"/>
      <c r="BSL11" s="84"/>
      <c r="BSM11" s="84"/>
      <c r="BSN11" s="84"/>
      <c r="BSO11" s="84"/>
      <c r="BSP11" s="84"/>
      <c r="BSQ11" s="84"/>
      <c r="BSR11" s="84"/>
      <c r="BSS11" s="84"/>
      <c r="BST11" s="84"/>
      <c r="BSU11" s="84"/>
      <c r="BSV11" s="84"/>
      <c r="BSW11" s="84"/>
      <c r="BSX11" s="84"/>
      <c r="BSY11" s="84"/>
      <c r="BSZ11" s="84"/>
      <c r="BTA11" s="84"/>
      <c r="BTB11" s="84"/>
      <c r="BTC11" s="84"/>
      <c r="BTD11" s="84"/>
      <c r="BTE11" s="84"/>
      <c r="BTF11" s="84"/>
      <c r="BTG11" s="84"/>
      <c r="BTH11" s="84"/>
      <c r="BTI11" s="84"/>
      <c r="BTJ11" s="84"/>
      <c r="BTK11" s="84"/>
      <c r="BTL11" s="84"/>
      <c r="BTM11" s="84"/>
      <c r="BTN11" s="84"/>
      <c r="BTO11" s="84"/>
      <c r="BTP11" s="84"/>
      <c r="BTQ11" s="84"/>
      <c r="BTR11" s="84"/>
      <c r="BTS11" s="84"/>
      <c r="BTT11" s="84"/>
      <c r="BTU11" s="84"/>
      <c r="BTV11" s="84"/>
      <c r="BTW11" s="84"/>
      <c r="BTX11" s="84"/>
      <c r="BTY11" s="84"/>
      <c r="BTZ11" s="84"/>
      <c r="BUA11" s="84"/>
      <c r="BUB11" s="84"/>
      <c r="BUC11" s="84"/>
      <c r="BUD11" s="84"/>
      <c r="BUE11" s="84"/>
      <c r="BUF11" s="84"/>
      <c r="BUG11" s="84"/>
      <c r="BUH11" s="84"/>
      <c r="BUI11" s="84"/>
      <c r="BUJ11" s="84"/>
      <c r="BUK11" s="84"/>
      <c r="BUL11" s="84"/>
      <c r="BUM11" s="84"/>
      <c r="BUN11" s="84"/>
      <c r="BUO11" s="84"/>
      <c r="BUP11" s="84"/>
      <c r="BUQ11" s="84"/>
      <c r="BUR11" s="84"/>
      <c r="BUS11" s="84"/>
      <c r="BUT11" s="84"/>
      <c r="BUU11" s="84"/>
      <c r="BUV11" s="84"/>
      <c r="BUW11" s="84"/>
      <c r="BUX11" s="84"/>
      <c r="BUY11" s="84"/>
      <c r="BUZ11" s="84"/>
      <c r="BVA11" s="84"/>
      <c r="BVB11" s="84"/>
      <c r="BVC11" s="84"/>
      <c r="BVD11" s="84"/>
      <c r="BVE11" s="84"/>
      <c r="BVF11" s="84"/>
      <c r="BVG11" s="84"/>
      <c r="BVH11" s="84"/>
      <c r="BVI11" s="84"/>
      <c r="BVJ11" s="84"/>
      <c r="BVK11" s="84"/>
      <c r="BVL11" s="84"/>
      <c r="BVM11" s="84"/>
      <c r="BVN11" s="84"/>
      <c r="BVO11" s="84"/>
      <c r="BVP11" s="84"/>
      <c r="BVQ11" s="84"/>
      <c r="BVR11" s="84"/>
      <c r="BVS11" s="84"/>
      <c r="BVT11" s="84"/>
      <c r="BVU11" s="84"/>
      <c r="BVV11" s="84"/>
      <c r="BVW11" s="84"/>
      <c r="BVX11" s="84"/>
      <c r="BVY11" s="84"/>
      <c r="BVZ11" s="84"/>
      <c r="BWA11" s="84"/>
      <c r="BWB11" s="84"/>
      <c r="BWC11" s="84"/>
      <c r="BWD11" s="84"/>
      <c r="BWE11" s="84"/>
      <c r="BWF11" s="84"/>
      <c r="BWG11" s="84"/>
      <c r="BWH11" s="84"/>
      <c r="BWI11" s="84"/>
      <c r="BWJ11" s="84"/>
      <c r="BWK11" s="84"/>
      <c r="BWL11" s="84"/>
      <c r="BWM11" s="84"/>
      <c r="BWN11" s="84"/>
      <c r="BWO11" s="84"/>
      <c r="BWP11" s="84"/>
      <c r="BWQ11" s="84"/>
      <c r="BWR11" s="84"/>
      <c r="BWS11" s="84"/>
      <c r="BWT11" s="84"/>
      <c r="BWU11" s="84"/>
      <c r="BWV11" s="84"/>
      <c r="BWW11" s="84"/>
      <c r="BWX11" s="84"/>
      <c r="BWY11" s="84"/>
      <c r="BWZ11" s="84"/>
      <c r="BXA11" s="84"/>
      <c r="BXB11" s="84"/>
      <c r="BXC11" s="84"/>
      <c r="BXD11" s="84"/>
      <c r="BXE11" s="84"/>
      <c r="BXF11" s="84"/>
      <c r="BXG11" s="84"/>
      <c r="BXH11" s="84"/>
      <c r="BXI11" s="84"/>
      <c r="BXJ11" s="84"/>
      <c r="BXK11" s="84"/>
      <c r="BXL11" s="84"/>
      <c r="BXM11" s="84"/>
      <c r="BXN11" s="84"/>
      <c r="BXO11" s="84"/>
      <c r="BXP11" s="84"/>
      <c r="BXQ11" s="84"/>
      <c r="BXR11" s="84"/>
      <c r="BXS11" s="84"/>
      <c r="BXT11" s="84"/>
      <c r="BXU11" s="84"/>
      <c r="BXV11" s="84"/>
      <c r="BXW11" s="84"/>
      <c r="BXX11" s="84"/>
      <c r="BXY11" s="84"/>
      <c r="BXZ11" s="84"/>
      <c r="BYA11" s="84"/>
      <c r="BYB11" s="84"/>
      <c r="BYC11" s="84"/>
      <c r="BYD11" s="84"/>
      <c r="BYE11" s="84"/>
      <c r="BYF11" s="84"/>
      <c r="BYG11" s="84"/>
      <c r="BYH11" s="84"/>
      <c r="BYI11" s="84"/>
      <c r="BYJ11" s="84"/>
      <c r="BYK11" s="84"/>
      <c r="BYL11" s="84"/>
      <c r="BYM11" s="84"/>
      <c r="BYN11" s="84"/>
      <c r="BYO11" s="84"/>
      <c r="BYP11" s="84"/>
      <c r="BYQ11" s="84"/>
      <c r="BYR11" s="84"/>
      <c r="BYS11" s="84"/>
      <c r="BYT11" s="84"/>
      <c r="BYU11" s="84"/>
      <c r="BYV11" s="84"/>
      <c r="BYW11" s="84"/>
      <c r="BYX11" s="84"/>
      <c r="BYY11" s="84"/>
      <c r="BYZ11" s="84"/>
      <c r="BZA11" s="84"/>
      <c r="BZB11" s="84"/>
      <c r="BZC11" s="84"/>
      <c r="BZD11" s="84"/>
      <c r="BZE11" s="84"/>
      <c r="BZF11" s="84"/>
      <c r="BZG11" s="84"/>
      <c r="BZH11" s="84"/>
      <c r="BZI11" s="84"/>
      <c r="BZJ11" s="84"/>
      <c r="BZK11" s="84"/>
      <c r="BZL11" s="84"/>
      <c r="BZM11" s="84"/>
      <c r="BZN11" s="84"/>
      <c r="BZO11" s="84"/>
      <c r="BZP11" s="84"/>
      <c r="BZQ11" s="84"/>
      <c r="BZR11" s="84"/>
      <c r="BZS11" s="84"/>
      <c r="BZT11" s="84"/>
      <c r="BZU11" s="84"/>
      <c r="BZV11" s="84"/>
      <c r="BZW11" s="84"/>
      <c r="BZX11" s="84"/>
      <c r="BZY11" s="84"/>
      <c r="BZZ11" s="84"/>
      <c r="CAA11" s="84"/>
      <c r="CAB11" s="84"/>
      <c r="CAC11" s="84"/>
      <c r="CAD11" s="84"/>
      <c r="CAE11" s="84"/>
      <c r="CAF11" s="84"/>
      <c r="CAG11" s="84"/>
      <c r="CAH11" s="84"/>
      <c r="CAI11" s="84"/>
      <c r="CAJ11" s="84"/>
      <c r="CAK11" s="84"/>
      <c r="CAL11" s="84"/>
      <c r="CAM11" s="84"/>
      <c r="CAN11" s="84"/>
      <c r="CAO11" s="84"/>
      <c r="CAP11" s="84"/>
      <c r="CAQ11" s="84"/>
      <c r="CAR11" s="84"/>
      <c r="CAS11" s="84"/>
      <c r="CAT11" s="84"/>
      <c r="CAU11" s="84"/>
      <c r="CAV11" s="84"/>
      <c r="CAW11" s="84"/>
      <c r="CAX11" s="84"/>
      <c r="CAY11" s="84"/>
      <c r="CAZ11" s="84"/>
      <c r="CBA11" s="84"/>
      <c r="CBB11" s="84"/>
      <c r="CBC11" s="84"/>
      <c r="CBD11" s="84"/>
      <c r="CBE11" s="84"/>
      <c r="CBF11" s="84"/>
      <c r="CBG11" s="84"/>
      <c r="CBH11" s="84"/>
      <c r="CBI11" s="84"/>
      <c r="CBJ11" s="84"/>
      <c r="CBK11" s="84"/>
      <c r="CBL11" s="84"/>
      <c r="CBM11" s="84"/>
      <c r="CBN11" s="84"/>
      <c r="CBO11" s="84"/>
      <c r="CBP11" s="84"/>
      <c r="CBQ11" s="84"/>
      <c r="CBR11" s="84"/>
      <c r="CBS11" s="84"/>
      <c r="CBT11" s="84"/>
      <c r="CBU11" s="84"/>
      <c r="CBV11" s="84"/>
      <c r="CBW11" s="84"/>
      <c r="CBX11" s="84"/>
      <c r="CBY11" s="84"/>
      <c r="CBZ11" s="84"/>
      <c r="CCA11" s="84"/>
      <c r="CCB11" s="84"/>
      <c r="CCC11" s="84"/>
      <c r="CCD11" s="84"/>
      <c r="CCE11" s="84"/>
      <c r="CCF11" s="84"/>
      <c r="CCG11" s="84"/>
      <c r="CCH11" s="84"/>
      <c r="CCI11" s="84"/>
      <c r="CCJ11" s="84"/>
      <c r="CCK11" s="84"/>
      <c r="CCL11" s="84"/>
      <c r="CCM11" s="84"/>
      <c r="CCN11" s="84"/>
      <c r="CCO11" s="84"/>
      <c r="CCP11" s="84"/>
      <c r="CCQ11" s="84"/>
      <c r="CCR11" s="84"/>
      <c r="CCS11" s="84"/>
      <c r="CCT11" s="84"/>
      <c r="CCU11" s="84"/>
      <c r="CCV11" s="84"/>
      <c r="CCW11" s="84"/>
      <c r="CCX11" s="84"/>
      <c r="CCY11" s="84"/>
      <c r="CCZ11" s="84"/>
      <c r="CDA11" s="84"/>
      <c r="CDB11" s="84"/>
      <c r="CDC11" s="84"/>
      <c r="CDD11" s="84"/>
      <c r="CDE11" s="84"/>
      <c r="CDF11" s="84"/>
      <c r="CDG11" s="84"/>
      <c r="CDH11" s="84"/>
      <c r="CDI11" s="84"/>
      <c r="CDJ11" s="84"/>
      <c r="CDK11" s="84"/>
      <c r="CDL11" s="84"/>
      <c r="CDM11" s="84"/>
      <c r="CDN11" s="84"/>
      <c r="CDO11" s="84"/>
      <c r="CDP11" s="84"/>
      <c r="CDQ11" s="84"/>
      <c r="CDR11" s="84"/>
      <c r="CDS11" s="84"/>
      <c r="CDT11" s="84"/>
      <c r="CDU11" s="84"/>
      <c r="CDV11" s="84"/>
      <c r="CDW11" s="84"/>
      <c r="CDX11" s="84"/>
      <c r="CDY11" s="84"/>
      <c r="CDZ11" s="84"/>
      <c r="CEA11" s="84"/>
      <c r="CEB11" s="84"/>
      <c r="CEC11" s="84"/>
      <c r="CED11" s="84"/>
      <c r="CEE11" s="84"/>
      <c r="CEF11" s="84"/>
      <c r="CEG11" s="84"/>
      <c r="CEH11" s="84"/>
      <c r="CEI11" s="84"/>
      <c r="CEJ11" s="84"/>
      <c r="CEK11" s="84"/>
      <c r="CEL11" s="84"/>
      <c r="CEM11" s="84"/>
      <c r="CEN11" s="84"/>
      <c r="CEO11" s="84"/>
      <c r="CEP11" s="84"/>
      <c r="CEQ11" s="84"/>
      <c r="CER11" s="84"/>
      <c r="CES11" s="84"/>
      <c r="CET11" s="84"/>
      <c r="CEU11" s="84"/>
      <c r="CEV11" s="84"/>
      <c r="CEW11" s="84"/>
      <c r="CEX11" s="84"/>
      <c r="CEY11" s="84"/>
      <c r="CEZ11" s="84"/>
      <c r="CFA11" s="84"/>
      <c r="CFB11" s="84"/>
      <c r="CFC11" s="84"/>
      <c r="CFD11" s="84"/>
      <c r="CFE11" s="84"/>
      <c r="CFF11" s="84"/>
      <c r="CFG11" s="84"/>
      <c r="CFH11" s="84"/>
      <c r="CFI11" s="84"/>
      <c r="CFJ11" s="84"/>
      <c r="CFK11" s="84"/>
      <c r="CFL11" s="84"/>
      <c r="CFM11" s="84"/>
      <c r="CFN11" s="84"/>
      <c r="CFO11" s="84"/>
      <c r="CFP11" s="84"/>
      <c r="CFQ11" s="84"/>
      <c r="CFR11" s="84"/>
      <c r="CFS11" s="84"/>
      <c r="CFT11" s="84"/>
      <c r="CFU11" s="84"/>
      <c r="CFV11" s="84"/>
      <c r="CFW11" s="84"/>
      <c r="CFX11" s="84"/>
      <c r="CFY11" s="84"/>
      <c r="CFZ11" s="84"/>
      <c r="CGA11" s="84"/>
      <c r="CGB11" s="84"/>
      <c r="CGC11" s="84"/>
      <c r="CGD11" s="84"/>
      <c r="CGE11" s="84"/>
      <c r="CGF11" s="84"/>
      <c r="CGG11" s="84"/>
      <c r="CGH11" s="84"/>
      <c r="CGI11" s="84"/>
      <c r="CGJ11" s="84"/>
      <c r="CGK11" s="84"/>
      <c r="CGL11" s="84"/>
      <c r="CGM11" s="84"/>
      <c r="CGN11" s="84"/>
      <c r="CGO11" s="84"/>
      <c r="CGP11" s="84"/>
      <c r="CGQ11" s="84"/>
      <c r="CGR11" s="84"/>
      <c r="CGS11" s="84"/>
      <c r="CGT11" s="84"/>
      <c r="CGU11" s="84"/>
      <c r="CGV11" s="84"/>
      <c r="CGW11" s="84"/>
      <c r="CGX11" s="84"/>
      <c r="CGY11" s="84"/>
      <c r="CGZ11" s="84"/>
      <c r="CHA11" s="84"/>
      <c r="CHB11" s="84"/>
      <c r="CHC11" s="84"/>
      <c r="CHD11" s="84"/>
      <c r="CHE11" s="84"/>
      <c r="CHF11" s="84"/>
      <c r="CHG11" s="84"/>
      <c r="CHH11" s="84"/>
      <c r="CHI11" s="84"/>
      <c r="CHJ11" s="84"/>
      <c r="CHK11" s="84"/>
      <c r="CHL11" s="84"/>
      <c r="CHM11" s="84"/>
      <c r="CHN11" s="84"/>
      <c r="CHO11" s="84"/>
      <c r="CHP11" s="84"/>
      <c r="CHQ11" s="84"/>
      <c r="CHR11" s="84"/>
      <c r="CHS11" s="84"/>
      <c r="CHT11" s="84"/>
      <c r="CHU11" s="84"/>
      <c r="CHV11" s="84"/>
      <c r="CHW11" s="84"/>
      <c r="CHX11" s="84"/>
      <c r="CHY11" s="84"/>
      <c r="CHZ11" s="84"/>
      <c r="CIA11" s="84"/>
      <c r="CIB11" s="84"/>
      <c r="CIC11" s="84"/>
      <c r="CID11" s="84"/>
      <c r="CIE11" s="84"/>
      <c r="CIF11" s="84"/>
      <c r="CIG11" s="84"/>
      <c r="CIH11" s="84"/>
      <c r="CII11" s="84"/>
      <c r="CIJ11" s="84"/>
      <c r="CIK11" s="84"/>
      <c r="CIL11" s="84"/>
      <c r="CIM11" s="84"/>
      <c r="CIN11" s="84"/>
      <c r="CIO11" s="84"/>
      <c r="CIP11" s="84"/>
      <c r="CIQ11" s="84"/>
      <c r="CIR11" s="84"/>
      <c r="CIS11" s="84"/>
      <c r="CIT11" s="84"/>
      <c r="CIU11" s="84"/>
      <c r="CIV11" s="84"/>
      <c r="CIW11" s="84"/>
      <c r="CIX11" s="84"/>
      <c r="CIY11" s="84"/>
      <c r="CIZ11" s="84"/>
      <c r="CJA11" s="84"/>
      <c r="CJB11" s="84"/>
      <c r="CJC11" s="84"/>
      <c r="CJD11" s="84"/>
      <c r="CJE11" s="84"/>
      <c r="CJF11" s="84"/>
      <c r="CJG11" s="84"/>
      <c r="CJH11" s="84"/>
      <c r="CJI11" s="84"/>
      <c r="CJJ11" s="84"/>
      <c r="CJK11" s="84"/>
      <c r="CJL11" s="84"/>
      <c r="CJM11" s="84"/>
      <c r="CJN11" s="84"/>
      <c r="CJO11" s="84"/>
      <c r="CJP11" s="84"/>
      <c r="CJQ11" s="84"/>
      <c r="CJR11" s="84"/>
      <c r="CJS11" s="84"/>
      <c r="CJT11" s="84"/>
      <c r="CJU11" s="84"/>
      <c r="CJV11" s="84"/>
      <c r="CJW11" s="84"/>
      <c r="CJX11" s="84"/>
      <c r="CJY11" s="84"/>
      <c r="CJZ11" s="84"/>
      <c r="CKA11" s="84"/>
      <c r="CKB11" s="84"/>
      <c r="CKC11" s="84"/>
      <c r="CKD11" s="84"/>
      <c r="CKE11" s="84"/>
      <c r="CKF11" s="84"/>
      <c r="CKG11" s="84"/>
      <c r="CKH11" s="84"/>
      <c r="CKI11" s="84"/>
      <c r="CKJ11" s="84"/>
      <c r="CKK11" s="84"/>
      <c r="CKL11" s="84"/>
      <c r="CKM11" s="84"/>
      <c r="CKN11" s="84"/>
      <c r="CKO11" s="84"/>
      <c r="CKP11" s="84"/>
      <c r="CKQ11" s="84"/>
      <c r="CKR11" s="84"/>
      <c r="CKS11" s="84"/>
      <c r="CKT11" s="84"/>
      <c r="CKU11" s="84"/>
      <c r="CKV11" s="84"/>
      <c r="CKW11" s="84"/>
      <c r="CKX11" s="84"/>
      <c r="CKY11" s="84"/>
      <c r="CKZ11" s="84"/>
      <c r="CLA11" s="84"/>
      <c r="CLB11" s="84"/>
      <c r="CLC11" s="84"/>
      <c r="CLD11" s="84"/>
      <c r="CLE11" s="84"/>
      <c r="CLF11" s="84"/>
      <c r="CLG11" s="84"/>
      <c r="CLH11" s="84"/>
      <c r="CLI11" s="84"/>
      <c r="CLJ11" s="84"/>
      <c r="CLK11" s="84"/>
      <c r="CLL11" s="84"/>
      <c r="CLM11" s="84"/>
      <c r="CLN11" s="84"/>
      <c r="CLO11" s="84"/>
      <c r="CLP11" s="84"/>
      <c r="CLQ11" s="84"/>
      <c r="CLR11" s="84"/>
      <c r="CLS11" s="84"/>
      <c r="CLT11" s="84"/>
      <c r="CLU11" s="84"/>
      <c r="CLV11" s="84"/>
      <c r="CLW11" s="84"/>
      <c r="CLX11" s="84"/>
      <c r="CLY11" s="84"/>
      <c r="CLZ11" s="84"/>
      <c r="CMA11" s="84"/>
      <c r="CMB11" s="84"/>
      <c r="CMC11" s="84"/>
      <c r="CMD11" s="84"/>
      <c r="CME11" s="84"/>
      <c r="CMF11" s="84"/>
      <c r="CMG11" s="84"/>
      <c r="CMH11" s="84"/>
      <c r="CMI11" s="84"/>
      <c r="CMJ11" s="84"/>
      <c r="CMK11" s="84"/>
      <c r="CML11" s="84"/>
      <c r="CMM11" s="84"/>
      <c r="CMN11" s="84"/>
      <c r="CMO11" s="84"/>
      <c r="CMP11" s="84"/>
      <c r="CMQ11" s="84"/>
      <c r="CMR11" s="84"/>
      <c r="CMS11" s="84"/>
      <c r="CMT11" s="84"/>
      <c r="CMU11" s="84"/>
      <c r="CMV11" s="84"/>
      <c r="CMW11" s="84"/>
      <c r="CMX11" s="84"/>
      <c r="CMY11" s="84"/>
      <c r="CMZ11" s="84"/>
      <c r="CNA11" s="84"/>
      <c r="CNB11" s="84"/>
      <c r="CNC11" s="84"/>
      <c r="CND11" s="84"/>
      <c r="CNE11" s="84"/>
      <c r="CNF11" s="84"/>
      <c r="CNG11" s="84"/>
      <c r="CNH11" s="84"/>
      <c r="CNI11" s="84"/>
      <c r="CNJ11" s="84"/>
      <c r="CNK11" s="84"/>
      <c r="CNL11" s="84"/>
      <c r="CNM11" s="84"/>
      <c r="CNN11" s="84"/>
      <c r="CNO11" s="84"/>
      <c r="CNP11" s="84"/>
      <c r="CNQ11" s="84"/>
      <c r="CNR11" s="84"/>
      <c r="CNS11" s="84"/>
      <c r="CNT11" s="84"/>
      <c r="CNU11" s="84"/>
      <c r="CNV11" s="84"/>
      <c r="CNW11" s="84"/>
      <c r="CNX11" s="84"/>
      <c r="CNY11" s="84"/>
      <c r="CNZ11" s="84"/>
      <c r="COA11" s="84"/>
      <c r="COB11" s="84"/>
      <c r="COC11" s="84"/>
      <c r="COD11" s="84"/>
      <c r="COE11" s="84"/>
      <c r="COF11" s="84"/>
      <c r="COG11" s="84"/>
      <c r="COH11" s="84"/>
      <c r="COI11" s="84"/>
      <c r="COJ11" s="84"/>
      <c r="COK11" s="84"/>
      <c r="COL11" s="84"/>
      <c r="COM11" s="84"/>
      <c r="CON11" s="84"/>
      <c r="COO11" s="84"/>
      <c r="COP11" s="84"/>
      <c r="COQ11" s="84"/>
      <c r="COR11" s="84"/>
      <c r="COS11" s="84"/>
      <c r="COT11" s="84"/>
      <c r="COU11" s="84"/>
      <c r="COV11" s="84"/>
      <c r="COW11" s="84"/>
      <c r="COX11" s="84"/>
      <c r="COY11" s="84"/>
      <c r="COZ11" s="84"/>
      <c r="CPA11" s="84"/>
      <c r="CPB11" s="84"/>
      <c r="CPC11" s="84"/>
      <c r="CPD11" s="84"/>
      <c r="CPE11" s="84"/>
      <c r="CPF11" s="84"/>
      <c r="CPG11" s="84"/>
      <c r="CPH11" s="84"/>
      <c r="CPI11" s="84"/>
      <c r="CPJ11" s="84"/>
      <c r="CPK11" s="84"/>
      <c r="CPL11" s="84"/>
      <c r="CPM11" s="84"/>
      <c r="CPN11" s="84"/>
      <c r="CPO11" s="84"/>
      <c r="CPP11" s="84"/>
      <c r="CPQ11" s="84"/>
      <c r="CPR11" s="84"/>
      <c r="CPS11" s="84"/>
      <c r="CPT11" s="84"/>
      <c r="CPU11" s="84"/>
      <c r="CPV11" s="84"/>
      <c r="CPW11" s="84"/>
      <c r="CPX11" s="84"/>
      <c r="CPY11" s="84"/>
      <c r="CPZ11" s="84"/>
      <c r="CQA11" s="84"/>
      <c r="CQB11" s="84"/>
      <c r="CQC11" s="84"/>
      <c r="CQD11" s="84"/>
      <c r="CQE11" s="84"/>
      <c r="CQF11" s="84"/>
      <c r="CQG11" s="84"/>
      <c r="CQH11" s="84"/>
      <c r="CQI11" s="84"/>
      <c r="CQJ11" s="84"/>
      <c r="CQK11" s="84"/>
      <c r="CQL11" s="84"/>
      <c r="CQM11" s="84"/>
      <c r="CQN11" s="84"/>
      <c r="CQO11" s="84"/>
      <c r="CQP11" s="84"/>
      <c r="CQQ11" s="84"/>
      <c r="CQR11" s="84"/>
      <c r="CQS11" s="84"/>
      <c r="CQT11" s="84"/>
      <c r="CQU11" s="84"/>
      <c r="CQV11" s="84"/>
      <c r="CQW11" s="84"/>
      <c r="CQX11" s="84"/>
      <c r="CQY11" s="84"/>
      <c r="CQZ11" s="84"/>
      <c r="CRA11" s="84"/>
      <c r="CRB11" s="84"/>
      <c r="CRC11" s="84"/>
      <c r="CRD11" s="84"/>
      <c r="CRE11" s="84"/>
      <c r="CRF11" s="84"/>
      <c r="CRG11" s="84"/>
      <c r="CRH11" s="84"/>
      <c r="CRI11" s="84"/>
      <c r="CRJ11" s="84"/>
      <c r="CRK11" s="84"/>
      <c r="CRL11" s="84"/>
      <c r="CRM11" s="84"/>
      <c r="CRN11" s="84"/>
      <c r="CRO11" s="84"/>
      <c r="CRP11" s="84"/>
      <c r="CRQ11" s="84"/>
      <c r="CRR11" s="84"/>
      <c r="CRS11" s="84"/>
      <c r="CRT11" s="84"/>
      <c r="CRU11" s="84"/>
      <c r="CRV11" s="84"/>
      <c r="CRW11" s="84"/>
      <c r="CRX11" s="84"/>
      <c r="CRY11" s="84"/>
      <c r="CRZ11" s="84"/>
      <c r="CSA11" s="84"/>
      <c r="CSB11" s="84"/>
      <c r="CSC11" s="84"/>
      <c r="CSD11" s="84"/>
      <c r="CSE11" s="84"/>
      <c r="CSF11" s="84"/>
      <c r="CSG11" s="84"/>
      <c r="CSH11" s="84"/>
      <c r="CSI11" s="84"/>
      <c r="CSJ11" s="84"/>
      <c r="CSK11" s="84"/>
      <c r="CSL11" s="84"/>
      <c r="CSM11" s="84"/>
      <c r="CSN11" s="84"/>
      <c r="CSO11" s="84"/>
      <c r="CSP11" s="84"/>
      <c r="CSQ11" s="84"/>
      <c r="CSR11" s="84"/>
      <c r="CSS11" s="84"/>
      <c r="CST11" s="84"/>
      <c r="CSU11" s="84"/>
      <c r="CSV11" s="84"/>
      <c r="CSW11" s="84"/>
      <c r="CSX11" s="84"/>
      <c r="CSY11" s="84"/>
      <c r="CSZ11" s="84"/>
      <c r="CTA11" s="84"/>
      <c r="CTB11" s="84"/>
      <c r="CTC11" s="84"/>
      <c r="CTD11" s="84"/>
      <c r="CTE11" s="84"/>
      <c r="CTF11" s="84"/>
      <c r="CTG11" s="84"/>
      <c r="CTH11" s="84"/>
      <c r="CTI11" s="84"/>
      <c r="CTJ11" s="84"/>
      <c r="CTK11" s="84"/>
      <c r="CTL11" s="84"/>
      <c r="CTM11" s="84"/>
      <c r="CTN11" s="84"/>
      <c r="CTO11" s="84"/>
      <c r="CTP11" s="84"/>
      <c r="CTQ11" s="84"/>
      <c r="CTR11" s="84"/>
      <c r="CTS11" s="84"/>
      <c r="CTT11" s="84"/>
      <c r="CTU11" s="84"/>
      <c r="CTV11" s="84"/>
      <c r="CTW11" s="84"/>
      <c r="CTX11" s="84"/>
      <c r="CTY11" s="84"/>
      <c r="CTZ11" s="84"/>
      <c r="CUA11" s="84"/>
      <c r="CUB11" s="84"/>
      <c r="CUC11" s="84"/>
      <c r="CUD11" s="84"/>
      <c r="CUE11" s="84"/>
      <c r="CUF11" s="84"/>
      <c r="CUG11" s="84"/>
      <c r="CUH11" s="84"/>
      <c r="CUI11" s="84"/>
      <c r="CUJ11" s="84"/>
      <c r="CUK11" s="84"/>
      <c r="CUL11" s="84"/>
      <c r="CUM11" s="84"/>
      <c r="CUN11" s="84"/>
      <c r="CUO11" s="84"/>
      <c r="CUP11" s="84"/>
      <c r="CUQ11" s="84"/>
      <c r="CUR11" s="84"/>
      <c r="CUS11" s="84"/>
      <c r="CUT11" s="84"/>
      <c r="CUU11" s="84"/>
      <c r="CUV11" s="84"/>
      <c r="CUW11" s="84"/>
      <c r="CUX11" s="84"/>
      <c r="CUY11" s="84"/>
      <c r="CUZ11" s="84"/>
      <c r="CVA11" s="84"/>
      <c r="CVB11" s="84"/>
      <c r="CVC11" s="84"/>
      <c r="CVD11" s="84"/>
      <c r="CVE11" s="84"/>
      <c r="CVF11" s="84"/>
      <c r="CVG11" s="84"/>
      <c r="CVH11" s="84"/>
      <c r="CVI11" s="84"/>
      <c r="CVJ11" s="84"/>
      <c r="CVK11" s="84"/>
      <c r="CVL11" s="84"/>
      <c r="CVM11" s="84"/>
      <c r="CVN11" s="84"/>
      <c r="CVO11" s="84"/>
      <c r="CVP11" s="84"/>
      <c r="CVQ11" s="84"/>
      <c r="CVR11" s="84"/>
      <c r="CVS11" s="84"/>
      <c r="CVT11" s="84"/>
      <c r="CVU11" s="84"/>
      <c r="CVV11" s="84"/>
      <c r="CVW11" s="84"/>
      <c r="CVX11" s="84"/>
      <c r="CVY11" s="84"/>
      <c r="CVZ11" s="84"/>
      <c r="CWA11" s="84"/>
      <c r="CWB11" s="84"/>
      <c r="CWC11" s="84"/>
      <c r="CWD11" s="84"/>
      <c r="CWE11" s="84"/>
      <c r="CWF11" s="84"/>
      <c r="CWG11" s="84"/>
      <c r="CWH11" s="84"/>
      <c r="CWI11" s="84"/>
      <c r="CWJ11" s="84"/>
      <c r="CWK11" s="84"/>
      <c r="CWL11" s="84"/>
      <c r="CWM11" s="84"/>
      <c r="CWN11" s="84"/>
      <c r="CWO11" s="84"/>
      <c r="CWP11" s="84"/>
      <c r="CWQ11" s="84"/>
      <c r="CWR11" s="84"/>
      <c r="CWS11" s="84"/>
      <c r="CWT11" s="84"/>
      <c r="CWU11" s="84"/>
      <c r="CWV11" s="84"/>
      <c r="CWW11" s="84"/>
      <c r="CWX11" s="84"/>
      <c r="CWY11" s="84"/>
      <c r="CWZ11" s="84"/>
      <c r="CXA11" s="84"/>
      <c r="CXB11" s="84"/>
      <c r="CXC11" s="84"/>
      <c r="CXD11" s="84"/>
      <c r="CXE11" s="84"/>
      <c r="CXF11" s="84"/>
      <c r="CXG11" s="84"/>
      <c r="CXH11" s="84"/>
      <c r="CXI11" s="84"/>
      <c r="CXJ11" s="84"/>
      <c r="CXK11" s="84"/>
      <c r="CXL11" s="84"/>
      <c r="CXM11" s="84"/>
      <c r="CXN11" s="84"/>
      <c r="CXO11" s="84"/>
      <c r="CXP11" s="84"/>
      <c r="CXQ11" s="84"/>
      <c r="CXR11" s="84"/>
      <c r="CXS11" s="84"/>
      <c r="CXT11" s="84"/>
      <c r="CXU11" s="84"/>
      <c r="CXV11" s="84"/>
      <c r="CXW11" s="84"/>
      <c r="CXX11" s="84"/>
      <c r="CXY11" s="84"/>
      <c r="CXZ11" s="84"/>
      <c r="CYA11" s="84"/>
      <c r="CYB11" s="84"/>
      <c r="CYC11" s="84"/>
      <c r="CYD11" s="84"/>
      <c r="CYE11" s="84"/>
      <c r="CYF11" s="84"/>
      <c r="CYG11" s="84"/>
      <c r="CYH11" s="84"/>
      <c r="CYI11" s="84"/>
      <c r="CYJ11" s="84"/>
      <c r="CYK11" s="84"/>
      <c r="CYL11" s="84"/>
      <c r="CYM11" s="84"/>
      <c r="CYN11" s="84"/>
      <c r="CYO11" s="84"/>
      <c r="CYP11" s="84"/>
      <c r="CYQ11" s="84"/>
      <c r="CYR11" s="84"/>
      <c r="CYS11" s="84"/>
      <c r="CYT11" s="84"/>
      <c r="CYU11" s="84"/>
      <c r="CYV11" s="84"/>
      <c r="CYW11" s="84"/>
      <c r="CYX11" s="84"/>
      <c r="CYY11" s="84"/>
      <c r="CYZ11" s="84"/>
      <c r="CZA11" s="84"/>
      <c r="CZB11" s="84"/>
      <c r="CZC11" s="84"/>
      <c r="CZD11" s="84"/>
      <c r="CZE11" s="84"/>
      <c r="CZF11" s="84"/>
      <c r="CZG11" s="84"/>
      <c r="CZH11" s="84"/>
      <c r="CZI11" s="84"/>
      <c r="CZJ11" s="84"/>
      <c r="CZK11" s="84"/>
      <c r="CZL11" s="84"/>
      <c r="CZM11" s="84"/>
      <c r="CZN11" s="84"/>
      <c r="CZO11" s="84"/>
      <c r="CZP11" s="84"/>
      <c r="CZQ11" s="84"/>
      <c r="CZR11" s="84"/>
      <c r="CZS11" s="84"/>
      <c r="CZT11" s="84"/>
      <c r="CZU11" s="84"/>
      <c r="CZV11" s="84"/>
      <c r="CZW11" s="84"/>
      <c r="CZX11" s="84"/>
      <c r="CZY11" s="84"/>
      <c r="CZZ11" s="84"/>
      <c r="DAA11" s="84"/>
      <c r="DAB11" s="84"/>
      <c r="DAC11" s="84"/>
      <c r="DAD11" s="84"/>
      <c r="DAE11" s="84"/>
      <c r="DAF11" s="84"/>
      <c r="DAG11" s="84"/>
      <c r="DAH11" s="84"/>
      <c r="DAI11" s="84"/>
      <c r="DAJ11" s="84"/>
      <c r="DAK11" s="84"/>
      <c r="DAL11" s="84"/>
      <c r="DAM11" s="84"/>
      <c r="DAN11" s="84"/>
      <c r="DAO11" s="84"/>
      <c r="DAP11" s="84"/>
      <c r="DAQ11" s="84"/>
      <c r="DAR11" s="84"/>
      <c r="DAS11" s="84"/>
      <c r="DAT11" s="84"/>
      <c r="DAU11" s="84"/>
      <c r="DAV11" s="84"/>
      <c r="DAW11" s="84"/>
      <c r="DAX11" s="84"/>
      <c r="DAY11" s="84"/>
      <c r="DAZ11" s="84"/>
      <c r="DBA11" s="84"/>
      <c r="DBB11" s="84"/>
      <c r="DBC11" s="84"/>
      <c r="DBD11" s="84"/>
      <c r="DBE11" s="84"/>
      <c r="DBF11" s="84"/>
      <c r="DBG11" s="84"/>
      <c r="DBH11" s="84"/>
      <c r="DBI11" s="84"/>
      <c r="DBJ11" s="84"/>
      <c r="DBK11" s="84"/>
      <c r="DBL11" s="84"/>
      <c r="DBM11" s="84"/>
      <c r="DBN11" s="84"/>
      <c r="DBO11" s="84"/>
      <c r="DBP11" s="84"/>
      <c r="DBQ11" s="84"/>
      <c r="DBR11" s="84"/>
      <c r="DBS11" s="84"/>
      <c r="DBT11" s="84"/>
      <c r="DBU11" s="84"/>
      <c r="DBV11" s="84"/>
      <c r="DBW11" s="84"/>
      <c r="DBX11" s="84"/>
      <c r="DBY11" s="84"/>
      <c r="DBZ11" s="84"/>
      <c r="DCA11" s="84"/>
      <c r="DCB11" s="84"/>
      <c r="DCC11" s="84"/>
      <c r="DCD11" s="84"/>
      <c r="DCE11" s="84"/>
      <c r="DCF11" s="84"/>
      <c r="DCG11" s="84"/>
      <c r="DCH11" s="84"/>
      <c r="DCI11" s="84"/>
      <c r="DCJ11" s="84"/>
      <c r="DCK11" s="84"/>
      <c r="DCL11" s="84"/>
      <c r="DCM11" s="84"/>
      <c r="DCN11" s="84"/>
      <c r="DCO11" s="84"/>
      <c r="DCP11" s="84"/>
      <c r="DCQ11" s="84"/>
      <c r="DCR11" s="84"/>
      <c r="DCS11" s="84"/>
      <c r="DCT11" s="84"/>
      <c r="DCU11" s="84"/>
      <c r="DCV11" s="84"/>
      <c r="DCW11" s="84"/>
      <c r="DCX11" s="84"/>
      <c r="DCY11" s="84"/>
      <c r="DCZ11" s="84"/>
      <c r="DDA11" s="84"/>
      <c r="DDB11" s="84"/>
      <c r="DDC11" s="84"/>
      <c r="DDD11" s="84"/>
      <c r="DDE11" s="84"/>
      <c r="DDF11" s="84"/>
      <c r="DDG11" s="84"/>
      <c r="DDH11" s="84"/>
      <c r="DDI11" s="84"/>
      <c r="DDJ11" s="84"/>
      <c r="DDK11" s="84"/>
      <c r="DDL11" s="84"/>
      <c r="DDM11" s="84"/>
      <c r="DDN11" s="84"/>
      <c r="DDO11" s="84"/>
      <c r="DDP11" s="84"/>
      <c r="DDQ11" s="84"/>
      <c r="DDR11" s="84"/>
      <c r="DDS11" s="84"/>
      <c r="DDT11" s="84"/>
      <c r="DDU11" s="84"/>
      <c r="DDV11" s="84"/>
      <c r="DDW11" s="84"/>
      <c r="DDX11" s="84"/>
      <c r="DDY11" s="84"/>
      <c r="DDZ11" s="84"/>
      <c r="DEA11" s="84"/>
      <c r="DEB11" s="84"/>
      <c r="DEC11" s="84"/>
      <c r="DED11" s="84"/>
      <c r="DEE11" s="84"/>
      <c r="DEF11" s="84"/>
      <c r="DEG11" s="84"/>
      <c r="DEH11" s="84"/>
      <c r="DEI11" s="84"/>
      <c r="DEJ11" s="84"/>
      <c r="DEK11" s="84"/>
      <c r="DEL11" s="84"/>
      <c r="DEM11" s="84"/>
      <c r="DEN11" s="84"/>
      <c r="DEO11" s="84"/>
      <c r="DEP11" s="84"/>
      <c r="DEQ11" s="84"/>
      <c r="DER11" s="84"/>
      <c r="DES11" s="84"/>
      <c r="DET11" s="84"/>
      <c r="DEU11" s="84"/>
      <c r="DEV11" s="84"/>
      <c r="DEW11" s="84"/>
      <c r="DEX11" s="84"/>
      <c r="DEY11" s="84"/>
      <c r="DEZ11" s="84"/>
      <c r="DFA11" s="84"/>
      <c r="DFB11" s="84"/>
      <c r="DFC11" s="84"/>
      <c r="DFD11" s="84"/>
      <c r="DFE11" s="84"/>
      <c r="DFF11" s="84"/>
      <c r="DFG11" s="84"/>
      <c r="DFH11" s="84"/>
      <c r="DFI11" s="84"/>
      <c r="DFJ11" s="84"/>
      <c r="DFK11" s="84"/>
      <c r="DFL11" s="84"/>
      <c r="DFM11" s="84"/>
      <c r="DFN11" s="84"/>
      <c r="DFO11" s="84"/>
      <c r="DFP11" s="84"/>
      <c r="DFQ11" s="84"/>
      <c r="DFR11" s="84"/>
      <c r="DFS11" s="84"/>
      <c r="DFT11" s="84"/>
      <c r="DFU11" s="84"/>
      <c r="DFV11" s="84"/>
      <c r="DFW11" s="84"/>
      <c r="DFX11" s="84"/>
      <c r="DFY11" s="84"/>
      <c r="DFZ11" s="84"/>
      <c r="DGA11" s="84"/>
      <c r="DGB11" s="84"/>
      <c r="DGC11" s="84"/>
      <c r="DGD11" s="84"/>
      <c r="DGE11" s="84"/>
      <c r="DGF11" s="84"/>
      <c r="DGG11" s="84"/>
      <c r="DGH11" s="84"/>
      <c r="DGI11" s="84"/>
      <c r="DGJ11" s="84"/>
      <c r="DGK11" s="84"/>
      <c r="DGL11" s="84"/>
      <c r="DGM11" s="84"/>
      <c r="DGN11" s="84"/>
      <c r="DGO11" s="84"/>
      <c r="DGP11" s="84"/>
      <c r="DGQ11" s="84"/>
      <c r="DGR11" s="84"/>
      <c r="DGS11" s="84"/>
      <c r="DGT11" s="84"/>
      <c r="DGU11" s="84"/>
      <c r="DGV11" s="84"/>
      <c r="DGW11" s="84"/>
      <c r="DGX11" s="84"/>
      <c r="DGY11" s="84"/>
      <c r="DGZ11" s="84"/>
      <c r="DHA11" s="84"/>
      <c r="DHB11" s="84"/>
      <c r="DHC11" s="84"/>
      <c r="DHD11" s="84"/>
      <c r="DHE11" s="84"/>
      <c r="DHF11" s="84"/>
      <c r="DHG11" s="84"/>
      <c r="DHH11" s="84"/>
      <c r="DHI11" s="84"/>
      <c r="DHJ11" s="84"/>
      <c r="DHK11" s="84"/>
      <c r="DHL11" s="84"/>
      <c r="DHM11" s="84"/>
      <c r="DHN11" s="84"/>
      <c r="DHO11" s="84"/>
      <c r="DHP11" s="84"/>
      <c r="DHQ11" s="84"/>
      <c r="DHR11" s="84"/>
      <c r="DHS11" s="84"/>
      <c r="DHT11" s="84"/>
      <c r="DHU11" s="84"/>
      <c r="DHV11" s="84"/>
      <c r="DHW11" s="84"/>
      <c r="DHX11" s="84"/>
      <c r="DHY11" s="84"/>
      <c r="DHZ11" s="84"/>
      <c r="DIA11" s="84"/>
      <c r="DIB11" s="84"/>
      <c r="DIC11" s="84"/>
      <c r="DID11" s="84"/>
      <c r="DIE11" s="84"/>
      <c r="DIF11" s="84"/>
      <c r="DIG11" s="84"/>
      <c r="DIH11" s="84"/>
      <c r="DII11" s="84"/>
      <c r="DIJ11" s="84"/>
      <c r="DIK11" s="84"/>
      <c r="DIL11" s="84"/>
      <c r="DIM11" s="84"/>
      <c r="DIN11" s="84"/>
      <c r="DIO11" s="84"/>
      <c r="DIP11" s="84"/>
      <c r="DIQ11" s="84"/>
      <c r="DIR11" s="84"/>
      <c r="DIS11" s="84"/>
      <c r="DIT11" s="84"/>
      <c r="DIU11" s="84"/>
      <c r="DIV11" s="84"/>
      <c r="DIW11" s="84"/>
      <c r="DIX11" s="84"/>
      <c r="DIY11" s="84"/>
      <c r="DIZ11" s="84"/>
      <c r="DJA11" s="84"/>
      <c r="DJB11" s="84"/>
      <c r="DJC11" s="84"/>
      <c r="DJD11" s="84"/>
      <c r="DJE11" s="84"/>
      <c r="DJF11" s="84"/>
      <c r="DJG11" s="84"/>
      <c r="DJH11" s="84"/>
      <c r="DJI11" s="84"/>
      <c r="DJJ11" s="84"/>
      <c r="DJK11" s="84"/>
      <c r="DJL11" s="84"/>
      <c r="DJM11" s="84"/>
      <c r="DJN11" s="84"/>
      <c r="DJO11" s="84"/>
      <c r="DJP11" s="84"/>
      <c r="DJQ11" s="84"/>
      <c r="DJR11" s="84"/>
      <c r="DJS11" s="84"/>
      <c r="DJT11" s="84"/>
      <c r="DJU11" s="84"/>
      <c r="DJV11" s="84"/>
      <c r="DJW11" s="84"/>
      <c r="DJX11" s="84"/>
      <c r="DJY11" s="84"/>
      <c r="DJZ11" s="84"/>
      <c r="DKA11" s="84"/>
      <c r="DKB11" s="84"/>
      <c r="DKC11" s="84"/>
      <c r="DKD11" s="84"/>
      <c r="DKE11" s="84"/>
      <c r="DKF11" s="84"/>
      <c r="DKG11" s="84"/>
      <c r="DKH11" s="84"/>
      <c r="DKI11" s="84"/>
      <c r="DKJ11" s="84"/>
      <c r="DKK11" s="84"/>
      <c r="DKL11" s="84"/>
      <c r="DKM11" s="84"/>
      <c r="DKN11" s="84"/>
      <c r="DKO11" s="84"/>
      <c r="DKP11" s="84"/>
      <c r="DKQ11" s="84"/>
      <c r="DKR11" s="84"/>
      <c r="DKS11" s="84"/>
      <c r="DKT11" s="84"/>
      <c r="DKU11" s="84"/>
      <c r="DKV11" s="84"/>
      <c r="DKW11" s="84"/>
      <c r="DKX11" s="84"/>
      <c r="DKY11" s="84"/>
      <c r="DKZ11" s="84"/>
      <c r="DLA11" s="84"/>
      <c r="DLB11" s="84"/>
      <c r="DLC11" s="84"/>
      <c r="DLD11" s="84"/>
      <c r="DLE11" s="84"/>
      <c r="DLF11" s="84"/>
      <c r="DLG11" s="84"/>
      <c r="DLH11" s="84"/>
      <c r="DLI11" s="84"/>
      <c r="DLJ11" s="84"/>
      <c r="DLK11" s="84"/>
      <c r="DLL11" s="84"/>
      <c r="DLM11" s="84"/>
      <c r="DLN11" s="84"/>
      <c r="DLO11" s="84"/>
      <c r="DLP11" s="84"/>
      <c r="DLQ11" s="84"/>
      <c r="DLR11" s="84"/>
      <c r="DLS11" s="84"/>
      <c r="DLT11" s="84"/>
      <c r="DLU11" s="84"/>
      <c r="DLV11" s="84"/>
      <c r="DLW11" s="84"/>
      <c r="DLX11" s="84"/>
      <c r="DLY11" s="84"/>
      <c r="DLZ11" s="84"/>
      <c r="DMA11" s="84"/>
      <c r="DMB11" s="84"/>
      <c r="DMC11" s="84"/>
      <c r="DMD11" s="84"/>
      <c r="DME11" s="84"/>
      <c r="DMF11" s="84"/>
      <c r="DMG11" s="84"/>
      <c r="DMH11" s="84"/>
      <c r="DMI11" s="84"/>
      <c r="DMJ11" s="84"/>
      <c r="DMK11" s="84"/>
      <c r="DML11" s="84"/>
      <c r="DMM11" s="84"/>
      <c r="DMN11" s="84"/>
      <c r="DMO11" s="84"/>
      <c r="DMP11" s="84"/>
      <c r="DMQ11" s="84"/>
      <c r="DMR11" s="84"/>
      <c r="DMS11" s="84"/>
      <c r="DMT11" s="84"/>
      <c r="DMU11" s="84"/>
      <c r="DMV11" s="84"/>
      <c r="DMW11" s="84"/>
      <c r="DMX11" s="84"/>
      <c r="DMY11" s="84"/>
      <c r="DMZ11" s="84"/>
      <c r="DNA11" s="84"/>
      <c r="DNB11" s="84"/>
      <c r="DNC11" s="84"/>
      <c r="DND11" s="84"/>
      <c r="DNE11" s="84"/>
      <c r="DNF11" s="84"/>
      <c r="DNG11" s="84"/>
      <c r="DNH11" s="84"/>
      <c r="DNI11" s="84"/>
      <c r="DNJ11" s="84"/>
      <c r="DNK11" s="84"/>
      <c r="DNL11" s="84"/>
      <c r="DNM11" s="84"/>
      <c r="DNN11" s="84"/>
      <c r="DNO11" s="84"/>
      <c r="DNP11" s="84"/>
      <c r="DNQ11" s="84"/>
      <c r="DNR11" s="84"/>
      <c r="DNS11" s="84"/>
      <c r="DNT11" s="84"/>
      <c r="DNU11" s="84"/>
      <c r="DNV11" s="84"/>
      <c r="DNW11" s="84"/>
      <c r="DNX11" s="84"/>
      <c r="DNY11" s="84"/>
      <c r="DNZ11" s="84"/>
      <c r="DOA11" s="84"/>
      <c r="DOB11" s="84"/>
      <c r="DOC11" s="84"/>
      <c r="DOD11" s="84"/>
      <c r="DOE11" s="84"/>
      <c r="DOF11" s="84"/>
      <c r="DOG11" s="84"/>
      <c r="DOH11" s="84"/>
      <c r="DOI11" s="84"/>
      <c r="DOJ11" s="84"/>
      <c r="DOK11" s="84"/>
      <c r="DOL11" s="84"/>
      <c r="DOM11" s="84"/>
      <c r="DON11" s="84"/>
      <c r="DOO11" s="84"/>
      <c r="DOP11" s="84"/>
      <c r="DOQ11" s="84"/>
      <c r="DOR11" s="84"/>
      <c r="DOS11" s="84"/>
      <c r="DOT11" s="84"/>
      <c r="DOU11" s="84"/>
      <c r="DOV11" s="84"/>
      <c r="DOW11" s="84"/>
      <c r="DOX11" s="84"/>
      <c r="DOY11" s="84"/>
      <c r="DOZ11" s="84"/>
      <c r="DPA11" s="84"/>
      <c r="DPB11" s="84"/>
      <c r="DPC11" s="84"/>
      <c r="DPD11" s="84"/>
      <c r="DPE11" s="84"/>
      <c r="DPF11" s="84"/>
      <c r="DPG11" s="84"/>
      <c r="DPH11" s="84"/>
      <c r="DPI11" s="84"/>
      <c r="DPJ11" s="84"/>
      <c r="DPK11" s="84"/>
      <c r="DPL11" s="84"/>
      <c r="DPM11" s="84"/>
      <c r="DPN11" s="84"/>
      <c r="DPO11" s="84"/>
      <c r="DPP11" s="84"/>
      <c r="DPQ11" s="84"/>
      <c r="DPR11" s="84"/>
      <c r="DPS11" s="84"/>
      <c r="DPT11" s="84"/>
      <c r="DPU11" s="84"/>
      <c r="DPV11" s="84"/>
      <c r="DPW11" s="84"/>
      <c r="DPX11" s="84"/>
      <c r="DPY11" s="84"/>
      <c r="DPZ11" s="84"/>
      <c r="DQA11" s="84"/>
      <c r="DQB11" s="84"/>
      <c r="DQC11" s="84"/>
      <c r="DQD11" s="84"/>
      <c r="DQE11" s="84"/>
      <c r="DQF11" s="84"/>
      <c r="DQG11" s="84"/>
      <c r="DQH11" s="84"/>
      <c r="DQI11" s="84"/>
      <c r="DQJ11" s="84"/>
      <c r="DQK11" s="84"/>
      <c r="DQL11" s="84"/>
      <c r="DQM11" s="84"/>
      <c r="DQN11" s="84"/>
      <c r="DQO11" s="84"/>
      <c r="DQP11" s="84"/>
      <c r="DQQ11" s="84"/>
      <c r="DQR11" s="84"/>
      <c r="DQS11" s="84"/>
      <c r="DQT11" s="84"/>
      <c r="DQU11" s="84"/>
      <c r="DQV11" s="84"/>
      <c r="DQW11" s="84"/>
      <c r="DQX11" s="84"/>
      <c r="DQY11" s="84"/>
      <c r="DQZ11" s="84"/>
      <c r="DRA11" s="84"/>
      <c r="DRB11" s="84"/>
      <c r="DRC11" s="84"/>
      <c r="DRD11" s="84"/>
      <c r="DRE11" s="84"/>
      <c r="DRF11" s="84"/>
      <c r="DRG11" s="84"/>
      <c r="DRH11" s="84"/>
      <c r="DRI11" s="84"/>
      <c r="DRJ11" s="84"/>
      <c r="DRK11" s="84"/>
      <c r="DRL11" s="84"/>
      <c r="DRM11" s="84"/>
      <c r="DRN11" s="84"/>
      <c r="DRO11" s="84"/>
      <c r="DRP11" s="84"/>
      <c r="DRQ11" s="84"/>
      <c r="DRR11" s="84"/>
      <c r="DRS11" s="84"/>
      <c r="DRT11" s="84"/>
      <c r="DRU11" s="84"/>
      <c r="DRV11" s="84"/>
      <c r="DRW11" s="84"/>
      <c r="DRX11" s="84"/>
      <c r="DRY11" s="84"/>
      <c r="DRZ11" s="84"/>
      <c r="DSA11" s="84"/>
      <c r="DSB11" s="84"/>
      <c r="DSC11" s="84"/>
      <c r="DSD11" s="84"/>
      <c r="DSE11" s="84"/>
      <c r="DSF11" s="84"/>
      <c r="DSG11" s="84"/>
      <c r="DSH11" s="84"/>
      <c r="DSI11" s="84"/>
      <c r="DSJ11" s="84"/>
      <c r="DSK11" s="84"/>
      <c r="DSL11" s="84"/>
      <c r="DSM11" s="84"/>
      <c r="DSN11" s="84"/>
      <c r="DSO11" s="84"/>
      <c r="DSP11" s="84"/>
      <c r="DSQ11" s="84"/>
      <c r="DSR11" s="84"/>
      <c r="DSS11" s="84"/>
      <c r="DST11" s="84"/>
      <c r="DSU11" s="84"/>
      <c r="DSV11" s="84"/>
      <c r="DSW11" s="84"/>
      <c r="DSX11" s="84"/>
      <c r="DSY11" s="84"/>
      <c r="DSZ11" s="84"/>
      <c r="DTA11" s="84"/>
      <c r="DTB11" s="84"/>
      <c r="DTC11" s="84"/>
      <c r="DTD11" s="84"/>
      <c r="DTE11" s="84"/>
      <c r="DTF11" s="84"/>
      <c r="DTG11" s="84"/>
      <c r="DTH11" s="84"/>
      <c r="DTI11" s="84"/>
      <c r="DTJ11" s="84"/>
      <c r="DTK11" s="84"/>
      <c r="DTL11" s="84"/>
      <c r="DTM11" s="84"/>
      <c r="DTN11" s="84"/>
      <c r="DTO11" s="84"/>
      <c r="DTP11" s="84"/>
      <c r="DTQ11" s="84"/>
      <c r="DTR11" s="84"/>
      <c r="DTS11" s="84"/>
      <c r="DTT11" s="84"/>
      <c r="DTU11" s="84"/>
      <c r="DTV11" s="84"/>
      <c r="DTW11" s="84"/>
      <c r="DTX11" s="84"/>
      <c r="DTY11" s="84"/>
      <c r="DTZ11" s="84"/>
      <c r="DUA11" s="84"/>
      <c r="DUB11" s="84"/>
      <c r="DUC11" s="84"/>
      <c r="DUD11" s="84"/>
      <c r="DUE11" s="84"/>
      <c r="DUF11" s="84"/>
      <c r="DUG11" s="84"/>
      <c r="DUH11" s="84"/>
      <c r="DUI11" s="84"/>
      <c r="DUJ11" s="84"/>
      <c r="DUK11" s="84"/>
      <c r="DUL11" s="84"/>
      <c r="DUM11" s="84"/>
      <c r="DUN11" s="84"/>
      <c r="DUO11" s="84"/>
      <c r="DUP11" s="84"/>
      <c r="DUQ11" s="84"/>
      <c r="DUR11" s="84"/>
      <c r="DUS11" s="84"/>
      <c r="DUT11" s="84"/>
      <c r="DUU11" s="84"/>
      <c r="DUV11" s="84"/>
      <c r="DUW11" s="84"/>
      <c r="DUX11" s="84"/>
      <c r="DUY11" s="84"/>
      <c r="DUZ11" s="84"/>
      <c r="DVA11" s="84"/>
      <c r="DVB11" s="84"/>
      <c r="DVC11" s="84"/>
      <c r="DVD11" s="84"/>
      <c r="DVE11" s="84"/>
      <c r="DVF11" s="84"/>
      <c r="DVG11" s="84"/>
      <c r="DVH11" s="84"/>
      <c r="DVI11" s="84"/>
      <c r="DVJ11" s="84"/>
      <c r="DVK11" s="84"/>
      <c r="DVL11" s="84"/>
      <c r="DVM11" s="84"/>
      <c r="DVN11" s="84"/>
      <c r="DVO11" s="84"/>
      <c r="DVP11" s="84"/>
      <c r="DVQ11" s="84"/>
      <c r="DVR11" s="84"/>
      <c r="DVS11" s="84"/>
      <c r="DVT11" s="84"/>
      <c r="DVU11" s="84"/>
      <c r="DVV11" s="84"/>
      <c r="DVW11" s="84"/>
      <c r="DVX11" s="84"/>
      <c r="DVY11" s="84"/>
      <c r="DVZ11" s="84"/>
      <c r="DWA11" s="84"/>
      <c r="DWB11" s="84"/>
      <c r="DWC11" s="84"/>
      <c r="DWD11" s="84"/>
      <c r="DWE11" s="84"/>
      <c r="DWF11" s="84"/>
      <c r="DWG11" s="84"/>
      <c r="DWH11" s="84"/>
      <c r="DWI11" s="84"/>
      <c r="DWJ11" s="84"/>
      <c r="DWK11" s="84"/>
      <c r="DWL11" s="84"/>
      <c r="DWM11" s="84"/>
      <c r="DWN11" s="84"/>
      <c r="DWO11" s="84"/>
      <c r="DWP11" s="84"/>
      <c r="DWQ11" s="84"/>
      <c r="DWR11" s="84"/>
      <c r="DWS11" s="84"/>
      <c r="DWT11" s="84"/>
      <c r="DWU11" s="84"/>
      <c r="DWV11" s="84"/>
      <c r="DWW11" s="84"/>
      <c r="DWX11" s="84"/>
      <c r="DWY11" s="84"/>
      <c r="DWZ11" s="84"/>
      <c r="DXA11" s="84"/>
      <c r="DXB11" s="84"/>
      <c r="DXC11" s="84"/>
      <c r="DXD11" s="84"/>
      <c r="DXE11" s="84"/>
      <c r="DXF11" s="84"/>
      <c r="DXG11" s="84"/>
      <c r="DXH11" s="84"/>
      <c r="DXI11" s="84"/>
      <c r="DXJ11" s="84"/>
      <c r="DXK11" s="84"/>
      <c r="DXL11" s="84"/>
      <c r="DXM11" s="84"/>
      <c r="DXN11" s="84"/>
      <c r="DXO11" s="84"/>
      <c r="DXP11" s="84"/>
      <c r="DXQ11" s="84"/>
      <c r="DXR11" s="84"/>
      <c r="DXS11" s="84"/>
      <c r="DXT11" s="84"/>
      <c r="DXU11" s="84"/>
      <c r="DXV11" s="84"/>
      <c r="DXW11" s="84"/>
      <c r="DXX11" s="84"/>
      <c r="DXY11" s="84"/>
      <c r="DXZ11" s="84"/>
      <c r="DYA11" s="84"/>
      <c r="DYB11" s="84"/>
      <c r="DYC11" s="84"/>
      <c r="DYD11" s="84"/>
      <c r="DYE11" s="84"/>
      <c r="DYF11" s="84"/>
      <c r="DYG11" s="84"/>
      <c r="DYH11" s="84"/>
      <c r="DYI11" s="84"/>
      <c r="DYJ11" s="84"/>
      <c r="DYK11" s="84"/>
      <c r="DYL11" s="84"/>
      <c r="DYM11" s="84"/>
      <c r="DYN11" s="84"/>
      <c r="DYO11" s="84"/>
      <c r="DYP11" s="84"/>
      <c r="DYQ11" s="84"/>
      <c r="DYR11" s="84"/>
      <c r="DYS11" s="84"/>
      <c r="DYT11" s="84"/>
      <c r="DYU11" s="84"/>
      <c r="DYV11" s="84"/>
      <c r="DYW11" s="84"/>
      <c r="DYX11" s="84"/>
      <c r="DYY11" s="84"/>
      <c r="DYZ11" s="84"/>
      <c r="DZA11" s="84"/>
      <c r="DZB11" s="84"/>
      <c r="DZC11" s="84"/>
      <c r="DZD11" s="84"/>
      <c r="DZE11" s="84"/>
      <c r="DZF11" s="84"/>
      <c r="DZG11" s="84"/>
      <c r="DZH11" s="84"/>
      <c r="DZI11" s="84"/>
      <c r="DZJ11" s="84"/>
      <c r="DZK11" s="84"/>
      <c r="DZL11" s="84"/>
      <c r="DZM11" s="84"/>
      <c r="DZN11" s="84"/>
      <c r="DZO11" s="84"/>
      <c r="DZP11" s="84"/>
      <c r="DZQ11" s="84"/>
      <c r="DZR11" s="84"/>
      <c r="DZS11" s="84"/>
      <c r="DZT11" s="84"/>
      <c r="DZU11" s="84"/>
      <c r="DZV11" s="84"/>
      <c r="DZW11" s="84"/>
      <c r="DZX11" s="84"/>
      <c r="DZY11" s="84"/>
      <c r="DZZ11" s="84"/>
      <c r="EAA11" s="84"/>
      <c r="EAB11" s="84"/>
      <c r="EAC11" s="84"/>
      <c r="EAD11" s="84"/>
      <c r="EAE11" s="84"/>
      <c r="EAF11" s="84"/>
      <c r="EAG11" s="84"/>
      <c r="EAH11" s="84"/>
      <c r="EAI11" s="84"/>
      <c r="EAJ11" s="84"/>
      <c r="EAK11" s="84"/>
      <c r="EAL11" s="84"/>
      <c r="EAM11" s="84"/>
      <c r="EAN11" s="84"/>
      <c r="EAO11" s="84"/>
      <c r="EAP11" s="84"/>
      <c r="EAQ11" s="84"/>
      <c r="EAR11" s="84"/>
      <c r="EAS11" s="84"/>
      <c r="EAT11" s="84"/>
      <c r="EAU11" s="84"/>
      <c r="EAV11" s="84"/>
      <c r="EAW11" s="84"/>
      <c r="EAX11" s="84"/>
      <c r="EAY11" s="84"/>
      <c r="EAZ11" s="84"/>
      <c r="EBA11" s="84"/>
      <c r="EBB11" s="84"/>
      <c r="EBC11" s="84"/>
      <c r="EBD11" s="84"/>
      <c r="EBE11" s="84"/>
      <c r="EBF11" s="84"/>
      <c r="EBG11" s="84"/>
      <c r="EBH11" s="84"/>
      <c r="EBI11" s="84"/>
      <c r="EBJ11" s="84"/>
      <c r="EBK11" s="84"/>
      <c r="EBL11" s="84"/>
      <c r="EBM11" s="84"/>
      <c r="EBN11" s="84"/>
      <c r="EBO11" s="84"/>
      <c r="EBP11" s="84"/>
      <c r="EBQ11" s="84"/>
      <c r="EBR11" s="84"/>
      <c r="EBS11" s="84"/>
      <c r="EBT11" s="84"/>
      <c r="EBU11" s="84"/>
      <c r="EBV11" s="84"/>
      <c r="EBW11" s="84"/>
      <c r="EBX11" s="84"/>
      <c r="EBY11" s="84"/>
      <c r="EBZ11" s="84"/>
      <c r="ECA11" s="84"/>
      <c r="ECB11" s="84"/>
      <c r="ECC11" s="84"/>
      <c r="ECD11" s="84"/>
      <c r="ECE11" s="84"/>
      <c r="ECF11" s="84"/>
      <c r="ECG11" s="84"/>
      <c r="ECH11" s="84"/>
      <c r="ECI11" s="84"/>
      <c r="ECJ11" s="84"/>
      <c r="ECK11" s="84"/>
      <c r="ECL11" s="84"/>
      <c r="ECM11" s="84"/>
      <c r="ECN11" s="84"/>
      <c r="ECO11" s="84"/>
      <c r="ECP11" s="84"/>
      <c r="ECQ11" s="84"/>
      <c r="ECR11" s="84"/>
      <c r="ECS11" s="84"/>
      <c r="ECT11" s="84"/>
      <c r="ECU11" s="84"/>
      <c r="ECV11" s="84"/>
      <c r="ECW11" s="84"/>
      <c r="ECX11" s="84"/>
      <c r="ECY11" s="84"/>
      <c r="ECZ11" s="84"/>
      <c r="EDA11" s="84"/>
      <c r="EDB11" s="84"/>
      <c r="EDC11" s="84"/>
      <c r="EDD11" s="84"/>
      <c r="EDE11" s="84"/>
      <c r="EDF11" s="84"/>
      <c r="EDG11" s="84"/>
      <c r="EDH11" s="84"/>
      <c r="EDI11" s="84"/>
      <c r="EDJ11" s="84"/>
      <c r="EDK11" s="84"/>
      <c r="EDL11" s="84"/>
      <c r="EDM11" s="84"/>
      <c r="EDN11" s="84"/>
      <c r="EDO11" s="84"/>
      <c r="EDP11" s="84"/>
      <c r="EDQ11" s="84"/>
      <c r="EDR11" s="84"/>
      <c r="EDS11" s="84"/>
      <c r="EDT11" s="84"/>
      <c r="EDU11" s="84"/>
      <c r="EDV11" s="84"/>
      <c r="EDW11" s="84"/>
      <c r="EDX11" s="84"/>
      <c r="EDY11" s="84"/>
      <c r="EDZ11" s="84"/>
      <c r="EEA11" s="84"/>
      <c r="EEB11" s="84"/>
      <c r="EEC11" s="84"/>
      <c r="EED11" s="84"/>
      <c r="EEE11" s="84"/>
      <c r="EEF11" s="84"/>
      <c r="EEG11" s="84"/>
      <c r="EEH11" s="84"/>
      <c r="EEI11" s="84"/>
      <c r="EEJ11" s="84"/>
      <c r="EEK11" s="84"/>
      <c r="EEL11" s="84"/>
      <c r="EEM11" s="84"/>
      <c r="EEN11" s="84"/>
      <c r="EEO11" s="84"/>
      <c r="EEP11" s="84"/>
      <c r="EEQ11" s="84"/>
      <c r="EER11" s="84"/>
      <c r="EES11" s="84"/>
      <c r="EET11" s="84"/>
      <c r="EEU11" s="84"/>
      <c r="EEV11" s="84"/>
      <c r="EEW11" s="84"/>
      <c r="EEX11" s="84"/>
      <c r="EEY11" s="84"/>
      <c r="EEZ11" s="84"/>
      <c r="EFA11" s="84"/>
      <c r="EFB11" s="84"/>
      <c r="EFC11" s="84"/>
      <c r="EFD11" s="84"/>
      <c r="EFE11" s="84"/>
      <c r="EFF11" s="84"/>
      <c r="EFG11" s="84"/>
      <c r="EFH11" s="84"/>
      <c r="EFI11" s="84"/>
      <c r="EFJ11" s="84"/>
      <c r="EFK11" s="84"/>
      <c r="EFL11" s="84"/>
      <c r="EFM11" s="84"/>
      <c r="EFN11" s="84"/>
      <c r="EFO11" s="84"/>
      <c r="EFP11" s="84"/>
      <c r="EFQ11" s="84"/>
      <c r="EFR11" s="84"/>
      <c r="EFS11" s="84"/>
      <c r="EFT11" s="84"/>
      <c r="EFU11" s="84"/>
      <c r="EFV11" s="84"/>
      <c r="EFW11" s="84"/>
      <c r="EFX11" s="84"/>
      <c r="EFY11" s="84"/>
      <c r="EFZ11" s="84"/>
      <c r="EGA11" s="84"/>
      <c r="EGB11" s="84"/>
      <c r="EGC11" s="84"/>
      <c r="EGD11" s="84"/>
      <c r="EGE11" s="84"/>
      <c r="EGF11" s="84"/>
      <c r="EGG11" s="84"/>
      <c r="EGH11" s="84"/>
      <c r="EGI11" s="84"/>
      <c r="EGJ11" s="84"/>
      <c r="EGK11" s="84"/>
      <c r="EGL11" s="84"/>
      <c r="EGM11" s="84"/>
      <c r="EGN11" s="84"/>
      <c r="EGO11" s="84"/>
      <c r="EGP11" s="84"/>
      <c r="EGQ11" s="84"/>
      <c r="EGR11" s="84"/>
      <c r="EGS11" s="84"/>
      <c r="EGT11" s="84"/>
      <c r="EGU11" s="84"/>
      <c r="EGV11" s="84"/>
      <c r="EGW11" s="84"/>
      <c r="EGX11" s="84"/>
      <c r="EGY11" s="84"/>
      <c r="EGZ11" s="84"/>
      <c r="EHA11" s="84"/>
      <c r="EHB11" s="84"/>
      <c r="EHC11" s="84"/>
      <c r="EHD11" s="84"/>
      <c r="EHE11" s="84"/>
      <c r="EHF11" s="84"/>
      <c r="EHG11" s="84"/>
      <c r="EHH11" s="84"/>
      <c r="EHI11" s="84"/>
      <c r="EHJ11" s="84"/>
      <c r="EHK11" s="84"/>
      <c r="EHL11" s="84"/>
      <c r="EHM11" s="84"/>
      <c r="EHN11" s="84"/>
      <c r="EHO11" s="84"/>
      <c r="EHP11" s="84"/>
      <c r="EHQ11" s="84"/>
      <c r="EHR11" s="84"/>
      <c r="EHS11" s="84"/>
      <c r="EHT11" s="84"/>
      <c r="EHU11" s="84"/>
      <c r="EHV11" s="84"/>
      <c r="EHW11" s="84"/>
      <c r="EHX11" s="84"/>
      <c r="EHY11" s="84"/>
      <c r="EHZ11" s="84"/>
      <c r="EIA11" s="84"/>
      <c r="EIB11" s="84"/>
      <c r="EIC11" s="84"/>
      <c r="EID11" s="84"/>
      <c r="EIE11" s="84"/>
      <c r="EIF11" s="84"/>
      <c r="EIG11" s="84"/>
      <c r="EIH11" s="84"/>
      <c r="EII11" s="84"/>
      <c r="EIJ11" s="84"/>
      <c r="EIK11" s="84"/>
      <c r="EIL11" s="84"/>
      <c r="EIM11" s="84"/>
      <c r="EIN11" s="84"/>
      <c r="EIO11" s="84"/>
      <c r="EIP11" s="84"/>
      <c r="EIQ11" s="84"/>
      <c r="EIR11" s="84"/>
      <c r="EIS11" s="84"/>
      <c r="EIT11" s="84"/>
      <c r="EIU11" s="84"/>
      <c r="EIV11" s="84"/>
      <c r="EIW11" s="84"/>
      <c r="EIX11" s="84"/>
      <c r="EIY11" s="84"/>
      <c r="EIZ11" s="84"/>
      <c r="EJA11" s="84"/>
      <c r="EJB11" s="84"/>
      <c r="EJC11" s="84"/>
      <c r="EJD11" s="84"/>
      <c r="EJE11" s="84"/>
      <c r="EJF11" s="84"/>
      <c r="EJG11" s="84"/>
      <c r="EJH11" s="84"/>
      <c r="EJI11" s="84"/>
      <c r="EJJ11" s="84"/>
      <c r="EJK11" s="84"/>
      <c r="EJL11" s="84"/>
      <c r="EJM11" s="84"/>
      <c r="EJN11" s="84"/>
      <c r="EJO11" s="84"/>
      <c r="EJP11" s="84"/>
      <c r="EJQ11" s="84"/>
      <c r="EJR11" s="84"/>
      <c r="EJS11" s="84"/>
      <c r="EJT11" s="84"/>
      <c r="EJU11" s="84"/>
      <c r="EJV11" s="84"/>
      <c r="EJW11" s="84"/>
      <c r="EJX11" s="84"/>
      <c r="EJY11" s="84"/>
      <c r="EJZ11" s="84"/>
      <c r="EKA11" s="84"/>
      <c r="EKB11" s="84"/>
      <c r="EKC11" s="84"/>
      <c r="EKD11" s="84"/>
      <c r="EKE11" s="84"/>
      <c r="EKF11" s="84"/>
      <c r="EKG11" s="84"/>
      <c r="EKH11" s="84"/>
      <c r="EKI11" s="84"/>
      <c r="EKJ11" s="84"/>
      <c r="EKK11" s="84"/>
      <c r="EKL11" s="84"/>
      <c r="EKM11" s="84"/>
      <c r="EKN11" s="84"/>
      <c r="EKO11" s="84"/>
      <c r="EKP11" s="84"/>
      <c r="EKQ11" s="84"/>
      <c r="EKR11" s="84"/>
      <c r="EKS11" s="84"/>
      <c r="EKT11" s="84"/>
      <c r="EKU11" s="84"/>
      <c r="EKV11" s="84"/>
      <c r="EKW11" s="84"/>
      <c r="EKX11" s="84"/>
      <c r="EKY11" s="84"/>
      <c r="EKZ11" s="84"/>
      <c r="ELA11" s="84"/>
      <c r="ELB11" s="84"/>
      <c r="ELC11" s="84"/>
      <c r="ELD11" s="84"/>
      <c r="ELE11" s="84"/>
      <c r="ELF11" s="84"/>
      <c r="ELG11" s="84"/>
      <c r="ELH11" s="84"/>
      <c r="ELI11" s="84"/>
      <c r="ELJ11" s="84"/>
      <c r="ELK11" s="84"/>
      <c r="ELL11" s="84"/>
      <c r="ELM11" s="84"/>
      <c r="ELN11" s="84"/>
      <c r="ELO11" s="84"/>
      <c r="ELP11" s="84"/>
      <c r="ELQ11" s="84"/>
      <c r="ELR11" s="84"/>
      <c r="ELS11" s="84"/>
      <c r="ELT11" s="84"/>
      <c r="ELU11" s="84"/>
      <c r="ELV11" s="84"/>
      <c r="ELW11" s="84"/>
      <c r="ELX11" s="84"/>
      <c r="ELY11" s="84"/>
      <c r="ELZ11" s="84"/>
      <c r="EMA11" s="84"/>
      <c r="EMB11" s="84"/>
      <c r="EMC11" s="84"/>
      <c r="EMD11" s="84"/>
      <c r="EME11" s="84"/>
      <c r="EMF11" s="84"/>
      <c r="EMG11" s="84"/>
      <c r="EMH11" s="84"/>
      <c r="EMI11" s="84"/>
      <c r="EMJ11" s="84"/>
      <c r="EMK11" s="84"/>
      <c r="EML11" s="84"/>
      <c r="EMM11" s="84"/>
      <c r="EMN11" s="84"/>
      <c r="EMO11" s="84"/>
      <c r="EMP11" s="84"/>
      <c r="EMQ11" s="84"/>
      <c r="EMR11" s="84"/>
      <c r="EMS11" s="84"/>
      <c r="EMT11" s="84"/>
      <c r="EMU11" s="84"/>
      <c r="EMV11" s="84"/>
      <c r="EMW11" s="84"/>
      <c r="EMX11" s="84"/>
      <c r="EMY11" s="84"/>
      <c r="EMZ11" s="84"/>
      <c r="ENA11" s="84"/>
      <c r="ENB11" s="84"/>
      <c r="ENC11" s="84"/>
      <c r="END11" s="84"/>
      <c r="ENE11" s="84"/>
      <c r="ENF11" s="84"/>
      <c r="ENG11" s="84"/>
      <c r="ENH11" s="84"/>
      <c r="ENI11" s="84"/>
      <c r="ENJ11" s="84"/>
      <c r="ENK11" s="84"/>
      <c r="ENL11" s="84"/>
      <c r="ENM11" s="84"/>
      <c r="ENN11" s="84"/>
      <c r="ENO11" s="84"/>
      <c r="ENP11" s="84"/>
      <c r="ENQ11" s="84"/>
      <c r="ENR11" s="84"/>
      <c r="ENS11" s="84"/>
      <c r="ENT11" s="84"/>
      <c r="ENU11" s="84"/>
      <c r="ENV11" s="84"/>
      <c r="ENW11" s="84"/>
      <c r="ENX11" s="84"/>
      <c r="ENY11" s="84"/>
      <c r="ENZ11" s="84"/>
      <c r="EOA11" s="84"/>
      <c r="EOB11" s="84"/>
      <c r="EOC11" s="84"/>
      <c r="EOD11" s="84"/>
      <c r="EOE11" s="84"/>
      <c r="EOF11" s="84"/>
      <c r="EOG11" s="84"/>
      <c r="EOH11" s="84"/>
      <c r="EOI11" s="84"/>
      <c r="EOJ11" s="84"/>
      <c r="EOK11" s="84"/>
      <c r="EOL11" s="84"/>
      <c r="EOM11" s="84"/>
      <c r="EON11" s="84"/>
      <c r="EOO11" s="84"/>
      <c r="EOP11" s="84"/>
      <c r="EOQ11" s="84"/>
      <c r="EOR11" s="84"/>
      <c r="EOS11" s="84"/>
      <c r="EOT11" s="84"/>
      <c r="EOU11" s="84"/>
      <c r="EOV11" s="84"/>
      <c r="EOW11" s="84"/>
      <c r="EOX11" s="84"/>
      <c r="EOY11" s="84"/>
      <c r="EOZ11" s="84"/>
      <c r="EPA11" s="84"/>
      <c r="EPB11" s="84"/>
      <c r="EPC11" s="84"/>
      <c r="EPD11" s="84"/>
      <c r="EPE11" s="84"/>
      <c r="EPF11" s="84"/>
      <c r="EPG11" s="84"/>
      <c r="EPH11" s="84"/>
      <c r="EPI11" s="84"/>
      <c r="EPJ11" s="84"/>
      <c r="EPK11" s="84"/>
      <c r="EPL11" s="84"/>
      <c r="EPM11" s="84"/>
      <c r="EPN11" s="84"/>
      <c r="EPO11" s="84"/>
      <c r="EPP11" s="84"/>
      <c r="EPQ11" s="84"/>
      <c r="EPR11" s="84"/>
      <c r="EPS11" s="84"/>
      <c r="EPT11" s="84"/>
      <c r="EPU11" s="84"/>
      <c r="EPV11" s="84"/>
      <c r="EPW11" s="84"/>
      <c r="EPX11" s="84"/>
      <c r="EPY11" s="84"/>
      <c r="EPZ11" s="84"/>
      <c r="EQA11" s="84"/>
      <c r="EQB11" s="84"/>
      <c r="EQC11" s="84"/>
      <c r="EQD11" s="84"/>
      <c r="EQE11" s="84"/>
      <c r="EQF11" s="84"/>
      <c r="EQG11" s="84"/>
      <c r="EQH11" s="84"/>
      <c r="EQI11" s="84"/>
      <c r="EQJ11" s="84"/>
      <c r="EQK11" s="84"/>
      <c r="EQL11" s="84"/>
      <c r="EQM11" s="84"/>
      <c r="EQN11" s="84"/>
      <c r="EQO11" s="84"/>
      <c r="EQP11" s="84"/>
      <c r="EQQ11" s="84"/>
      <c r="EQR11" s="84"/>
      <c r="EQS11" s="84"/>
      <c r="EQT11" s="84"/>
      <c r="EQU11" s="84"/>
      <c r="EQV11" s="84"/>
      <c r="EQW11" s="84"/>
      <c r="EQX11" s="84"/>
      <c r="EQY11" s="84"/>
      <c r="EQZ11" s="84"/>
      <c r="ERA11" s="84"/>
      <c r="ERB11" s="84"/>
      <c r="ERC11" s="84"/>
      <c r="ERD11" s="84"/>
      <c r="ERE11" s="84"/>
      <c r="ERF11" s="84"/>
      <c r="ERG11" s="84"/>
      <c r="ERH11" s="84"/>
      <c r="ERI11" s="84"/>
      <c r="ERJ11" s="84"/>
      <c r="ERK11" s="84"/>
      <c r="ERL11" s="84"/>
      <c r="ERM11" s="84"/>
      <c r="ERN11" s="84"/>
      <c r="ERO11" s="84"/>
      <c r="ERP11" s="84"/>
      <c r="ERQ11" s="84"/>
      <c r="ERR11" s="84"/>
      <c r="ERS11" s="84"/>
      <c r="ERT11" s="84"/>
      <c r="ERU11" s="84"/>
      <c r="ERV11" s="84"/>
      <c r="ERW11" s="84"/>
      <c r="ERX11" s="84"/>
      <c r="ERY11" s="84"/>
      <c r="ERZ11" s="84"/>
      <c r="ESA11" s="84"/>
      <c r="ESB11" s="84"/>
      <c r="ESC11" s="84"/>
      <c r="ESD11" s="84"/>
      <c r="ESE11" s="84"/>
      <c r="ESF11" s="84"/>
      <c r="ESG11" s="84"/>
      <c r="ESH11" s="84"/>
      <c r="ESI11" s="84"/>
      <c r="ESJ11" s="84"/>
      <c r="ESK11" s="84"/>
      <c r="ESL11" s="84"/>
      <c r="ESM11" s="84"/>
      <c r="ESN11" s="84"/>
      <c r="ESO11" s="84"/>
      <c r="ESP11" s="84"/>
      <c r="ESQ11" s="84"/>
      <c r="ESR11" s="84"/>
      <c r="ESS11" s="84"/>
      <c r="EST11" s="84"/>
      <c r="ESU11" s="84"/>
      <c r="ESV11" s="84"/>
      <c r="ESW11" s="84"/>
      <c r="ESX11" s="84"/>
      <c r="ESY11" s="84"/>
      <c r="ESZ11" s="84"/>
      <c r="ETA11" s="84"/>
      <c r="ETB11" s="84"/>
      <c r="ETC11" s="84"/>
      <c r="ETD11" s="84"/>
      <c r="ETE11" s="84"/>
      <c r="ETF11" s="84"/>
      <c r="ETG11" s="84"/>
      <c r="ETH11" s="84"/>
      <c r="ETI11" s="84"/>
      <c r="ETJ11" s="84"/>
      <c r="ETK11" s="84"/>
      <c r="ETL11" s="84"/>
      <c r="ETM11" s="84"/>
      <c r="ETN11" s="84"/>
      <c r="ETO11" s="84"/>
      <c r="ETP11" s="84"/>
      <c r="ETQ11" s="84"/>
      <c r="ETR11" s="84"/>
      <c r="ETS11" s="84"/>
      <c r="ETT11" s="84"/>
      <c r="ETU11" s="84"/>
      <c r="ETV11" s="84"/>
      <c r="ETW11" s="84"/>
      <c r="ETX11" s="84"/>
      <c r="ETY11" s="84"/>
      <c r="ETZ11" s="84"/>
      <c r="EUA11" s="84"/>
      <c r="EUB11" s="84"/>
      <c r="EUC11" s="84"/>
      <c r="EUD11" s="84"/>
      <c r="EUE11" s="84"/>
      <c r="EUF11" s="84"/>
      <c r="EUG11" s="84"/>
      <c r="EUH11" s="84"/>
      <c r="EUI11" s="84"/>
      <c r="EUJ11" s="84"/>
      <c r="EUK11" s="84"/>
      <c r="EUL11" s="84"/>
      <c r="EUM11" s="84"/>
      <c r="EUN11" s="84"/>
      <c r="EUO11" s="84"/>
      <c r="EUP11" s="84"/>
      <c r="EUQ11" s="84"/>
      <c r="EUR11" s="84"/>
      <c r="EUS11" s="84"/>
      <c r="EUT11" s="84"/>
      <c r="EUU11" s="84"/>
      <c r="EUV11" s="84"/>
      <c r="EUW11" s="84"/>
      <c r="EUX11" s="84"/>
      <c r="EUY11" s="84"/>
      <c r="EUZ11" s="84"/>
      <c r="EVA11" s="84"/>
      <c r="EVB11" s="84"/>
      <c r="EVC11" s="84"/>
      <c r="EVD11" s="84"/>
      <c r="EVE11" s="84"/>
      <c r="EVF11" s="84"/>
      <c r="EVG11" s="84"/>
      <c r="EVH11" s="84"/>
      <c r="EVI11" s="84"/>
      <c r="EVJ11" s="84"/>
      <c r="EVK11" s="84"/>
      <c r="EVL11" s="84"/>
      <c r="EVM11" s="84"/>
      <c r="EVN11" s="84"/>
      <c r="EVO11" s="84"/>
      <c r="EVP11" s="84"/>
      <c r="EVQ11" s="84"/>
      <c r="EVR11" s="84"/>
      <c r="EVS11" s="84"/>
      <c r="EVT11" s="84"/>
      <c r="EVU11" s="84"/>
      <c r="EVV11" s="84"/>
      <c r="EVW11" s="84"/>
      <c r="EVX11" s="84"/>
      <c r="EVY11" s="84"/>
      <c r="EVZ11" s="84"/>
      <c r="EWA11" s="84"/>
      <c r="EWB11" s="84"/>
      <c r="EWC11" s="84"/>
      <c r="EWD11" s="84"/>
      <c r="EWE11" s="84"/>
      <c r="EWF11" s="84"/>
      <c r="EWG11" s="84"/>
      <c r="EWH11" s="84"/>
      <c r="EWI11" s="84"/>
      <c r="EWJ11" s="84"/>
      <c r="EWK11" s="84"/>
      <c r="EWL11" s="84"/>
      <c r="EWM11" s="84"/>
      <c r="EWN11" s="84"/>
      <c r="EWO11" s="84"/>
      <c r="EWP11" s="84"/>
      <c r="EWQ11" s="84"/>
      <c r="EWR11" s="84"/>
      <c r="EWS11" s="84"/>
      <c r="EWT11" s="84"/>
      <c r="EWU11" s="84"/>
      <c r="EWV11" s="84"/>
      <c r="EWW11" s="84"/>
      <c r="EWX11" s="84"/>
      <c r="EWY11" s="84"/>
      <c r="EWZ11" s="84"/>
      <c r="EXA11" s="84"/>
      <c r="EXB11" s="84"/>
      <c r="EXC11" s="84"/>
      <c r="EXD11" s="84"/>
      <c r="EXE11" s="84"/>
      <c r="EXF11" s="84"/>
      <c r="EXG11" s="84"/>
      <c r="EXH11" s="84"/>
      <c r="EXI11" s="84"/>
      <c r="EXJ11" s="84"/>
      <c r="EXK11" s="84"/>
      <c r="EXL11" s="84"/>
      <c r="EXM11" s="84"/>
      <c r="EXN11" s="84"/>
      <c r="EXO11" s="84"/>
      <c r="EXP11" s="84"/>
      <c r="EXQ11" s="84"/>
      <c r="EXR11" s="84"/>
      <c r="EXS11" s="84"/>
      <c r="EXT11" s="84"/>
      <c r="EXU11" s="84"/>
      <c r="EXV11" s="84"/>
      <c r="EXW11" s="84"/>
      <c r="EXX11" s="84"/>
      <c r="EXY11" s="84"/>
      <c r="EXZ11" s="84"/>
      <c r="EYA11" s="84"/>
      <c r="EYB11" s="84"/>
      <c r="EYC11" s="84"/>
      <c r="EYD11" s="84"/>
      <c r="EYE11" s="84"/>
      <c r="EYF11" s="84"/>
      <c r="EYG11" s="84"/>
      <c r="EYH11" s="84"/>
      <c r="EYI11" s="84"/>
      <c r="EYJ11" s="84"/>
      <c r="EYK11" s="84"/>
      <c r="EYL11" s="84"/>
      <c r="EYM11" s="84"/>
      <c r="EYN11" s="84"/>
      <c r="EYO11" s="84"/>
      <c r="EYP11" s="84"/>
      <c r="EYQ11" s="84"/>
      <c r="EYR11" s="84"/>
      <c r="EYS11" s="84"/>
      <c r="EYT11" s="84"/>
      <c r="EYU11" s="84"/>
      <c r="EYV11" s="84"/>
      <c r="EYW11" s="84"/>
      <c r="EYX11" s="84"/>
      <c r="EYY11" s="84"/>
      <c r="EYZ11" s="84"/>
      <c r="EZA11" s="84"/>
      <c r="EZB11" s="84"/>
      <c r="EZC11" s="84"/>
      <c r="EZD11" s="84"/>
      <c r="EZE11" s="84"/>
      <c r="EZF11" s="84"/>
      <c r="EZG11" s="84"/>
      <c r="EZH11" s="84"/>
      <c r="EZI11" s="84"/>
      <c r="EZJ11" s="84"/>
      <c r="EZK11" s="84"/>
      <c r="EZL11" s="84"/>
      <c r="EZM11" s="84"/>
      <c r="EZN11" s="84"/>
      <c r="EZO11" s="84"/>
      <c r="EZP11" s="84"/>
      <c r="EZQ11" s="84"/>
      <c r="EZR11" s="84"/>
      <c r="EZS11" s="84"/>
      <c r="EZT11" s="84"/>
      <c r="EZU11" s="84"/>
      <c r="EZV11" s="84"/>
      <c r="EZW11" s="84"/>
      <c r="EZX11" s="84"/>
      <c r="EZY11" s="84"/>
      <c r="EZZ11" s="84"/>
      <c r="FAA11" s="84"/>
      <c r="FAB11" s="84"/>
      <c r="FAC11" s="84"/>
      <c r="FAD11" s="84"/>
      <c r="FAE11" s="84"/>
      <c r="FAF11" s="84"/>
      <c r="FAG11" s="84"/>
      <c r="FAH11" s="84"/>
      <c r="FAI11" s="84"/>
      <c r="FAJ11" s="84"/>
      <c r="FAK11" s="84"/>
      <c r="FAL11" s="84"/>
      <c r="FAM11" s="84"/>
      <c r="FAN11" s="84"/>
      <c r="FAO11" s="84"/>
      <c r="FAP11" s="84"/>
      <c r="FAQ11" s="84"/>
      <c r="FAR11" s="84"/>
      <c r="FAS11" s="84"/>
      <c r="FAT11" s="84"/>
      <c r="FAU11" s="84"/>
      <c r="FAV11" s="84"/>
      <c r="FAW11" s="84"/>
      <c r="FAX11" s="84"/>
      <c r="FAY11" s="84"/>
      <c r="FAZ11" s="84"/>
      <c r="FBA11" s="84"/>
      <c r="FBB11" s="84"/>
      <c r="FBC11" s="84"/>
      <c r="FBD11" s="84"/>
      <c r="FBE11" s="84"/>
      <c r="FBF11" s="84"/>
      <c r="FBG11" s="84"/>
      <c r="FBH11" s="84"/>
      <c r="FBI11" s="84"/>
      <c r="FBJ11" s="84"/>
      <c r="FBK11" s="84"/>
      <c r="FBL11" s="84"/>
      <c r="FBM11" s="84"/>
      <c r="FBN11" s="84"/>
      <c r="FBO11" s="84"/>
      <c r="FBP11" s="84"/>
      <c r="FBQ11" s="84"/>
      <c r="FBR11" s="84"/>
      <c r="FBS11" s="84"/>
      <c r="FBT11" s="84"/>
      <c r="FBU11" s="84"/>
      <c r="FBV11" s="84"/>
      <c r="FBW11" s="84"/>
      <c r="FBX11" s="84"/>
      <c r="FBY11" s="84"/>
      <c r="FBZ11" s="84"/>
      <c r="FCA11" s="84"/>
      <c r="FCB11" s="84"/>
      <c r="FCC11" s="84"/>
      <c r="FCD11" s="84"/>
      <c r="FCE11" s="84"/>
      <c r="FCF11" s="84"/>
      <c r="FCG11" s="84"/>
      <c r="FCH11" s="84"/>
      <c r="FCI11" s="84"/>
      <c r="FCJ11" s="84"/>
      <c r="FCK11" s="84"/>
      <c r="FCL11" s="84"/>
      <c r="FCM11" s="84"/>
      <c r="FCN11" s="84"/>
      <c r="FCO11" s="84"/>
      <c r="FCP11" s="84"/>
      <c r="FCQ11" s="84"/>
      <c r="FCR11" s="84"/>
      <c r="FCS11" s="84"/>
      <c r="FCT11" s="84"/>
      <c r="FCU11" s="84"/>
      <c r="FCV11" s="84"/>
      <c r="FCW11" s="84"/>
      <c r="FCX11" s="84"/>
      <c r="FCY11" s="84"/>
      <c r="FCZ11" s="84"/>
      <c r="FDA11" s="84"/>
      <c r="FDB11" s="84"/>
      <c r="FDC11" s="84"/>
      <c r="FDD11" s="84"/>
      <c r="FDE11" s="84"/>
      <c r="FDF11" s="84"/>
      <c r="FDG11" s="84"/>
      <c r="FDH11" s="84"/>
      <c r="FDI11" s="84"/>
      <c r="FDJ11" s="84"/>
      <c r="FDK11" s="84"/>
      <c r="FDL11" s="84"/>
      <c r="FDM11" s="84"/>
      <c r="FDN11" s="84"/>
      <c r="FDO11" s="84"/>
      <c r="FDP11" s="84"/>
      <c r="FDQ11" s="84"/>
      <c r="FDR11" s="84"/>
      <c r="FDS11" s="84"/>
      <c r="FDT11" s="84"/>
      <c r="FDU11" s="84"/>
      <c r="FDV11" s="84"/>
      <c r="FDW11" s="84"/>
      <c r="FDX11" s="84"/>
      <c r="FDY11" s="84"/>
      <c r="FDZ11" s="84"/>
      <c r="FEA11" s="84"/>
      <c r="FEB11" s="84"/>
      <c r="FEC11" s="84"/>
      <c r="FED11" s="84"/>
      <c r="FEE11" s="84"/>
      <c r="FEF11" s="84"/>
      <c r="FEG11" s="84"/>
      <c r="FEH11" s="84"/>
      <c r="FEI11" s="84"/>
      <c r="FEJ11" s="84"/>
      <c r="FEK11" s="84"/>
      <c r="FEL11" s="84"/>
      <c r="FEM11" s="84"/>
      <c r="FEN11" s="84"/>
      <c r="FEO11" s="84"/>
      <c r="FEP11" s="84"/>
      <c r="FEQ11" s="84"/>
      <c r="FER11" s="84"/>
      <c r="FES11" s="84"/>
      <c r="FET11" s="84"/>
      <c r="FEU11" s="84"/>
      <c r="FEV11" s="84"/>
      <c r="FEW11" s="84"/>
      <c r="FEX11" s="84"/>
      <c r="FEY11" s="84"/>
      <c r="FEZ11" s="84"/>
      <c r="FFA11" s="84"/>
      <c r="FFB11" s="84"/>
      <c r="FFC11" s="84"/>
      <c r="FFD11" s="84"/>
      <c r="FFE11" s="84"/>
      <c r="FFF11" s="84"/>
      <c r="FFG11" s="84"/>
      <c r="FFH11" s="84"/>
      <c r="FFI11" s="84"/>
      <c r="FFJ11" s="84"/>
      <c r="FFK11" s="84"/>
      <c r="FFL11" s="84"/>
      <c r="FFM11" s="84"/>
      <c r="FFN11" s="84"/>
      <c r="FFO11" s="84"/>
      <c r="FFP11" s="84"/>
      <c r="FFQ11" s="84"/>
      <c r="FFR11" s="84"/>
      <c r="FFS11" s="84"/>
      <c r="FFT11" s="84"/>
      <c r="FFU11" s="84"/>
      <c r="FFV11" s="84"/>
      <c r="FFW11" s="84"/>
      <c r="FFX11" s="84"/>
      <c r="FFY11" s="84"/>
      <c r="FFZ11" s="84"/>
      <c r="FGA11" s="84"/>
      <c r="FGB11" s="84"/>
      <c r="FGC11" s="84"/>
      <c r="FGD11" s="84"/>
      <c r="FGE11" s="84"/>
      <c r="FGF11" s="84"/>
      <c r="FGG11" s="84"/>
      <c r="FGH11" s="84"/>
      <c r="FGI11" s="84"/>
      <c r="FGJ11" s="84"/>
      <c r="FGK11" s="84"/>
      <c r="FGL11" s="84"/>
      <c r="FGM11" s="84"/>
      <c r="FGN11" s="84"/>
      <c r="FGO11" s="84"/>
      <c r="FGP11" s="84"/>
      <c r="FGQ11" s="84"/>
      <c r="FGR11" s="84"/>
      <c r="FGS11" s="84"/>
      <c r="FGT11" s="84"/>
      <c r="FGU11" s="84"/>
      <c r="FGV11" s="84"/>
      <c r="FGW11" s="84"/>
      <c r="FGX11" s="84"/>
      <c r="FGY11" s="84"/>
      <c r="FGZ11" s="84"/>
      <c r="FHA11" s="84"/>
      <c r="FHB11" s="84"/>
      <c r="FHC11" s="84"/>
      <c r="FHD11" s="84"/>
      <c r="FHE11" s="84"/>
      <c r="FHF11" s="84"/>
      <c r="FHG11" s="84"/>
      <c r="FHH11" s="84"/>
      <c r="FHI11" s="84"/>
      <c r="FHJ11" s="84"/>
      <c r="FHK11" s="84"/>
      <c r="FHL11" s="84"/>
      <c r="FHM11" s="84"/>
      <c r="FHN11" s="84"/>
      <c r="FHO11" s="84"/>
      <c r="FHP11" s="84"/>
      <c r="FHQ11" s="84"/>
      <c r="FHR11" s="84"/>
      <c r="FHS11" s="84"/>
      <c r="FHT11" s="84"/>
      <c r="FHU11" s="84"/>
      <c r="FHV11" s="84"/>
      <c r="FHW11" s="84"/>
      <c r="FHX11" s="84"/>
      <c r="FHY11" s="84"/>
      <c r="FHZ11" s="84"/>
      <c r="FIA11" s="84"/>
      <c r="FIB11" s="84"/>
      <c r="FIC11" s="84"/>
      <c r="FID11" s="84"/>
      <c r="FIE11" s="84"/>
      <c r="FIF11" s="84"/>
      <c r="FIG11" s="84"/>
      <c r="FIH11" s="84"/>
      <c r="FII11" s="84"/>
      <c r="FIJ11" s="84"/>
      <c r="FIK11" s="84"/>
      <c r="FIL11" s="84"/>
      <c r="FIM11" s="84"/>
      <c r="FIN11" s="84"/>
      <c r="FIO11" s="84"/>
      <c r="FIP11" s="84"/>
      <c r="FIQ11" s="84"/>
      <c r="FIR11" s="84"/>
      <c r="FIS11" s="84"/>
      <c r="FIT11" s="84"/>
      <c r="FIU11" s="84"/>
      <c r="FIV11" s="84"/>
      <c r="FIW11" s="84"/>
      <c r="FIX11" s="84"/>
      <c r="FIY11" s="84"/>
      <c r="FIZ11" s="84"/>
      <c r="FJA11" s="84"/>
      <c r="FJB11" s="84"/>
      <c r="FJC11" s="84"/>
      <c r="FJD11" s="84"/>
      <c r="FJE11" s="84"/>
      <c r="FJF11" s="84"/>
      <c r="FJG11" s="84"/>
      <c r="FJH11" s="84"/>
      <c r="FJI11" s="84"/>
      <c r="FJJ11" s="84"/>
      <c r="FJK11" s="84"/>
      <c r="FJL11" s="84"/>
      <c r="FJM11" s="84"/>
      <c r="FJN11" s="84"/>
      <c r="FJO11" s="84"/>
      <c r="FJP11" s="84"/>
      <c r="FJQ11" s="84"/>
      <c r="FJR11" s="84"/>
      <c r="FJS11" s="84"/>
      <c r="FJT11" s="84"/>
      <c r="FJU11" s="84"/>
      <c r="FJV11" s="84"/>
      <c r="FJW11" s="84"/>
      <c r="FJX11" s="84"/>
      <c r="FJY11" s="84"/>
      <c r="FJZ11" s="84"/>
      <c r="FKA11" s="84"/>
      <c r="FKB11" s="84"/>
      <c r="FKC11" s="84"/>
      <c r="FKD11" s="84"/>
      <c r="FKE11" s="84"/>
      <c r="FKF11" s="84"/>
      <c r="FKG11" s="84"/>
      <c r="FKH11" s="84"/>
      <c r="FKI11" s="84"/>
      <c r="FKJ11" s="84"/>
      <c r="FKK11" s="84"/>
      <c r="FKL11" s="84"/>
      <c r="FKM11" s="84"/>
      <c r="FKN11" s="84"/>
      <c r="FKO11" s="84"/>
      <c r="FKP11" s="84"/>
      <c r="FKQ11" s="84"/>
      <c r="FKR11" s="84"/>
      <c r="FKS11" s="84"/>
      <c r="FKT11" s="84"/>
      <c r="FKU11" s="84"/>
      <c r="FKV11" s="84"/>
      <c r="FKW11" s="84"/>
      <c r="FKX11" s="84"/>
      <c r="FKY11" s="84"/>
      <c r="FKZ11" s="84"/>
      <c r="FLA11" s="84"/>
      <c r="FLB11" s="84"/>
      <c r="FLC11" s="84"/>
      <c r="FLD11" s="84"/>
      <c r="FLE11" s="84"/>
      <c r="FLF11" s="84"/>
      <c r="FLG11" s="84"/>
      <c r="FLH11" s="84"/>
      <c r="FLI11" s="84"/>
      <c r="FLJ11" s="84"/>
      <c r="FLK11" s="84"/>
      <c r="FLL11" s="84"/>
      <c r="FLM11" s="84"/>
      <c r="FLN11" s="84"/>
      <c r="FLO11" s="84"/>
      <c r="FLP11" s="84"/>
      <c r="FLQ11" s="84"/>
      <c r="FLR11" s="84"/>
      <c r="FLS11" s="84"/>
      <c r="FLT11" s="84"/>
      <c r="FLU11" s="84"/>
      <c r="FLV11" s="84"/>
      <c r="FLW11" s="84"/>
      <c r="FLX11" s="84"/>
      <c r="FLY11" s="84"/>
      <c r="FLZ11" s="84"/>
      <c r="FMA11" s="84"/>
      <c r="FMB11" s="84"/>
      <c r="FMC11" s="84"/>
      <c r="FMD11" s="84"/>
      <c r="FME11" s="84"/>
      <c r="FMF11" s="84"/>
      <c r="FMG11" s="84"/>
      <c r="FMH11" s="84"/>
      <c r="FMI11" s="84"/>
      <c r="FMJ11" s="84"/>
      <c r="FMK11" s="84"/>
      <c r="FML11" s="84"/>
      <c r="FMM11" s="84"/>
      <c r="FMN11" s="84"/>
      <c r="FMO11" s="84"/>
      <c r="FMP11" s="84"/>
      <c r="FMQ11" s="84"/>
      <c r="FMR11" s="84"/>
      <c r="FMS11" s="84"/>
      <c r="FMT11" s="84"/>
      <c r="FMU11" s="84"/>
      <c r="FMV11" s="84"/>
      <c r="FMW11" s="84"/>
      <c r="FMX11" s="84"/>
      <c r="FMY11" s="84"/>
      <c r="FMZ11" s="84"/>
      <c r="FNA11" s="84"/>
      <c r="FNB11" s="84"/>
      <c r="FNC11" s="84"/>
      <c r="FND11" s="84"/>
      <c r="FNE11" s="84"/>
      <c r="FNF11" s="84"/>
      <c r="FNG11" s="84"/>
      <c r="FNH11" s="84"/>
      <c r="FNI11" s="84"/>
      <c r="FNJ11" s="84"/>
      <c r="FNK11" s="84"/>
      <c r="FNL11" s="84"/>
      <c r="FNM11" s="84"/>
      <c r="FNN11" s="84"/>
      <c r="FNO11" s="84"/>
      <c r="FNP11" s="84"/>
      <c r="FNQ11" s="84"/>
      <c r="FNR11" s="84"/>
      <c r="FNS11" s="84"/>
      <c r="FNT11" s="84"/>
      <c r="FNU11" s="84"/>
      <c r="FNV11" s="84"/>
      <c r="FNW11" s="84"/>
      <c r="FNX11" s="84"/>
      <c r="FNY11" s="84"/>
      <c r="FNZ11" s="84"/>
      <c r="FOA11" s="84"/>
      <c r="FOB11" s="84"/>
      <c r="FOC11" s="84"/>
      <c r="FOD11" s="84"/>
      <c r="FOE11" s="84"/>
      <c r="FOF11" s="84"/>
      <c r="FOG11" s="84"/>
      <c r="FOH11" s="84"/>
      <c r="FOI11" s="84"/>
      <c r="FOJ11" s="84"/>
      <c r="FOK11" s="84"/>
      <c r="FOL11" s="84"/>
      <c r="FOM11" s="84"/>
      <c r="FON11" s="84"/>
      <c r="FOO11" s="84"/>
      <c r="FOP11" s="84"/>
      <c r="FOQ11" s="84"/>
      <c r="FOR11" s="84"/>
      <c r="FOS11" s="84"/>
      <c r="FOT11" s="84"/>
      <c r="FOU11" s="84"/>
      <c r="FOV11" s="84"/>
      <c r="FOW11" s="84"/>
      <c r="FOX11" s="84"/>
      <c r="FOY11" s="84"/>
      <c r="FOZ11" s="84"/>
      <c r="FPA11" s="84"/>
      <c r="FPB11" s="84"/>
      <c r="FPC11" s="84"/>
      <c r="FPD11" s="84"/>
      <c r="FPE11" s="84"/>
      <c r="FPF11" s="84"/>
      <c r="FPG11" s="84"/>
      <c r="FPH11" s="84"/>
      <c r="FPI11" s="84"/>
      <c r="FPJ11" s="84"/>
      <c r="FPK11" s="84"/>
      <c r="FPL11" s="84"/>
      <c r="FPM11" s="84"/>
      <c r="FPN11" s="84"/>
      <c r="FPO11" s="84"/>
      <c r="FPP11" s="84"/>
      <c r="FPQ11" s="84"/>
      <c r="FPR11" s="84"/>
      <c r="FPS11" s="84"/>
      <c r="FPT11" s="84"/>
      <c r="FPU11" s="84"/>
      <c r="FPV11" s="84"/>
      <c r="FPW11" s="84"/>
      <c r="FPX11" s="84"/>
      <c r="FPY11" s="84"/>
      <c r="FPZ11" s="84"/>
      <c r="FQA11" s="84"/>
      <c r="FQB11" s="84"/>
      <c r="FQC11" s="84"/>
      <c r="FQD11" s="84"/>
      <c r="FQE11" s="84"/>
      <c r="FQF11" s="84"/>
      <c r="FQG11" s="84"/>
      <c r="FQH11" s="84"/>
      <c r="FQI11" s="84"/>
      <c r="FQJ11" s="84"/>
      <c r="FQK11" s="84"/>
      <c r="FQL11" s="84"/>
      <c r="FQM11" s="84"/>
      <c r="FQN11" s="84"/>
      <c r="FQO11" s="84"/>
      <c r="FQP11" s="84"/>
      <c r="FQQ11" s="84"/>
      <c r="FQR11" s="84"/>
      <c r="FQS11" s="84"/>
      <c r="FQT11" s="84"/>
      <c r="FQU11" s="84"/>
      <c r="FQV11" s="84"/>
      <c r="FQW11" s="84"/>
      <c r="FQX11" s="84"/>
      <c r="FQY11" s="84"/>
      <c r="FQZ11" s="84"/>
      <c r="FRA11" s="84"/>
      <c r="FRB11" s="84"/>
      <c r="FRC11" s="84"/>
      <c r="FRD11" s="84"/>
      <c r="FRE11" s="84"/>
      <c r="FRF11" s="84"/>
      <c r="FRG11" s="84"/>
      <c r="FRH11" s="84"/>
      <c r="FRI11" s="84"/>
      <c r="FRJ11" s="84"/>
      <c r="FRK11" s="84"/>
      <c r="FRL11" s="84"/>
      <c r="FRM11" s="84"/>
      <c r="FRN11" s="84"/>
      <c r="FRO11" s="84"/>
      <c r="FRP11" s="84"/>
      <c r="FRQ11" s="84"/>
      <c r="FRR11" s="84"/>
      <c r="FRS11" s="84"/>
      <c r="FRT11" s="84"/>
      <c r="FRU11" s="84"/>
      <c r="FRV11" s="84"/>
      <c r="FRW11" s="84"/>
      <c r="FRX11" s="84"/>
      <c r="FRY11" s="84"/>
      <c r="FRZ11" s="84"/>
      <c r="FSA11" s="84"/>
      <c r="FSB11" s="84"/>
      <c r="FSC11" s="84"/>
      <c r="FSD11" s="84"/>
      <c r="FSE11" s="84"/>
      <c r="FSF11" s="84"/>
      <c r="FSG11" s="84"/>
      <c r="FSH11" s="84"/>
      <c r="FSI11" s="84"/>
      <c r="FSJ11" s="84"/>
      <c r="FSK11" s="84"/>
      <c r="FSL11" s="84"/>
      <c r="FSM11" s="84"/>
      <c r="FSN11" s="84"/>
      <c r="FSO11" s="84"/>
      <c r="FSP11" s="84"/>
      <c r="FSQ11" s="84"/>
      <c r="FSR11" s="84"/>
      <c r="FSS11" s="84"/>
      <c r="FST11" s="84"/>
      <c r="FSU11" s="84"/>
      <c r="FSV11" s="84"/>
      <c r="FSW11" s="84"/>
      <c r="FSX11" s="84"/>
      <c r="FSY11" s="84"/>
      <c r="FSZ11" s="84"/>
      <c r="FTA11" s="84"/>
      <c r="FTB11" s="84"/>
      <c r="FTC11" s="84"/>
      <c r="FTD11" s="84"/>
      <c r="FTE11" s="84"/>
      <c r="FTF11" s="84"/>
      <c r="FTG11" s="84"/>
      <c r="FTH11" s="84"/>
      <c r="FTI11" s="84"/>
      <c r="FTJ11" s="84"/>
      <c r="FTK11" s="84"/>
      <c r="FTL11" s="84"/>
      <c r="FTM11" s="84"/>
      <c r="FTN11" s="84"/>
      <c r="FTO11" s="84"/>
      <c r="FTP11" s="84"/>
      <c r="FTQ11" s="84"/>
      <c r="FTR11" s="84"/>
      <c r="FTS11" s="84"/>
      <c r="FTT11" s="84"/>
      <c r="FTU11" s="84"/>
      <c r="FTV11" s="84"/>
      <c r="FTW11" s="84"/>
      <c r="FTX11" s="84"/>
      <c r="FTY11" s="84"/>
      <c r="FTZ11" s="84"/>
      <c r="FUA11" s="84"/>
      <c r="FUB11" s="84"/>
      <c r="FUC11" s="84"/>
      <c r="FUD11" s="84"/>
      <c r="FUE11" s="84"/>
      <c r="FUF11" s="84"/>
      <c r="FUG11" s="84"/>
      <c r="FUH11" s="84"/>
      <c r="FUI11" s="84"/>
      <c r="FUJ11" s="84"/>
      <c r="FUK11" s="84"/>
      <c r="FUL11" s="84"/>
      <c r="FUM11" s="84"/>
      <c r="FUN11" s="84"/>
      <c r="FUO11" s="84"/>
      <c r="FUP11" s="84"/>
      <c r="FUQ11" s="84"/>
      <c r="FUR11" s="84"/>
      <c r="FUS11" s="84"/>
      <c r="FUT11" s="84"/>
      <c r="FUU11" s="84"/>
      <c r="FUV11" s="84"/>
      <c r="FUW11" s="84"/>
      <c r="FUX11" s="84"/>
      <c r="FUY11" s="84"/>
      <c r="FUZ11" s="84"/>
      <c r="FVA11" s="84"/>
      <c r="FVB11" s="84"/>
      <c r="FVC11" s="84"/>
      <c r="FVD11" s="84"/>
      <c r="FVE11" s="84"/>
      <c r="FVF11" s="84"/>
      <c r="FVG11" s="84"/>
      <c r="FVH11" s="84"/>
      <c r="FVI11" s="84"/>
      <c r="FVJ11" s="84"/>
      <c r="FVK11" s="84"/>
      <c r="FVL11" s="84"/>
      <c r="FVM11" s="84"/>
      <c r="FVN11" s="84"/>
      <c r="FVO11" s="84"/>
      <c r="FVP11" s="84"/>
      <c r="FVQ11" s="84"/>
      <c r="FVR11" s="84"/>
      <c r="FVS11" s="84"/>
      <c r="FVT11" s="84"/>
      <c r="FVU11" s="84"/>
      <c r="FVV11" s="84"/>
      <c r="FVW11" s="84"/>
      <c r="FVX11" s="84"/>
      <c r="FVY11" s="84"/>
      <c r="FVZ11" s="84"/>
      <c r="FWA11" s="84"/>
      <c r="FWB11" s="84"/>
      <c r="FWC11" s="84"/>
      <c r="FWD11" s="84"/>
      <c r="FWE11" s="84"/>
      <c r="FWF11" s="84"/>
      <c r="FWG11" s="84"/>
      <c r="FWH11" s="84"/>
      <c r="FWI11" s="84"/>
      <c r="FWJ11" s="84"/>
      <c r="FWK11" s="84"/>
      <c r="FWL11" s="84"/>
      <c r="FWM11" s="84"/>
      <c r="FWN11" s="84"/>
      <c r="FWO11" s="84"/>
      <c r="FWP11" s="84"/>
      <c r="FWQ11" s="84"/>
      <c r="FWR11" s="84"/>
      <c r="FWS11" s="84"/>
      <c r="FWT11" s="84"/>
      <c r="FWU11" s="84"/>
      <c r="FWV11" s="84"/>
      <c r="FWW11" s="84"/>
      <c r="FWX11" s="84"/>
      <c r="FWY11" s="84"/>
      <c r="FWZ11" s="84"/>
      <c r="FXA11" s="84"/>
      <c r="FXB11" s="84"/>
      <c r="FXC11" s="84"/>
      <c r="FXD11" s="84"/>
      <c r="FXE11" s="84"/>
      <c r="FXF11" s="84"/>
      <c r="FXG11" s="84"/>
      <c r="FXH11" s="84"/>
      <c r="FXI11" s="84"/>
      <c r="FXJ11" s="84"/>
      <c r="FXK11" s="84"/>
      <c r="FXL11" s="84"/>
      <c r="FXM11" s="84"/>
      <c r="FXN11" s="84"/>
      <c r="FXO11" s="84"/>
      <c r="FXP11" s="84"/>
      <c r="FXQ11" s="84"/>
      <c r="FXR11" s="84"/>
      <c r="FXS11" s="84"/>
      <c r="FXT11" s="84"/>
      <c r="FXU11" s="84"/>
      <c r="FXV11" s="84"/>
      <c r="FXW11" s="84"/>
      <c r="FXX11" s="84"/>
      <c r="FXY11" s="84"/>
      <c r="FXZ11" s="84"/>
      <c r="FYA11" s="84"/>
      <c r="FYB11" s="84"/>
      <c r="FYC11" s="84"/>
      <c r="FYD11" s="84"/>
      <c r="FYE11" s="84"/>
      <c r="FYF11" s="84"/>
      <c r="FYG11" s="84"/>
      <c r="FYH11" s="84"/>
      <c r="FYI11" s="84"/>
      <c r="FYJ11" s="84"/>
      <c r="FYK11" s="84"/>
      <c r="FYL11" s="84"/>
      <c r="FYM11" s="84"/>
      <c r="FYN11" s="84"/>
      <c r="FYO11" s="84"/>
      <c r="FYP11" s="84"/>
      <c r="FYQ11" s="84"/>
      <c r="FYR11" s="84"/>
      <c r="FYS11" s="84"/>
      <c r="FYT11" s="84"/>
      <c r="FYU11" s="84"/>
      <c r="FYV11" s="84"/>
      <c r="FYW11" s="84"/>
      <c r="FYX11" s="84"/>
      <c r="FYY11" s="84"/>
      <c r="FYZ11" s="84"/>
      <c r="FZA11" s="84"/>
      <c r="FZB11" s="84"/>
      <c r="FZC11" s="84"/>
      <c r="FZD11" s="84"/>
      <c r="FZE11" s="84"/>
      <c r="FZF11" s="84"/>
      <c r="FZG11" s="84"/>
      <c r="FZH11" s="84"/>
      <c r="FZI11" s="84"/>
      <c r="FZJ11" s="84"/>
      <c r="FZK11" s="84"/>
      <c r="FZL11" s="84"/>
      <c r="FZM11" s="84"/>
      <c r="FZN11" s="84"/>
      <c r="FZO11" s="84"/>
      <c r="FZP11" s="84"/>
      <c r="FZQ11" s="84"/>
      <c r="FZR11" s="84"/>
      <c r="FZS11" s="84"/>
      <c r="FZT11" s="84"/>
      <c r="FZU11" s="84"/>
      <c r="FZV11" s="84"/>
      <c r="FZW11" s="84"/>
      <c r="FZX11" s="84"/>
      <c r="FZY11" s="84"/>
      <c r="FZZ11" s="84"/>
      <c r="GAA11" s="84"/>
      <c r="GAB11" s="84"/>
      <c r="GAC11" s="84"/>
      <c r="GAD11" s="84"/>
      <c r="GAE11" s="84"/>
      <c r="GAF11" s="84"/>
      <c r="GAG11" s="84"/>
      <c r="GAH11" s="84"/>
      <c r="GAI11" s="84"/>
      <c r="GAJ11" s="84"/>
      <c r="GAK11" s="84"/>
      <c r="GAL11" s="84"/>
      <c r="GAM11" s="84"/>
      <c r="GAN11" s="84"/>
      <c r="GAO11" s="84"/>
      <c r="GAP11" s="84"/>
      <c r="GAQ11" s="84"/>
      <c r="GAR11" s="84"/>
      <c r="GAS11" s="84"/>
      <c r="GAT11" s="84"/>
      <c r="GAU11" s="84"/>
      <c r="GAV11" s="84"/>
      <c r="GAW11" s="84"/>
      <c r="GAX11" s="84"/>
      <c r="GAY11" s="84"/>
      <c r="GAZ11" s="84"/>
      <c r="GBA11" s="84"/>
      <c r="GBB11" s="84"/>
      <c r="GBC11" s="84"/>
      <c r="GBD11" s="84"/>
      <c r="GBE11" s="84"/>
      <c r="GBF11" s="84"/>
      <c r="GBG11" s="84"/>
      <c r="GBH11" s="84"/>
      <c r="GBI11" s="84"/>
      <c r="GBJ11" s="84"/>
      <c r="GBK11" s="84"/>
      <c r="GBL11" s="84"/>
      <c r="GBM11" s="84"/>
      <c r="GBN11" s="84"/>
      <c r="GBO11" s="84"/>
      <c r="GBP11" s="84"/>
      <c r="GBQ11" s="84"/>
      <c r="GBR11" s="84"/>
      <c r="GBS11" s="84"/>
      <c r="GBT11" s="84"/>
      <c r="GBU11" s="84"/>
      <c r="GBV11" s="84"/>
      <c r="GBW11" s="84"/>
      <c r="GBX11" s="84"/>
      <c r="GBY11" s="84"/>
      <c r="GBZ11" s="84"/>
      <c r="GCA11" s="84"/>
      <c r="GCB11" s="84"/>
      <c r="GCC11" s="84"/>
      <c r="GCD11" s="84"/>
      <c r="GCE11" s="84"/>
      <c r="GCF11" s="84"/>
      <c r="GCG11" s="84"/>
      <c r="GCH11" s="84"/>
      <c r="GCI11" s="84"/>
      <c r="GCJ11" s="84"/>
      <c r="GCK11" s="84"/>
      <c r="GCL11" s="84"/>
      <c r="GCM11" s="84"/>
      <c r="GCN11" s="84"/>
      <c r="GCO11" s="84"/>
      <c r="GCP11" s="84"/>
      <c r="GCQ11" s="84"/>
      <c r="GCR11" s="84"/>
      <c r="GCS11" s="84"/>
      <c r="GCT11" s="84"/>
      <c r="GCU11" s="84"/>
      <c r="GCV11" s="84"/>
      <c r="GCW11" s="84"/>
      <c r="GCX11" s="84"/>
      <c r="GCY11" s="84"/>
      <c r="GCZ11" s="84"/>
      <c r="GDA11" s="84"/>
      <c r="GDB11" s="84"/>
      <c r="GDC11" s="84"/>
      <c r="GDD11" s="84"/>
      <c r="GDE11" s="84"/>
      <c r="GDF11" s="84"/>
      <c r="GDG11" s="84"/>
      <c r="GDH11" s="84"/>
      <c r="GDI11" s="84"/>
      <c r="GDJ11" s="84"/>
      <c r="GDK11" s="84"/>
      <c r="GDL11" s="84"/>
      <c r="GDM11" s="84"/>
      <c r="GDN11" s="84"/>
      <c r="GDO11" s="84"/>
      <c r="GDP11" s="84"/>
      <c r="GDQ11" s="84"/>
      <c r="GDR11" s="84"/>
      <c r="GDS11" s="84"/>
      <c r="GDT11" s="84"/>
      <c r="GDU11" s="84"/>
      <c r="GDV11" s="84"/>
      <c r="GDW11" s="84"/>
      <c r="GDX11" s="84"/>
      <c r="GDY11" s="84"/>
      <c r="GDZ11" s="84"/>
      <c r="GEA11" s="84"/>
      <c r="GEB11" s="84"/>
      <c r="GEC11" s="84"/>
      <c r="GED11" s="84"/>
      <c r="GEE11" s="84"/>
      <c r="GEF11" s="84"/>
      <c r="GEG11" s="84"/>
      <c r="GEH11" s="84"/>
      <c r="GEI11" s="84"/>
      <c r="GEJ11" s="84"/>
      <c r="GEK11" s="84"/>
      <c r="GEL11" s="84"/>
      <c r="GEM11" s="84"/>
      <c r="GEN11" s="84"/>
      <c r="GEO11" s="84"/>
      <c r="GEP11" s="84"/>
      <c r="GEQ11" s="84"/>
      <c r="GER11" s="84"/>
      <c r="GES11" s="84"/>
      <c r="GET11" s="84"/>
      <c r="GEU11" s="84"/>
      <c r="GEV11" s="84"/>
      <c r="GEW11" s="84"/>
      <c r="GEX11" s="84"/>
      <c r="GEY11" s="84"/>
      <c r="GEZ11" s="84"/>
      <c r="GFA11" s="84"/>
      <c r="GFB11" s="84"/>
      <c r="GFC11" s="84"/>
      <c r="GFD11" s="84"/>
      <c r="GFE11" s="84"/>
      <c r="GFF11" s="84"/>
      <c r="GFG11" s="84"/>
      <c r="GFH11" s="84"/>
      <c r="GFI11" s="84"/>
      <c r="GFJ11" s="84"/>
      <c r="GFK11" s="84"/>
      <c r="GFL11" s="84"/>
      <c r="GFM11" s="84"/>
      <c r="GFN11" s="84"/>
      <c r="GFO11" s="84"/>
      <c r="GFP11" s="84"/>
      <c r="GFQ11" s="84"/>
      <c r="GFR11" s="84"/>
      <c r="GFS11" s="84"/>
      <c r="GFT11" s="84"/>
      <c r="GFU11" s="84"/>
      <c r="GFV11" s="84"/>
      <c r="GFW11" s="84"/>
      <c r="GFX11" s="84"/>
      <c r="GFY11" s="84"/>
      <c r="GFZ11" s="84"/>
      <c r="GGA11" s="84"/>
      <c r="GGB11" s="84"/>
      <c r="GGC11" s="84"/>
      <c r="GGD11" s="84"/>
      <c r="GGE11" s="84"/>
      <c r="GGF11" s="84"/>
      <c r="GGG11" s="84"/>
      <c r="GGH11" s="84"/>
      <c r="GGI11" s="84"/>
      <c r="GGJ11" s="84"/>
      <c r="GGK11" s="84"/>
      <c r="GGL11" s="84"/>
      <c r="GGM11" s="84"/>
      <c r="GGN11" s="84"/>
      <c r="GGO11" s="84"/>
      <c r="GGP11" s="84"/>
      <c r="GGQ11" s="84"/>
      <c r="GGR11" s="84"/>
      <c r="GGS11" s="84"/>
      <c r="GGT11" s="84"/>
      <c r="GGU11" s="84"/>
      <c r="GGV11" s="84"/>
      <c r="GGW11" s="84"/>
      <c r="GGX11" s="84"/>
      <c r="GGY11" s="84"/>
      <c r="GGZ11" s="84"/>
      <c r="GHA11" s="84"/>
      <c r="GHB11" s="84"/>
      <c r="GHC11" s="84"/>
      <c r="GHD11" s="84"/>
      <c r="GHE11" s="84"/>
      <c r="GHF11" s="84"/>
      <c r="GHG11" s="84"/>
      <c r="GHH11" s="84"/>
      <c r="GHI11" s="84"/>
      <c r="GHJ11" s="84"/>
      <c r="GHK11" s="84"/>
      <c r="GHL11" s="84"/>
      <c r="GHM11" s="84"/>
      <c r="GHN11" s="84"/>
      <c r="GHO11" s="84"/>
      <c r="GHP11" s="84"/>
      <c r="GHQ11" s="84"/>
      <c r="GHR11" s="84"/>
      <c r="GHS11" s="84"/>
      <c r="GHT11" s="84"/>
      <c r="GHU11" s="84"/>
      <c r="GHV11" s="84"/>
      <c r="GHW11" s="84"/>
      <c r="GHX11" s="84"/>
      <c r="GHY11" s="84"/>
      <c r="GHZ11" s="84"/>
      <c r="GIA11" s="84"/>
      <c r="GIB11" s="84"/>
      <c r="GIC11" s="84"/>
      <c r="GID11" s="84"/>
      <c r="GIE11" s="84"/>
      <c r="GIF11" s="84"/>
      <c r="GIG11" s="84"/>
      <c r="GIH11" s="84"/>
      <c r="GII11" s="84"/>
      <c r="GIJ11" s="84"/>
      <c r="GIK11" s="84"/>
      <c r="GIL11" s="84"/>
      <c r="GIM11" s="84"/>
      <c r="GIN11" s="84"/>
      <c r="GIO11" s="84"/>
      <c r="GIP11" s="84"/>
      <c r="GIQ11" s="84"/>
      <c r="GIR11" s="84"/>
      <c r="GIS11" s="84"/>
      <c r="GIT11" s="84"/>
      <c r="GIU11" s="84"/>
      <c r="GIV11" s="84"/>
      <c r="GIW11" s="84"/>
      <c r="GIX11" s="84"/>
      <c r="GIY11" s="84"/>
      <c r="GIZ11" s="84"/>
      <c r="GJA11" s="84"/>
      <c r="GJB11" s="84"/>
      <c r="GJC11" s="84"/>
      <c r="GJD11" s="84"/>
      <c r="GJE11" s="84"/>
      <c r="GJF11" s="84"/>
      <c r="GJG11" s="84"/>
      <c r="GJH11" s="84"/>
      <c r="GJI11" s="84"/>
      <c r="GJJ11" s="84"/>
      <c r="GJK11" s="84"/>
      <c r="GJL11" s="84"/>
      <c r="GJM11" s="84"/>
      <c r="GJN11" s="84"/>
      <c r="GJO11" s="84"/>
      <c r="GJP11" s="84"/>
      <c r="GJQ11" s="84"/>
      <c r="GJR11" s="84"/>
      <c r="GJS11" s="84"/>
      <c r="GJT11" s="84"/>
      <c r="GJU11" s="84"/>
      <c r="GJV11" s="84"/>
      <c r="GJW11" s="84"/>
      <c r="GJX11" s="84"/>
      <c r="GJY11" s="84"/>
      <c r="GJZ11" s="84"/>
      <c r="GKA11" s="84"/>
      <c r="GKB11" s="84"/>
      <c r="GKC11" s="84"/>
      <c r="GKD11" s="84"/>
      <c r="GKE11" s="84"/>
      <c r="GKF11" s="84"/>
      <c r="GKG11" s="84"/>
      <c r="GKH11" s="84"/>
      <c r="GKI11" s="84"/>
      <c r="GKJ11" s="84"/>
      <c r="GKK11" s="84"/>
      <c r="GKL11" s="84"/>
      <c r="GKM11" s="84"/>
      <c r="GKN11" s="84"/>
      <c r="GKO11" s="84"/>
      <c r="GKP11" s="84"/>
      <c r="GKQ11" s="84"/>
      <c r="GKR11" s="84"/>
      <c r="GKS11" s="84"/>
      <c r="GKT11" s="84"/>
      <c r="GKU11" s="84"/>
      <c r="GKV11" s="84"/>
      <c r="GKW11" s="84"/>
      <c r="GKX11" s="84"/>
      <c r="GKY11" s="84"/>
      <c r="GKZ11" s="84"/>
      <c r="GLA11" s="84"/>
      <c r="GLB11" s="84"/>
      <c r="GLC11" s="84"/>
      <c r="GLD11" s="84"/>
      <c r="GLE11" s="84"/>
      <c r="GLF11" s="84"/>
      <c r="GLG11" s="84"/>
      <c r="GLH11" s="84"/>
      <c r="GLI11" s="84"/>
      <c r="GLJ11" s="84"/>
      <c r="GLK11" s="84"/>
      <c r="GLL11" s="84"/>
      <c r="GLM11" s="84"/>
      <c r="GLN11" s="84"/>
      <c r="GLO11" s="84"/>
      <c r="GLP11" s="84"/>
      <c r="GLQ11" s="84"/>
      <c r="GLR11" s="84"/>
      <c r="GLS11" s="84"/>
      <c r="GLT11" s="84"/>
      <c r="GLU11" s="84"/>
      <c r="GLV11" s="84"/>
      <c r="GLW11" s="84"/>
      <c r="GLX11" s="84"/>
      <c r="GLY11" s="84"/>
      <c r="GLZ11" s="84"/>
      <c r="GMA11" s="84"/>
      <c r="GMB11" s="84"/>
      <c r="GMC11" s="84"/>
      <c r="GMD11" s="84"/>
      <c r="GME11" s="84"/>
      <c r="GMF11" s="84"/>
      <c r="GMG11" s="84"/>
      <c r="GMH11" s="84"/>
      <c r="GMI11" s="84"/>
      <c r="GMJ11" s="84"/>
      <c r="GMK11" s="84"/>
      <c r="GML11" s="84"/>
      <c r="GMM11" s="84"/>
      <c r="GMN11" s="84"/>
      <c r="GMO11" s="84"/>
      <c r="GMP11" s="84"/>
      <c r="GMQ11" s="84"/>
      <c r="GMR11" s="84"/>
      <c r="GMS11" s="84"/>
      <c r="GMT11" s="84"/>
      <c r="GMU11" s="84"/>
      <c r="GMV11" s="84"/>
      <c r="GMW11" s="84"/>
      <c r="GMX11" s="84"/>
      <c r="GMY11" s="84"/>
      <c r="GMZ11" s="84"/>
      <c r="GNA11" s="84"/>
      <c r="GNB11" s="84"/>
      <c r="GNC11" s="84"/>
      <c r="GND11" s="84"/>
      <c r="GNE11" s="84"/>
      <c r="GNF11" s="84"/>
      <c r="GNG11" s="84"/>
      <c r="GNH11" s="84"/>
      <c r="GNI11" s="84"/>
      <c r="GNJ11" s="84"/>
      <c r="GNK11" s="84"/>
      <c r="GNL11" s="84"/>
      <c r="GNM11" s="84"/>
      <c r="GNN11" s="84"/>
      <c r="GNO11" s="84"/>
      <c r="GNP11" s="84"/>
      <c r="GNQ11" s="84"/>
      <c r="GNR11" s="84"/>
      <c r="GNS11" s="84"/>
      <c r="GNT11" s="84"/>
      <c r="GNU11" s="84"/>
      <c r="GNV11" s="84"/>
      <c r="GNW11" s="84"/>
      <c r="GNX11" s="84"/>
      <c r="GNY11" s="84"/>
      <c r="GNZ11" s="84"/>
      <c r="GOA11" s="84"/>
      <c r="GOB11" s="84"/>
      <c r="GOC11" s="84"/>
      <c r="GOD11" s="84"/>
      <c r="GOE11" s="84"/>
      <c r="GOF11" s="84"/>
      <c r="GOG11" s="84"/>
      <c r="GOH11" s="84"/>
      <c r="GOI11" s="84"/>
      <c r="GOJ11" s="84"/>
      <c r="GOK11" s="84"/>
      <c r="GOL11" s="84"/>
      <c r="GOM11" s="84"/>
      <c r="GON11" s="84"/>
      <c r="GOO11" s="84"/>
      <c r="GOP11" s="84"/>
      <c r="GOQ11" s="84"/>
      <c r="GOR11" s="84"/>
      <c r="GOS11" s="84"/>
      <c r="GOT11" s="84"/>
      <c r="GOU11" s="84"/>
      <c r="GOV11" s="84"/>
      <c r="GOW11" s="84"/>
      <c r="GOX11" s="84"/>
      <c r="GOY11" s="84"/>
      <c r="GOZ11" s="84"/>
      <c r="GPA11" s="84"/>
      <c r="GPB11" s="84"/>
      <c r="GPC11" s="84"/>
      <c r="GPD11" s="84"/>
      <c r="GPE11" s="84"/>
      <c r="GPF11" s="84"/>
      <c r="GPG11" s="84"/>
      <c r="GPH11" s="84"/>
      <c r="GPI11" s="84"/>
      <c r="GPJ11" s="84"/>
      <c r="GPK11" s="84"/>
      <c r="GPL11" s="84"/>
      <c r="GPM11" s="84"/>
      <c r="GPN11" s="84"/>
      <c r="GPO11" s="84"/>
      <c r="GPP11" s="84"/>
      <c r="GPQ11" s="84"/>
      <c r="GPR11" s="84"/>
      <c r="GPS11" s="84"/>
      <c r="GPT11" s="84"/>
      <c r="GPU11" s="84"/>
      <c r="GPV11" s="84"/>
      <c r="GPW11" s="84"/>
      <c r="GPX11" s="84"/>
      <c r="GPY11" s="84"/>
      <c r="GPZ11" s="84"/>
      <c r="GQA11" s="84"/>
      <c r="GQB11" s="84"/>
      <c r="GQC11" s="84"/>
      <c r="GQD11" s="84"/>
      <c r="GQE11" s="84"/>
      <c r="GQF11" s="84"/>
      <c r="GQG11" s="84"/>
      <c r="GQH11" s="84"/>
      <c r="GQI11" s="84"/>
      <c r="GQJ11" s="84"/>
      <c r="GQK11" s="84"/>
      <c r="GQL11" s="84"/>
      <c r="GQM11" s="84"/>
      <c r="GQN11" s="84"/>
      <c r="GQO11" s="84"/>
      <c r="GQP11" s="84"/>
      <c r="GQQ11" s="84"/>
      <c r="GQR11" s="84"/>
      <c r="GQS11" s="84"/>
      <c r="GQT11" s="84"/>
      <c r="GQU11" s="84"/>
      <c r="GQV11" s="84"/>
      <c r="GQW11" s="84"/>
      <c r="GQX11" s="84"/>
      <c r="GQY11" s="84"/>
      <c r="GQZ11" s="84"/>
      <c r="GRA11" s="84"/>
      <c r="GRB11" s="84"/>
      <c r="GRC11" s="84"/>
      <c r="GRD11" s="84"/>
      <c r="GRE11" s="84"/>
      <c r="GRF11" s="84"/>
      <c r="GRG11" s="84"/>
      <c r="GRH11" s="84"/>
      <c r="GRI11" s="84"/>
      <c r="GRJ11" s="84"/>
      <c r="GRK11" s="84"/>
      <c r="GRL11" s="84"/>
      <c r="GRM11" s="84"/>
      <c r="GRN11" s="84"/>
      <c r="GRO11" s="84"/>
      <c r="GRP11" s="84"/>
      <c r="GRQ11" s="84"/>
      <c r="GRR11" s="84"/>
      <c r="GRS11" s="84"/>
      <c r="GRT11" s="84"/>
      <c r="GRU11" s="84"/>
      <c r="GRV11" s="84"/>
      <c r="GRW11" s="84"/>
      <c r="GRX11" s="84"/>
      <c r="GRY11" s="84"/>
      <c r="GRZ11" s="84"/>
      <c r="GSA11" s="84"/>
      <c r="GSB11" s="84"/>
      <c r="GSC11" s="84"/>
      <c r="GSD11" s="84"/>
      <c r="GSE11" s="84"/>
      <c r="GSF11" s="84"/>
      <c r="GSG11" s="84"/>
      <c r="GSH11" s="84"/>
      <c r="GSI11" s="84"/>
      <c r="GSJ11" s="84"/>
      <c r="GSK11" s="84"/>
      <c r="GSL11" s="84"/>
      <c r="GSM11" s="84"/>
      <c r="GSN11" s="84"/>
      <c r="GSO11" s="84"/>
      <c r="GSP11" s="84"/>
      <c r="GSQ11" s="84"/>
      <c r="GSR11" s="84"/>
      <c r="GSS11" s="84"/>
      <c r="GST11" s="84"/>
      <c r="GSU11" s="84"/>
      <c r="GSV11" s="84"/>
      <c r="GSW11" s="84"/>
      <c r="GSX11" s="84"/>
      <c r="GSY11" s="84"/>
      <c r="GSZ11" s="84"/>
      <c r="GTA11" s="84"/>
      <c r="GTB11" s="84"/>
      <c r="GTC11" s="84"/>
      <c r="GTD11" s="84"/>
      <c r="GTE11" s="84"/>
      <c r="GTF11" s="84"/>
      <c r="GTG11" s="84"/>
      <c r="GTH11" s="84"/>
      <c r="GTI11" s="84"/>
      <c r="GTJ11" s="84"/>
      <c r="GTK11" s="84"/>
      <c r="GTL11" s="84"/>
      <c r="GTM11" s="84"/>
      <c r="GTN11" s="84"/>
      <c r="GTO11" s="84"/>
      <c r="GTP11" s="84"/>
      <c r="GTQ11" s="84"/>
      <c r="GTR11" s="84"/>
      <c r="GTS11" s="84"/>
      <c r="GTT11" s="84"/>
      <c r="GTU11" s="84"/>
      <c r="GTV11" s="84"/>
      <c r="GTW11" s="84"/>
      <c r="GTX11" s="84"/>
      <c r="GTY11" s="84"/>
      <c r="GTZ11" s="84"/>
      <c r="GUA11" s="84"/>
      <c r="GUB11" s="84"/>
      <c r="GUC11" s="84"/>
      <c r="GUD11" s="84"/>
      <c r="GUE11" s="84"/>
      <c r="GUF11" s="84"/>
      <c r="GUG11" s="84"/>
      <c r="GUH11" s="84"/>
      <c r="GUI11" s="84"/>
      <c r="GUJ11" s="84"/>
      <c r="GUK11" s="84"/>
      <c r="GUL11" s="84"/>
      <c r="GUM11" s="84"/>
      <c r="GUN11" s="84"/>
      <c r="GUO11" s="84"/>
      <c r="GUP11" s="84"/>
      <c r="GUQ11" s="84"/>
      <c r="GUR11" s="84"/>
      <c r="GUS11" s="84"/>
      <c r="GUT11" s="84"/>
      <c r="GUU11" s="84"/>
      <c r="GUV11" s="84"/>
      <c r="GUW11" s="84"/>
      <c r="GUX11" s="84"/>
      <c r="GUY11" s="84"/>
      <c r="GUZ11" s="84"/>
      <c r="GVA11" s="84"/>
      <c r="GVB11" s="84"/>
      <c r="GVC11" s="84"/>
      <c r="GVD11" s="84"/>
      <c r="GVE11" s="84"/>
      <c r="GVF11" s="84"/>
      <c r="GVG11" s="84"/>
      <c r="GVH11" s="84"/>
      <c r="GVI11" s="84"/>
      <c r="GVJ11" s="84"/>
      <c r="GVK11" s="84"/>
      <c r="GVL11" s="84"/>
      <c r="GVM11" s="84"/>
      <c r="GVN11" s="84"/>
      <c r="GVO11" s="84"/>
      <c r="GVP11" s="84"/>
      <c r="GVQ11" s="84"/>
      <c r="GVR11" s="84"/>
      <c r="GVS11" s="84"/>
      <c r="GVT11" s="84"/>
      <c r="GVU11" s="84"/>
      <c r="GVV11" s="84"/>
      <c r="GVW11" s="84"/>
      <c r="GVX11" s="84"/>
      <c r="GVY11" s="84"/>
      <c r="GVZ11" s="84"/>
      <c r="GWA11" s="84"/>
      <c r="GWB11" s="84"/>
      <c r="GWC11" s="84"/>
      <c r="GWD11" s="84"/>
      <c r="GWE11" s="84"/>
      <c r="GWF11" s="84"/>
      <c r="GWG11" s="84"/>
      <c r="GWH11" s="84"/>
      <c r="GWI11" s="84"/>
      <c r="GWJ11" s="84"/>
      <c r="GWK11" s="84"/>
      <c r="GWL11" s="84"/>
      <c r="GWM11" s="84"/>
      <c r="GWN11" s="84"/>
      <c r="GWO11" s="84"/>
      <c r="GWP11" s="84"/>
      <c r="GWQ11" s="84"/>
      <c r="GWR11" s="84"/>
      <c r="GWS11" s="84"/>
      <c r="GWT11" s="84"/>
      <c r="GWU11" s="84"/>
      <c r="GWV11" s="84"/>
      <c r="GWW11" s="84"/>
      <c r="GWX11" s="84"/>
      <c r="GWY11" s="84"/>
      <c r="GWZ11" s="84"/>
      <c r="GXA11" s="84"/>
      <c r="GXB11" s="84"/>
      <c r="GXC11" s="84"/>
      <c r="GXD11" s="84"/>
      <c r="GXE11" s="84"/>
      <c r="GXF11" s="84"/>
      <c r="GXG11" s="84"/>
      <c r="GXH11" s="84"/>
      <c r="GXI11" s="84"/>
      <c r="GXJ11" s="84"/>
      <c r="GXK11" s="84"/>
      <c r="GXL11" s="84"/>
      <c r="GXM11" s="84"/>
      <c r="GXN11" s="84"/>
      <c r="GXO11" s="84"/>
      <c r="GXP11" s="84"/>
      <c r="GXQ11" s="84"/>
      <c r="GXR11" s="84"/>
      <c r="GXS11" s="84"/>
      <c r="GXT11" s="84"/>
      <c r="GXU11" s="84"/>
      <c r="GXV11" s="84"/>
      <c r="GXW11" s="84"/>
      <c r="GXX11" s="84"/>
      <c r="GXY11" s="84"/>
      <c r="GXZ11" s="84"/>
      <c r="GYA11" s="84"/>
      <c r="GYB11" s="84"/>
      <c r="GYC11" s="84"/>
      <c r="GYD11" s="84"/>
      <c r="GYE11" s="84"/>
      <c r="GYF11" s="84"/>
      <c r="GYG11" s="84"/>
      <c r="GYH11" s="84"/>
      <c r="GYI11" s="84"/>
      <c r="GYJ11" s="84"/>
      <c r="GYK11" s="84"/>
      <c r="GYL11" s="84"/>
      <c r="GYM11" s="84"/>
      <c r="GYN11" s="84"/>
      <c r="GYO11" s="84"/>
      <c r="GYP11" s="84"/>
      <c r="GYQ11" s="84"/>
      <c r="GYR11" s="84"/>
      <c r="GYS11" s="84"/>
      <c r="GYT11" s="84"/>
      <c r="GYU11" s="84"/>
      <c r="GYV11" s="84"/>
      <c r="GYW11" s="84"/>
      <c r="GYX11" s="84"/>
      <c r="GYY11" s="84"/>
      <c r="GYZ11" s="84"/>
      <c r="GZA11" s="84"/>
      <c r="GZB11" s="84"/>
      <c r="GZC11" s="84"/>
      <c r="GZD11" s="84"/>
      <c r="GZE11" s="84"/>
      <c r="GZF11" s="84"/>
      <c r="GZG11" s="84"/>
      <c r="GZH11" s="84"/>
      <c r="GZI11" s="84"/>
      <c r="GZJ11" s="84"/>
      <c r="GZK11" s="84"/>
      <c r="GZL11" s="84"/>
      <c r="GZM11" s="84"/>
      <c r="GZN11" s="84"/>
      <c r="GZO11" s="84"/>
      <c r="GZP11" s="84"/>
      <c r="GZQ11" s="84"/>
      <c r="GZR11" s="84"/>
      <c r="GZS11" s="84"/>
      <c r="GZT11" s="84"/>
      <c r="GZU11" s="84"/>
      <c r="GZV11" s="84"/>
      <c r="GZW11" s="84"/>
      <c r="GZX11" s="84"/>
      <c r="GZY11" s="84"/>
      <c r="GZZ11" s="84"/>
      <c r="HAA11" s="84"/>
      <c r="HAB11" s="84"/>
      <c r="HAC11" s="84"/>
      <c r="HAD11" s="84"/>
      <c r="HAE11" s="84"/>
      <c r="HAF11" s="84"/>
      <c r="HAG11" s="84"/>
      <c r="HAH11" s="84"/>
      <c r="HAI11" s="84"/>
      <c r="HAJ11" s="84"/>
      <c r="HAK11" s="84"/>
      <c r="HAL11" s="84"/>
      <c r="HAM11" s="84"/>
      <c r="HAN11" s="84"/>
      <c r="HAO11" s="84"/>
      <c r="HAP11" s="84"/>
      <c r="HAQ11" s="84"/>
      <c r="HAR11" s="84"/>
      <c r="HAS11" s="84"/>
      <c r="HAT11" s="84"/>
      <c r="HAU11" s="84"/>
      <c r="HAV11" s="84"/>
      <c r="HAW11" s="84"/>
      <c r="HAX11" s="84"/>
      <c r="HAY11" s="84"/>
      <c r="HAZ11" s="84"/>
      <c r="HBA11" s="84"/>
      <c r="HBB11" s="84"/>
      <c r="HBC11" s="84"/>
      <c r="HBD11" s="84"/>
      <c r="HBE11" s="84"/>
      <c r="HBF11" s="84"/>
      <c r="HBG11" s="84"/>
      <c r="HBH11" s="84"/>
      <c r="HBI11" s="84"/>
      <c r="HBJ11" s="84"/>
      <c r="HBK11" s="84"/>
      <c r="HBL11" s="84"/>
      <c r="HBM11" s="386"/>
    </row>
    <row r="12" spans="1:5473" s="83" customFormat="1" x14ac:dyDescent="0.3">
      <c r="A12" s="11">
        <v>7</v>
      </c>
      <c r="B12" s="26" t="s">
        <v>1501</v>
      </c>
      <c r="C12" s="309" t="s">
        <v>1503</v>
      </c>
      <c r="D12" s="124">
        <v>901229105918</v>
      </c>
      <c r="E12" s="124" t="s">
        <v>1506</v>
      </c>
      <c r="F12" s="12" t="s">
        <v>7</v>
      </c>
      <c r="G12" s="11" t="s">
        <v>1528</v>
      </c>
      <c r="H12" s="86" t="s">
        <v>1507</v>
      </c>
      <c r="I12" s="550">
        <v>10000</v>
      </c>
      <c r="J12" s="122"/>
      <c r="K12" s="75">
        <v>10000</v>
      </c>
      <c r="L12" s="122">
        <v>9500</v>
      </c>
      <c r="M12" s="122">
        <f t="shared" si="0"/>
        <v>500</v>
      </c>
      <c r="N12" s="93"/>
      <c r="O12" s="93"/>
      <c r="P12" s="76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4"/>
      <c r="DB12" s="84"/>
      <c r="DC12" s="84"/>
      <c r="DD12" s="84"/>
      <c r="DE12" s="84"/>
      <c r="DF12" s="84"/>
      <c r="DG12" s="84"/>
      <c r="DH12" s="84"/>
      <c r="DI12" s="84"/>
      <c r="DJ12" s="84"/>
      <c r="DK12" s="84"/>
      <c r="DL12" s="84"/>
      <c r="DM12" s="84"/>
      <c r="DN12" s="84"/>
      <c r="DO12" s="84"/>
      <c r="DP12" s="84"/>
      <c r="DQ12" s="84"/>
      <c r="DR12" s="84"/>
      <c r="DS12" s="84"/>
      <c r="DT12" s="84"/>
      <c r="DU12" s="84"/>
      <c r="DV12" s="84"/>
      <c r="DW12" s="84"/>
      <c r="DX12" s="84"/>
      <c r="DY12" s="84"/>
      <c r="DZ12" s="84"/>
      <c r="EA12" s="84"/>
      <c r="EB12" s="84"/>
      <c r="EC12" s="84"/>
      <c r="ED12" s="84"/>
      <c r="EE12" s="84"/>
      <c r="EF12" s="84"/>
      <c r="EG12" s="84"/>
      <c r="EH12" s="84"/>
      <c r="EI12" s="84"/>
      <c r="EJ12" s="84"/>
      <c r="EK12" s="84"/>
      <c r="EL12" s="84"/>
      <c r="EM12" s="84"/>
      <c r="EN12" s="84"/>
      <c r="EO12" s="84"/>
      <c r="EP12" s="84"/>
      <c r="EQ12" s="84"/>
      <c r="ER12" s="84"/>
      <c r="ES12" s="84"/>
      <c r="ET12" s="84"/>
      <c r="EU12" s="84"/>
      <c r="EV12" s="84"/>
      <c r="EW12" s="84"/>
      <c r="EX12" s="84"/>
      <c r="EY12" s="84"/>
      <c r="EZ12" s="84"/>
      <c r="FA12" s="84"/>
      <c r="FB12" s="84"/>
      <c r="FC12" s="84"/>
      <c r="FD12" s="84"/>
      <c r="FE12" s="84"/>
      <c r="FF12" s="84"/>
      <c r="FG12" s="84"/>
      <c r="FH12" s="84"/>
      <c r="FI12" s="84"/>
      <c r="FJ12" s="84"/>
      <c r="FK12" s="84"/>
      <c r="FL12" s="84"/>
      <c r="FM12" s="84"/>
      <c r="FN12" s="84"/>
      <c r="FO12" s="84"/>
      <c r="FP12" s="84"/>
      <c r="FQ12" s="84"/>
      <c r="FR12" s="84"/>
      <c r="FS12" s="84"/>
      <c r="FT12" s="84"/>
      <c r="FU12" s="84"/>
      <c r="FV12" s="84"/>
      <c r="FW12" s="84"/>
      <c r="FX12" s="84"/>
      <c r="FY12" s="84"/>
      <c r="FZ12" s="84"/>
      <c r="GA12" s="84"/>
      <c r="GB12" s="84"/>
      <c r="GC12" s="84"/>
      <c r="GD12" s="84"/>
      <c r="GE12" s="84"/>
      <c r="GF12" s="84"/>
      <c r="GG12" s="84"/>
      <c r="GH12" s="84"/>
      <c r="GI12" s="84"/>
      <c r="GJ12" s="84"/>
      <c r="GK12" s="84"/>
      <c r="GL12" s="84"/>
      <c r="GM12" s="84"/>
      <c r="GN12" s="84"/>
      <c r="GO12" s="84"/>
      <c r="GP12" s="84"/>
      <c r="GQ12" s="84"/>
      <c r="GR12" s="84"/>
      <c r="GS12" s="84"/>
      <c r="GT12" s="84"/>
      <c r="GU12" s="84"/>
      <c r="GV12" s="84"/>
      <c r="GW12" s="84"/>
      <c r="GX12" s="84"/>
      <c r="GY12" s="84"/>
      <c r="GZ12" s="84"/>
      <c r="HA12" s="84"/>
      <c r="HB12" s="84"/>
      <c r="HC12" s="84"/>
      <c r="HD12" s="84"/>
      <c r="HE12" s="84"/>
      <c r="HF12" s="84"/>
      <c r="HG12" s="84"/>
      <c r="HH12" s="84"/>
      <c r="HI12" s="84"/>
      <c r="HJ12" s="84"/>
      <c r="HK12" s="84"/>
      <c r="HL12" s="84"/>
      <c r="HM12" s="84"/>
      <c r="HN12" s="84"/>
      <c r="HO12" s="84"/>
      <c r="HP12" s="84"/>
      <c r="HQ12" s="84"/>
      <c r="HR12" s="84"/>
      <c r="HS12" s="84"/>
      <c r="HT12" s="84"/>
      <c r="HU12" s="84"/>
      <c r="HV12" s="84"/>
      <c r="HW12" s="84"/>
      <c r="HX12" s="84"/>
      <c r="HY12" s="84"/>
      <c r="HZ12" s="84"/>
      <c r="IA12" s="84"/>
      <c r="IB12" s="84"/>
      <c r="IC12" s="84"/>
      <c r="ID12" s="84"/>
      <c r="IE12" s="84"/>
      <c r="IF12" s="84"/>
      <c r="IG12" s="84"/>
      <c r="IH12" s="84"/>
      <c r="II12" s="84"/>
      <c r="IJ12" s="84"/>
      <c r="IK12" s="84"/>
      <c r="IL12" s="84"/>
      <c r="IM12" s="84"/>
      <c r="IN12" s="84"/>
      <c r="IO12" s="84"/>
      <c r="IP12" s="84"/>
      <c r="IQ12" s="84"/>
      <c r="IR12" s="84"/>
      <c r="IS12" s="84"/>
      <c r="IT12" s="84"/>
      <c r="IU12" s="84"/>
      <c r="IV12" s="84"/>
      <c r="IW12" s="84"/>
      <c r="IX12" s="84"/>
      <c r="IY12" s="84"/>
      <c r="IZ12" s="84"/>
      <c r="JA12" s="84"/>
      <c r="JB12" s="84"/>
      <c r="JC12" s="84"/>
      <c r="JD12" s="84"/>
      <c r="JE12" s="84"/>
      <c r="JF12" s="84"/>
      <c r="JG12" s="84"/>
      <c r="JH12" s="84"/>
      <c r="JI12" s="84"/>
      <c r="JJ12" s="84"/>
      <c r="JK12" s="84"/>
      <c r="JL12" s="84"/>
      <c r="JM12" s="84"/>
      <c r="JN12" s="84"/>
      <c r="JO12" s="84"/>
      <c r="JP12" s="84"/>
      <c r="JQ12" s="84"/>
      <c r="JR12" s="84"/>
      <c r="JS12" s="84"/>
      <c r="JT12" s="84"/>
      <c r="JU12" s="84"/>
      <c r="JV12" s="84"/>
      <c r="JW12" s="84"/>
      <c r="JX12" s="84"/>
      <c r="JY12" s="84"/>
      <c r="JZ12" s="84"/>
      <c r="KA12" s="84"/>
      <c r="KB12" s="84"/>
      <c r="KC12" s="84"/>
      <c r="KD12" s="84"/>
      <c r="KE12" s="84"/>
      <c r="KF12" s="84"/>
      <c r="KG12" s="84"/>
      <c r="KH12" s="84"/>
      <c r="KI12" s="84"/>
      <c r="KJ12" s="84"/>
      <c r="KK12" s="84"/>
      <c r="KL12" s="84"/>
      <c r="KM12" s="84"/>
      <c r="KN12" s="84"/>
      <c r="KO12" s="84"/>
      <c r="KP12" s="84"/>
      <c r="KQ12" s="84"/>
      <c r="KR12" s="84"/>
      <c r="KS12" s="84"/>
      <c r="KT12" s="84"/>
      <c r="KU12" s="84"/>
      <c r="KV12" s="84"/>
      <c r="KW12" s="84"/>
      <c r="KX12" s="84"/>
      <c r="KY12" s="84"/>
      <c r="KZ12" s="84"/>
      <c r="LA12" s="84"/>
      <c r="LB12" s="84"/>
      <c r="LC12" s="84"/>
      <c r="LD12" s="84"/>
      <c r="LE12" s="84"/>
      <c r="LF12" s="84"/>
      <c r="LG12" s="84"/>
      <c r="LH12" s="84"/>
      <c r="LI12" s="84"/>
      <c r="LJ12" s="84"/>
      <c r="LK12" s="84"/>
      <c r="LL12" s="84"/>
      <c r="LM12" s="84"/>
      <c r="LN12" s="84"/>
      <c r="LO12" s="84"/>
      <c r="LP12" s="84"/>
      <c r="LQ12" s="84"/>
      <c r="LR12" s="84"/>
      <c r="LS12" s="84"/>
      <c r="LT12" s="84"/>
      <c r="LU12" s="84"/>
      <c r="LV12" s="84"/>
      <c r="LW12" s="84"/>
      <c r="LX12" s="84"/>
      <c r="LY12" s="84"/>
      <c r="LZ12" s="84"/>
      <c r="MA12" s="84"/>
      <c r="MB12" s="84"/>
      <c r="MC12" s="84"/>
      <c r="MD12" s="84"/>
      <c r="ME12" s="84"/>
      <c r="MF12" s="84"/>
      <c r="MG12" s="84"/>
      <c r="MH12" s="84"/>
      <c r="MI12" s="84"/>
      <c r="MJ12" s="84"/>
      <c r="MK12" s="84"/>
      <c r="ML12" s="84"/>
      <c r="MM12" s="84"/>
      <c r="MN12" s="84"/>
      <c r="MO12" s="84"/>
      <c r="MP12" s="84"/>
      <c r="MQ12" s="84"/>
      <c r="MR12" s="84"/>
      <c r="MS12" s="84"/>
      <c r="MT12" s="84"/>
      <c r="MU12" s="84"/>
      <c r="MV12" s="84"/>
      <c r="MW12" s="84"/>
      <c r="MX12" s="84"/>
      <c r="MY12" s="84"/>
      <c r="MZ12" s="84"/>
      <c r="NA12" s="84"/>
      <c r="NB12" s="84"/>
      <c r="NC12" s="84"/>
      <c r="ND12" s="84"/>
      <c r="NE12" s="84"/>
      <c r="NF12" s="84"/>
      <c r="NG12" s="84"/>
      <c r="NH12" s="84"/>
      <c r="NI12" s="84"/>
      <c r="NJ12" s="84"/>
      <c r="NK12" s="84"/>
      <c r="NL12" s="84"/>
      <c r="NM12" s="84"/>
      <c r="NN12" s="84"/>
      <c r="NO12" s="84"/>
      <c r="NP12" s="84"/>
      <c r="NQ12" s="84"/>
      <c r="NR12" s="84"/>
      <c r="NS12" s="84"/>
      <c r="NT12" s="84"/>
      <c r="NU12" s="84"/>
      <c r="NV12" s="84"/>
      <c r="NW12" s="84"/>
      <c r="NX12" s="84"/>
      <c r="NY12" s="84"/>
      <c r="NZ12" s="84"/>
      <c r="OA12" s="84"/>
      <c r="OB12" s="84"/>
      <c r="OC12" s="84"/>
      <c r="OD12" s="84"/>
      <c r="OE12" s="84"/>
      <c r="OF12" s="84"/>
      <c r="OG12" s="84"/>
      <c r="OH12" s="84"/>
      <c r="OI12" s="84"/>
      <c r="OJ12" s="84"/>
      <c r="OK12" s="84"/>
      <c r="OL12" s="84"/>
      <c r="OM12" s="84"/>
      <c r="ON12" s="84"/>
      <c r="OO12" s="84"/>
      <c r="OP12" s="84"/>
      <c r="OQ12" s="84"/>
      <c r="OR12" s="84"/>
      <c r="OS12" s="84"/>
      <c r="OT12" s="84"/>
      <c r="OU12" s="84"/>
      <c r="OV12" s="84"/>
      <c r="OW12" s="84"/>
      <c r="OX12" s="84"/>
      <c r="OY12" s="84"/>
      <c r="OZ12" s="84"/>
      <c r="PA12" s="84"/>
      <c r="PB12" s="84"/>
      <c r="PC12" s="84"/>
      <c r="PD12" s="84"/>
      <c r="PE12" s="84"/>
      <c r="PF12" s="84"/>
      <c r="PG12" s="84"/>
      <c r="PH12" s="84"/>
      <c r="PI12" s="84"/>
      <c r="PJ12" s="84"/>
      <c r="PK12" s="84"/>
      <c r="PL12" s="84"/>
      <c r="PM12" s="84"/>
      <c r="PN12" s="84"/>
      <c r="PO12" s="84"/>
      <c r="PP12" s="84"/>
      <c r="PQ12" s="84"/>
      <c r="PR12" s="84"/>
      <c r="PS12" s="84"/>
      <c r="PT12" s="84"/>
      <c r="PU12" s="84"/>
      <c r="PV12" s="84"/>
      <c r="PW12" s="84"/>
      <c r="PX12" s="84"/>
      <c r="PY12" s="84"/>
      <c r="PZ12" s="84"/>
      <c r="QA12" s="84"/>
      <c r="QB12" s="84"/>
      <c r="QC12" s="84"/>
      <c r="QD12" s="84"/>
      <c r="QE12" s="84"/>
      <c r="QF12" s="84"/>
      <c r="QG12" s="84"/>
      <c r="QH12" s="84"/>
      <c r="QI12" s="84"/>
      <c r="QJ12" s="84"/>
      <c r="QK12" s="84"/>
      <c r="QL12" s="84"/>
      <c r="QM12" s="84"/>
      <c r="QN12" s="84"/>
      <c r="QO12" s="84"/>
      <c r="QP12" s="84"/>
      <c r="QQ12" s="84"/>
      <c r="QR12" s="84"/>
      <c r="QS12" s="84"/>
      <c r="QT12" s="84"/>
      <c r="QU12" s="84"/>
      <c r="QV12" s="84"/>
      <c r="QW12" s="84"/>
      <c r="QX12" s="84"/>
      <c r="QY12" s="84"/>
      <c r="QZ12" s="84"/>
      <c r="RA12" s="84"/>
      <c r="RB12" s="84"/>
      <c r="RC12" s="84"/>
      <c r="RD12" s="84"/>
      <c r="RE12" s="84"/>
      <c r="RF12" s="84"/>
      <c r="RG12" s="84"/>
      <c r="RH12" s="84"/>
      <c r="RI12" s="84"/>
      <c r="RJ12" s="84"/>
      <c r="RK12" s="84"/>
      <c r="RL12" s="84"/>
      <c r="RM12" s="84"/>
      <c r="RN12" s="84"/>
      <c r="RO12" s="84"/>
      <c r="RP12" s="84"/>
      <c r="RQ12" s="84"/>
      <c r="RR12" s="84"/>
      <c r="RS12" s="84"/>
      <c r="RT12" s="84"/>
      <c r="RU12" s="84"/>
      <c r="RV12" s="84"/>
      <c r="RW12" s="84"/>
      <c r="RX12" s="84"/>
      <c r="RY12" s="84"/>
      <c r="RZ12" s="84"/>
      <c r="SA12" s="84"/>
      <c r="SB12" s="84"/>
      <c r="SC12" s="84"/>
      <c r="SD12" s="84"/>
      <c r="SE12" s="84"/>
      <c r="SF12" s="84"/>
      <c r="SG12" s="84"/>
      <c r="SH12" s="84"/>
      <c r="SI12" s="84"/>
      <c r="SJ12" s="84"/>
      <c r="SK12" s="84"/>
      <c r="SL12" s="84"/>
      <c r="SM12" s="84"/>
      <c r="SN12" s="84"/>
      <c r="SO12" s="84"/>
      <c r="SP12" s="84"/>
      <c r="SQ12" s="84"/>
      <c r="SR12" s="84"/>
      <c r="SS12" s="84"/>
      <c r="ST12" s="84"/>
      <c r="SU12" s="84"/>
      <c r="SV12" s="84"/>
      <c r="SW12" s="84"/>
      <c r="SX12" s="84"/>
      <c r="SY12" s="84"/>
      <c r="SZ12" s="84"/>
      <c r="TA12" s="84"/>
      <c r="TB12" s="84"/>
      <c r="TC12" s="84"/>
      <c r="TD12" s="84"/>
      <c r="TE12" s="84"/>
      <c r="TF12" s="84"/>
      <c r="TG12" s="84"/>
      <c r="TH12" s="84"/>
      <c r="TI12" s="84"/>
      <c r="TJ12" s="84"/>
      <c r="TK12" s="84"/>
      <c r="TL12" s="84"/>
      <c r="TM12" s="84"/>
      <c r="TN12" s="84"/>
      <c r="TO12" s="84"/>
      <c r="TP12" s="84"/>
      <c r="TQ12" s="84"/>
      <c r="TR12" s="84"/>
      <c r="TS12" s="84"/>
      <c r="TT12" s="84"/>
      <c r="TU12" s="84"/>
      <c r="TV12" s="84"/>
      <c r="TW12" s="84"/>
      <c r="TX12" s="84"/>
      <c r="TY12" s="84"/>
      <c r="TZ12" s="84"/>
      <c r="UA12" s="84"/>
      <c r="UB12" s="84"/>
      <c r="UC12" s="84"/>
      <c r="UD12" s="84"/>
      <c r="UE12" s="84"/>
      <c r="UF12" s="84"/>
      <c r="UG12" s="84"/>
      <c r="UH12" s="84"/>
      <c r="UI12" s="84"/>
      <c r="UJ12" s="84"/>
      <c r="UK12" s="84"/>
      <c r="UL12" s="84"/>
      <c r="UM12" s="84"/>
      <c r="UN12" s="84"/>
      <c r="UO12" s="84"/>
      <c r="UP12" s="84"/>
      <c r="UQ12" s="84"/>
      <c r="UR12" s="84"/>
      <c r="US12" s="84"/>
      <c r="UT12" s="84"/>
      <c r="UU12" s="84"/>
      <c r="UV12" s="84"/>
      <c r="UW12" s="84"/>
      <c r="UX12" s="84"/>
      <c r="UY12" s="84"/>
      <c r="UZ12" s="84"/>
      <c r="VA12" s="84"/>
      <c r="VB12" s="84"/>
      <c r="VC12" s="84"/>
      <c r="VD12" s="84"/>
      <c r="VE12" s="84"/>
      <c r="VF12" s="84"/>
      <c r="VG12" s="84"/>
      <c r="VH12" s="84"/>
      <c r="VI12" s="84"/>
      <c r="VJ12" s="84"/>
      <c r="VK12" s="84"/>
      <c r="VL12" s="84"/>
      <c r="VM12" s="84"/>
      <c r="VN12" s="84"/>
      <c r="VO12" s="84"/>
      <c r="VP12" s="84"/>
      <c r="VQ12" s="84"/>
      <c r="VR12" s="84"/>
      <c r="VS12" s="84"/>
      <c r="VT12" s="84"/>
      <c r="VU12" s="84"/>
      <c r="VV12" s="84"/>
      <c r="VW12" s="84"/>
      <c r="VX12" s="84"/>
      <c r="VY12" s="84"/>
      <c r="VZ12" s="84"/>
      <c r="WA12" s="84"/>
      <c r="WB12" s="84"/>
      <c r="WC12" s="84"/>
      <c r="WD12" s="84"/>
      <c r="WE12" s="84"/>
      <c r="WF12" s="84"/>
      <c r="WG12" s="84"/>
      <c r="WH12" s="84"/>
      <c r="WI12" s="84"/>
      <c r="WJ12" s="84"/>
      <c r="WK12" s="84"/>
      <c r="WL12" s="84"/>
      <c r="WM12" s="84"/>
      <c r="WN12" s="84"/>
      <c r="WO12" s="84"/>
      <c r="WP12" s="84"/>
      <c r="WQ12" s="84"/>
      <c r="WR12" s="84"/>
      <c r="WS12" s="84"/>
      <c r="WT12" s="84"/>
      <c r="WU12" s="84"/>
      <c r="WV12" s="84"/>
      <c r="WW12" s="84"/>
      <c r="WX12" s="84"/>
      <c r="WY12" s="84"/>
      <c r="WZ12" s="84"/>
      <c r="XA12" s="84"/>
      <c r="XB12" s="84"/>
      <c r="XC12" s="84"/>
      <c r="XD12" s="84"/>
      <c r="XE12" s="84"/>
      <c r="XF12" s="84"/>
      <c r="XG12" s="84"/>
      <c r="XH12" s="84"/>
      <c r="XI12" s="84"/>
      <c r="XJ12" s="84"/>
      <c r="XK12" s="84"/>
      <c r="XL12" s="84"/>
      <c r="XM12" s="84"/>
      <c r="XN12" s="84"/>
      <c r="XO12" s="84"/>
      <c r="XP12" s="84"/>
      <c r="XQ12" s="84"/>
      <c r="XR12" s="84"/>
      <c r="XS12" s="84"/>
      <c r="XT12" s="84"/>
      <c r="XU12" s="84"/>
      <c r="XV12" s="84"/>
      <c r="XW12" s="84"/>
      <c r="XX12" s="84"/>
      <c r="XY12" s="84"/>
      <c r="XZ12" s="84"/>
      <c r="YA12" s="84"/>
      <c r="YB12" s="84"/>
      <c r="YC12" s="84"/>
      <c r="YD12" s="84"/>
      <c r="YE12" s="84"/>
      <c r="YF12" s="84"/>
      <c r="YG12" s="84"/>
      <c r="YH12" s="84"/>
      <c r="YI12" s="84"/>
      <c r="YJ12" s="84"/>
      <c r="YK12" s="84"/>
      <c r="YL12" s="84"/>
      <c r="YM12" s="84"/>
      <c r="YN12" s="84"/>
      <c r="YO12" s="84"/>
      <c r="YP12" s="84"/>
      <c r="YQ12" s="84"/>
      <c r="YR12" s="84"/>
      <c r="YS12" s="84"/>
      <c r="YT12" s="84"/>
      <c r="YU12" s="84"/>
      <c r="YV12" s="84"/>
      <c r="YW12" s="84"/>
      <c r="YX12" s="84"/>
      <c r="YY12" s="84"/>
      <c r="YZ12" s="84"/>
      <c r="ZA12" s="84"/>
      <c r="ZB12" s="84"/>
      <c r="ZC12" s="84"/>
      <c r="ZD12" s="84"/>
      <c r="ZE12" s="84"/>
      <c r="ZF12" s="84"/>
      <c r="ZG12" s="84"/>
      <c r="ZH12" s="84"/>
      <c r="ZI12" s="84"/>
      <c r="ZJ12" s="84"/>
      <c r="ZK12" s="84"/>
      <c r="ZL12" s="84"/>
      <c r="ZM12" s="84"/>
      <c r="ZN12" s="84"/>
      <c r="ZO12" s="84"/>
      <c r="ZP12" s="84"/>
      <c r="ZQ12" s="84"/>
      <c r="ZR12" s="84"/>
      <c r="ZS12" s="84"/>
      <c r="ZT12" s="84"/>
      <c r="ZU12" s="84"/>
      <c r="ZV12" s="84"/>
      <c r="ZW12" s="84"/>
      <c r="ZX12" s="84"/>
      <c r="ZY12" s="84"/>
      <c r="ZZ12" s="84"/>
      <c r="AAA12" s="84"/>
      <c r="AAB12" s="84"/>
      <c r="AAC12" s="84"/>
      <c r="AAD12" s="84"/>
      <c r="AAE12" s="84"/>
      <c r="AAF12" s="84"/>
      <c r="AAG12" s="84"/>
      <c r="AAH12" s="84"/>
      <c r="AAI12" s="84"/>
      <c r="AAJ12" s="84"/>
      <c r="AAK12" s="84"/>
      <c r="AAL12" s="84"/>
      <c r="AAM12" s="84"/>
      <c r="AAN12" s="84"/>
      <c r="AAO12" s="84"/>
      <c r="AAP12" s="84"/>
      <c r="AAQ12" s="84"/>
      <c r="AAR12" s="84"/>
      <c r="AAS12" s="84"/>
      <c r="AAT12" s="84"/>
      <c r="AAU12" s="84"/>
      <c r="AAV12" s="84"/>
      <c r="AAW12" s="84"/>
      <c r="AAX12" s="84"/>
      <c r="AAY12" s="84"/>
      <c r="AAZ12" s="84"/>
      <c r="ABA12" s="84"/>
      <c r="ABB12" s="84"/>
      <c r="ABC12" s="84"/>
      <c r="ABD12" s="84"/>
      <c r="ABE12" s="84"/>
      <c r="ABF12" s="84"/>
      <c r="ABG12" s="84"/>
      <c r="ABH12" s="84"/>
      <c r="ABI12" s="84"/>
      <c r="ABJ12" s="84"/>
      <c r="ABK12" s="84"/>
      <c r="ABL12" s="84"/>
      <c r="ABM12" s="84"/>
      <c r="ABN12" s="84"/>
      <c r="ABO12" s="84"/>
      <c r="ABP12" s="84"/>
      <c r="ABQ12" s="84"/>
      <c r="ABR12" s="84"/>
      <c r="ABS12" s="84"/>
      <c r="ABT12" s="84"/>
      <c r="ABU12" s="84"/>
      <c r="ABV12" s="84"/>
      <c r="ABW12" s="84"/>
      <c r="ABX12" s="84"/>
      <c r="ABY12" s="84"/>
      <c r="ABZ12" s="84"/>
      <c r="ACA12" s="84"/>
      <c r="ACB12" s="84"/>
      <c r="ACC12" s="84"/>
      <c r="ACD12" s="84"/>
      <c r="ACE12" s="84"/>
      <c r="ACF12" s="84"/>
      <c r="ACG12" s="84"/>
      <c r="ACH12" s="84"/>
      <c r="ACI12" s="84"/>
      <c r="ACJ12" s="84"/>
      <c r="ACK12" s="84"/>
      <c r="ACL12" s="84"/>
      <c r="ACM12" s="84"/>
      <c r="ACN12" s="84"/>
      <c r="ACO12" s="84"/>
      <c r="ACP12" s="84"/>
      <c r="ACQ12" s="84"/>
      <c r="ACR12" s="84"/>
      <c r="ACS12" s="84"/>
      <c r="ACT12" s="84"/>
      <c r="ACU12" s="84"/>
      <c r="ACV12" s="84"/>
      <c r="ACW12" s="84"/>
      <c r="ACX12" s="84"/>
      <c r="ACY12" s="84"/>
      <c r="ACZ12" s="84"/>
      <c r="ADA12" s="84"/>
      <c r="ADB12" s="84"/>
      <c r="ADC12" s="84"/>
      <c r="ADD12" s="84"/>
      <c r="ADE12" s="84"/>
      <c r="ADF12" s="84"/>
      <c r="ADG12" s="84"/>
      <c r="ADH12" s="84"/>
      <c r="ADI12" s="84"/>
      <c r="ADJ12" s="84"/>
      <c r="ADK12" s="84"/>
      <c r="ADL12" s="84"/>
      <c r="ADM12" s="84"/>
      <c r="ADN12" s="84"/>
      <c r="ADO12" s="84"/>
      <c r="ADP12" s="84"/>
      <c r="ADQ12" s="84"/>
      <c r="ADR12" s="84"/>
      <c r="ADS12" s="84"/>
      <c r="ADT12" s="84"/>
      <c r="ADU12" s="84"/>
      <c r="ADV12" s="84"/>
      <c r="ADW12" s="84"/>
      <c r="ADX12" s="84"/>
      <c r="ADY12" s="84"/>
      <c r="ADZ12" s="84"/>
      <c r="AEA12" s="84"/>
      <c r="AEB12" s="84"/>
      <c r="AEC12" s="84"/>
      <c r="AED12" s="84"/>
      <c r="AEE12" s="84"/>
      <c r="AEF12" s="84"/>
      <c r="AEG12" s="84"/>
      <c r="AEH12" s="84"/>
      <c r="AEI12" s="84"/>
      <c r="AEJ12" s="84"/>
      <c r="AEK12" s="84"/>
      <c r="AEL12" s="84"/>
      <c r="AEM12" s="84"/>
      <c r="AEN12" s="84"/>
      <c r="AEO12" s="84"/>
      <c r="AEP12" s="84"/>
      <c r="AEQ12" s="84"/>
      <c r="AER12" s="84"/>
      <c r="AES12" s="84"/>
      <c r="AET12" s="84"/>
      <c r="AEU12" s="84"/>
      <c r="AEV12" s="84"/>
      <c r="AEW12" s="84"/>
      <c r="AEX12" s="84"/>
      <c r="AEY12" s="84"/>
      <c r="AEZ12" s="84"/>
      <c r="AFA12" s="84"/>
      <c r="AFB12" s="84"/>
      <c r="AFC12" s="84"/>
      <c r="AFD12" s="84"/>
      <c r="AFE12" s="84"/>
      <c r="AFF12" s="84"/>
      <c r="AFG12" s="84"/>
      <c r="AFH12" s="84"/>
      <c r="AFI12" s="84"/>
      <c r="AFJ12" s="84"/>
      <c r="AFK12" s="84"/>
      <c r="AFL12" s="84"/>
      <c r="AFM12" s="84"/>
      <c r="AFN12" s="84"/>
      <c r="AFO12" s="84"/>
      <c r="AFP12" s="84"/>
      <c r="AFQ12" s="84"/>
      <c r="AFR12" s="84"/>
      <c r="AFS12" s="84"/>
      <c r="AFT12" s="84"/>
      <c r="AFU12" s="84"/>
      <c r="AFV12" s="84"/>
      <c r="AFW12" s="84"/>
      <c r="AFX12" s="84"/>
      <c r="AFY12" s="84"/>
      <c r="AFZ12" s="84"/>
      <c r="AGA12" s="84"/>
      <c r="AGB12" s="84"/>
      <c r="AGC12" s="84"/>
      <c r="AGD12" s="84"/>
      <c r="AGE12" s="84"/>
      <c r="AGF12" s="84"/>
      <c r="AGG12" s="84"/>
      <c r="AGH12" s="84"/>
      <c r="AGI12" s="84"/>
      <c r="AGJ12" s="84"/>
      <c r="AGK12" s="84"/>
      <c r="AGL12" s="84"/>
      <c r="AGM12" s="84"/>
      <c r="AGN12" s="84"/>
      <c r="AGO12" s="84"/>
      <c r="AGP12" s="84"/>
      <c r="AGQ12" s="84"/>
      <c r="AGR12" s="84"/>
      <c r="AGS12" s="84"/>
      <c r="AGT12" s="84"/>
      <c r="AGU12" s="84"/>
      <c r="AGV12" s="84"/>
      <c r="AGW12" s="84"/>
      <c r="AGX12" s="84"/>
      <c r="AGY12" s="84"/>
      <c r="AGZ12" s="84"/>
      <c r="AHA12" s="84"/>
      <c r="AHB12" s="84"/>
      <c r="AHC12" s="84"/>
      <c r="AHD12" s="84"/>
      <c r="AHE12" s="84"/>
      <c r="AHF12" s="84"/>
      <c r="AHG12" s="84"/>
      <c r="AHH12" s="84"/>
      <c r="AHI12" s="84"/>
      <c r="AHJ12" s="84"/>
      <c r="AHK12" s="84"/>
      <c r="AHL12" s="84"/>
      <c r="AHM12" s="84"/>
      <c r="AHN12" s="84"/>
      <c r="AHO12" s="84"/>
      <c r="AHP12" s="84"/>
      <c r="AHQ12" s="84"/>
      <c r="AHR12" s="84"/>
      <c r="AHS12" s="84"/>
      <c r="AHT12" s="84"/>
      <c r="AHU12" s="84"/>
      <c r="AHV12" s="84"/>
      <c r="AHW12" s="84"/>
      <c r="AHX12" s="84"/>
      <c r="AHY12" s="84"/>
      <c r="AHZ12" s="84"/>
      <c r="AIA12" s="84"/>
      <c r="AIB12" s="84"/>
      <c r="AIC12" s="84"/>
      <c r="AID12" s="84"/>
      <c r="AIE12" s="84"/>
      <c r="AIF12" s="84"/>
      <c r="AIG12" s="84"/>
      <c r="AIH12" s="84"/>
      <c r="AII12" s="84"/>
      <c r="AIJ12" s="84"/>
      <c r="AIK12" s="84"/>
      <c r="AIL12" s="84"/>
      <c r="AIM12" s="84"/>
      <c r="AIN12" s="84"/>
      <c r="AIO12" s="84"/>
      <c r="AIP12" s="84"/>
      <c r="AIQ12" s="84"/>
      <c r="AIR12" s="84"/>
      <c r="AIS12" s="84"/>
      <c r="AIT12" s="84"/>
      <c r="AIU12" s="84"/>
      <c r="AIV12" s="84"/>
      <c r="AIW12" s="84"/>
      <c r="AIX12" s="84"/>
      <c r="AIY12" s="84"/>
      <c r="AIZ12" s="84"/>
      <c r="AJA12" s="84"/>
      <c r="AJB12" s="84"/>
      <c r="AJC12" s="84"/>
      <c r="AJD12" s="84"/>
      <c r="AJE12" s="84"/>
      <c r="AJF12" s="84"/>
      <c r="AJG12" s="84"/>
      <c r="AJH12" s="84"/>
      <c r="AJI12" s="84"/>
      <c r="AJJ12" s="84"/>
      <c r="AJK12" s="84"/>
      <c r="AJL12" s="84"/>
      <c r="AJM12" s="84"/>
      <c r="AJN12" s="84"/>
      <c r="AJO12" s="84"/>
      <c r="AJP12" s="84"/>
      <c r="AJQ12" s="84"/>
      <c r="AJR12" s="84"/>
      <c r="AJS12" s="84"/>
      <c r="AJT12" s="84"/>
      <c r="AJU12" s="84"/>
      <c r="AJV12" s="84"/>
      <c r="AJW12" s="84"/>
      <c r="AJX12" s="84"/>
      <c r="AJY12" s="84"/>
      <c r="AJZ12" s="84"/>
      <c r="AKA12" s="84"/>
      <c r="AKB12" s="84"/>
      <c r="AKC12" s="84"/>
      <c r="AKD12" s="84"/>
      <c r="AKE12" s="84"/>
      <c r="AKF12" s="84"/>
      <c r="AKG12" s="84"/>
      <c r="AKH12" s="84"/>
      <c r="AKI12" s="84"/>
      <c r="AKJ12" s="84"/>
      <c r="AKK12" s="84"/>
      <c r="AKL12" s="84"/>
      <c r="AKM12" s="84"/>
      <c r="AKN12" s="84"/>
      <c r="AKO12" s="84"/>
      <c r="AKP12" s="84"/>
      <c r="AKQ12" s="84"/>
      <c r="AKR12" s="84"/>
      <c r="AKS12" s="84"/>
      <c r="AKT12" s="84"/>
      <c r="AKU12" s="84"/>
      <c r="AKV12" s="84"/>
      <c r="AKW12" s="84"/>
      <c r="AKX12" s="84"/>
      <c r="AKY12" s="84"/>
      <c r="AKZ12" s="84"/>
      <c r="ALA12" s="84"/>
      <c r="ALB12" s="84"/>
      <c r="ALC12" s="84"/>
      <c r="ALD12" s="84"/>
      <c r="ALE12" s="84"/>
      <c r="ALF12" s="84"/>
      <c r="ALG12" s="84"/>
      <c r="ALH12" s="84"/>
      <c r="ALI12" s="84"/>
      <c r="ALJ12" s="84"/>
      <c r="ALK12" s="84"/>
      <c r="ALL12" s="84"/>
      <c r="ALM12" s="84"/>
      <c r="ALN12" s="84"/>
      <c r="ALO12" s="84"/>
      <c r="ALP12" s="84"/>
      <c r="ALQ12" s="84"/>
      <c r="ALR12" s="84"/>
      <c r="ALS12" s="84"/>
      <c r="ALT12" s="84"/>
      <c r="ALU12" s="84"/>
      <c r="ALV12" s="84"/>
      <c r="ALW12" s="84"/>
      <c r="ALX12" s="84"/>
      <c r="ALY12" s="84"/>
      <c r="ALZ12" s="84"/>
      <c r="AMA12" s="84"/>
      <c r="AMB12" s="84"/>
      <c r="AMC12" s="84"/>
      <c r="AMD12" s="84"/>
      <c r="AME12" s="84"/>
      <c r="AMF12" s="84"/>
      <c r="AMG12" s="84"/>
      <c r="AMH12" s="84"/>
      <c r="AMI12" s="84"/>
      <c r="AMJ12" s="84"/>
      <c r="AMK12" s="84"/>
      <c r="AML12" s="84"/>
      <c r="AMM12" s="84"/>
      <c r="AMN12" s="84"/>
      <c r="AMO12" s="84"/>
      <c r="AMP12" s="84"/>
      <c r="AMQ12" s="84"/>
      <c r="AMR12" s="84"/>
      <c r="AMS12" s="84"/>
      <c r="AMT12" s="84"/>
      <c r="AMU12" s="84"/>
      <c r="AMV12" s="84"/>
      <c r="AMW12" s="84"/>
      <c r="AMX12" s="84"/>
      <c r="AMY12" s="84"/>
      <c r="AMZ12" s="84"/>
      <c r="ANA12" s="84"/>
      <c r="ANB12" s="84"/>
      <c r="ANC12" s="84"/>
      <c r="AND12" s="84"/>
      <c r="ANE12" s="84"/>
      <c r="ANF12" s="84"/>
      <c r="ANG12" s="84"/>
      <c r="ANH12" s="84"/>
      <c r="ANI12" s="84"/>
      <c r="ANJ12" s="84"/>
      <c r="ANK12" s="84"/>
      <c r="ANL12" s="84"/>
      <c r="ANM12" s="84"/>
      <c r="ANN12" s="84"/>
      <c r="ANO12" s="84"/>
      <c r="ANP12" s="84"/>
      <c r="ANQ12" s="84"/>
      <c r="ANR12" s="84"/>
      <c r="ANS12" s="84"/>
      <c r="ANT12" s="84"/>
      <c r="ANU12" s="84"/>
      <c r="ANV12" s="84"/>
      <c r="ANW12" s="84"/>
      <c r="ANX12" s="84"/>
      <c r="ANY12" s="84"/>
      <c r="ANZ12" s="84"/>
      <c r="AOA12" s="84"/>
      <c r="AOB12" s="84"/>
      <c r="AOC12" s="84"/>
      <c r="AOD12" s="84"/>
      <c r="AOE12" s="84"/>
      <c r="AOF12" s="84"/>
      <c r="AOG12" s="84"/>
      <c r="AOH12" s="84"/>
      <c r="AOI12" s="84"/>
      <c r="AOJ12" s="84"/>
      <c r="AOK12" s="84"/>
      <c r="AOL12" s="84"/>
      <c r="AOM12" s="84"/>
      <c r="AON12" s="84"/>
      <c r="AOO12" s="84"/>
      <c r="AOP12" s="84"/>
      <c r="AOQ12" s="84"/>
      <c r="AOR12" s="84"/>
      <c r="AOS12" s="84"/>
      <c r="AOT12" s="84"/>
      <c r="AOU12" s="84"/>
      <c r="AOV12" s="84"/>
      <c r="AOW12" s="84"/>
      <c r="AOX12" s="84"/>
      <c r="AOY12" s="84"/>
      <c r="AOZ12" s="84"/>
      <c r="APA12" s="84"/>
      <c r="APB12" s="84"/>
      <c r="APC12" s="84"/>
      <c r="APD12" s="84"/>
      <c r="APE12" s="84"/>
      <c r="APF12" s="84"/>
      <c r="APG12" s="84"/>
      <c r="APH12" s="84"/>
      <c r="API12" s="84"/>
      <c r="APJ12" s="84"/>
      <c r="APK12" s="84"/>
      <c r="APL12" s="84"/>
      <c r="APM12" s="84"/>
      <c r="APN12" s="84"/>
      <c r="APO12" s="84"/>
      <c r="APP12" s="84"/>
      <c r="APQ12" s="84"/>
      <c r="APR12" s="84"/>
      <c r="APS12" s="84"/>
      <c r="APT12" s="84"/>
      <c r="APU12" s="84"/>
      <c r="APV12" s="84"/>
      <c r="APW12" s="84"/>
      <c r="APX12" s="84"/>
      <c r="APY12" s="84"/>
      <c r="APZ12" s="84"/>
      <c r="AQA12" s="84"/>
      <c r="AQB12" s="84"/>
      <c r="AQC12" s="84"/>
      <c r="AQD12" s="84"/>
      <c r="AQE12" s="84"/>
      <c r="AQF12" s="84"/>
      <c r="AQG12" s="84"/>
      <c r="AQH12" s="84"/>
      <c r="AQI12" s="84"/>
      <c r="AQJ12" s="84"/>
      <c r="AQK12" s="84"/>
      <c r="AQL12" s="84"/>
      <c r="AQM12" s="84"/>
      <c r="AQN12" s="84"/>
      <c r="AQO12" s="84"/>
      <c r="AQP12" s="84"/>
      <c r="AQQ12" s="84"/>
      <c r="AQR12" s="84"/>
      <c r="AQS12" s="84"/>
      <c r="AQT12" s="84"/>
      <c r="AQU12" s="84"/>
      <c r="AQV12" s="84"/>
      <c r="AQW12" s="84"/>
      <c r="AQX12" s="84"/>
      <c r="AQY12" s="84"/>
      <c r="AQZ12" s="84"/>
      <c r="ARA12" s="84"/>
      <c r="ARB12" s="84"/>
      <c r="ARC12" s="84"/>
      <c r="ARD12" s="84"/>
      <c r="ARE12" s="84"/>
      <c r="ARF12" s="84"/>
      <c r="ARG12" s="84"/>
      <c r="ARH12" s="84"/>
      <c r="ARI12" s="84"/>
      <c r="ARJ12" s="84"/>
      <c r="ARK12" s="84"/>
      <c r="ARL12" s="84"/>
      <c r="ARM12" s="84"/>
      <c r="ARN12" s="84"/>
      <c r="ARO12" s="84"/>
      <c r="ARP12" s="84"/>
      <c r="ARQ12" s="84"/>
      <c r="ARR12" s="84"/>
      <c r="ARS12" s="84"/>
      <c r="ART12" s="84"/>
      <c r="ARU12" s="84"/>
      <c r="ARV12" s="84"/>
      <c r="ARW12" s="84"/>
      <c r="ARX12" s="84"/>
      <c r="ARY12" s="84"/>
      <c r="ARZ12" s="84"/>
      <c r="ASA12" s="84"/>
      <c r="ASB12" s="84"/>
      <c r="ASC12" s="84"/>
      <c r="ASD12" s="84"/>
      <c r="ASE12" s="84"/>
      <c r="ASF12" s="84"/>
      <c r="ASG12" s="84"/>
      <c r="ASH12" s="84"/>
      <c r="ASI12" s="84"/>
      <c r="ASJ12" s="84"/>
      <c r="ASK12" s="84"/>
      <c r="ASL12" s="84"/>
      <c r="ASM12" s="84"/>
      <c r="ASN12" s="84"/>
      <c r="ASO12" s="84"/>
      <c r="ASP12" s="84"/>
      <c r="ASQ12" s="84"/>
      <c r="ASR12" s="84"/>
      <c r="ASS12" s="84"/>
      <c r="AST12" s="84"/>
      <c r="ASU12" s="84"/>
      <c r="ASV12" s="84"/>
      <c r="ASW12" s="84"/>
      <c r="ASX12" s="84"/>
      <c r="ASY12" s="84"/>
      <c r="ASZ12" s="84"/>
      <c r="ATA12" s="84"/>
      <c r="ATB12" s="84"/>
      <c r="ATC12" s="84"/>
      <c r="ATD12" s="84"/>
      <c r="ATE12" s="84"/>
      <c r="ATF12" s="84"/>
      <c r="ATG12" s="84"/>
      <c r="ATH12" s="84"/>
      <c r="ATI12" s="84"/>
      <c r="ATJ12" s="84"/>
      <c r="ATK12" s="84"/>
      <c r="ATL12" s="84"/>
      <c r="ATM12" s="84"/>
      <c r="ATN12" s="84"/>
      <c r="ATO12" s="84"/>
      <c r="ATP12" s="84"/>
      <c r="ATQ12" s="84"/>
      <c r="ATR12" s="84"/>
      <c r="ATS12" s="84"/>
      <c r="ATT12" s="84"/>
      <c r="ATU12" s="84"/>
      <c r="ATV12" s="84"/>
      <c r="ATW12" s="84"/>
      <c r="ATX12" s="84"/>
      <c r="ATY12" s="84"/>
      <c r="ATZ12" s="84"/>
      <c r="AUA12" s="84"/>
      <c r="AUB12" s="84"/>
      <c r="AUC12" s="84"/>
      <c r="AUD12" s="84"/>
      <c r="AUE12" s="84"/>
      <c r="AUF12" s="84"/>
      <c r="AUG12" s="84"/>
      <c r="AUH12" s="84"/>
      <c r="AUI12" s="84"/>
      <c r="AUJ12" s="84"/>
      <c r="AUK12" s="84"/>
      <c r="AUL12" s="84"/>
      <c r="AUM12" s="84"/>
      <c r="AUN12" s="84"/>
      <c r="AUO12" s="84"/>
      <c r="AUP12" s="84"/>
      <c r="AUQ12" s="84"/>
      <c r="AUR12" s="84"/>
      <c r="AUS12" s="84"/>
      <c r="AUT12" s="84"/>
      <c r="AUU12" s="84"/>
      <c r="AUV12" s="84"/>
      <c r="AUW12" s="84"/>
      <c r="AUX12" s="84"/>
      <c r="AUY12" s="84"/>
      <c r="AUZ12" s="84"/>
      <c r="AVA12" s="84"/>
      <c r="AVB12" s="84"/>
      <c r="AVC12" s="84"/>
      <c r="AVD12" s="84"/>
      <c r="AVE12" s="84"/>
      <c r="AVF12" s="84"/>
      <c r="AVG12" s="84"/>
      <c r="AVH12" s="84"/>
      <c r="AVI12" s="84"/>
      <c r="AVJ12" s="84"/>
      <c r="AVK12" s="84"/>
      <c r="AVL12" s="84"/>
      <c r="AVM12" s="84"/>
      <c r="AVN12" s="84"/>
      <c r="AVO12" s="84"/>
      <c r="AVP12" s="84"/>
      <c r="AVQ12" s="84"/>
      <c r="AVR12" s="84"/>
      <c r="AVS12" s="84"/>
      <c r="AVT12" s="84"/>
      <c r="AVU12" s="84"/>
      <c r="AVV12" s="84"/>
      <c r="AVW12" s="84"/>
      <c r="AVX12" s="84"/>
      <c r="AVY12" s="84"/>
      <c r="AVZ12" s="84"/>
      <c r="AWA12" s="84"/>
      <c r="AWB12" s="84"/>
      <c r="AWC12" s="84"/>
      <c r="AWD12" s="84"/>
      <c r="AWE12" s="84"/>
      <c r="AWF12" s="84"/>
      <c r="AWG12" s="84"/>
      <c r="AWH12" s="84"/>
      <c r="AWI12" s="84"/>
      <c r="AWJ12" s="84"/>
      <c r="AWK12" s="84"/>
      <c r="AWL12" s="84"/>
      <c r="AWM12" s="84"/>
      <c r="AWN12" s="84"/>
      <c r="AWO12" s="84"/>
      <c r="AWP12" s="84"/>
      <c r="AWQ12" s="84"/>
      <c r="AWR12" s="84"/>
      <c r="AWS12" s="84"/>
      <c r="AWT12" s="84"/>
      <c r="AWU12" s="84"/>
      <c r="AWV12" s="84"/>
      <c r="AWW12" s="84"/>
      <c r="AWX12" s="84"/>
      <c r="AWY12" s="84"/>
      <c r="AWZ12" s="84"/>
      <c r="AXA12" s="84"/>
      <c r="AXB12" s="84"/>
      <c r="AXC12" s="84"/>
      <c r="AXD12" s="84"/>
      <c r="AXE12" s="84"/>
      <c r="AXF12" s="84"/>
      <c r="AXG12" s="84"/>
      <c r="AXH12" s="84"/>
      <c r="AXI12" s="84"/>
      <c r="AXJ12" s="84"/>
      <c r="AXK12" s="84"/>
      <c r="AXL12" s="84"/>
      <c r="AXM12" s="84"/>
      <c r="AXN12" s="84"/>
      <c r="AXO12" s="84"/>
      <c r="AXP12" s="84"/>
      <c r="AXQ12" s="84"/>
      <c r="AXR12" s="84"/>
      <c r="AXS12" s="84"/>
      <c r="AXT12" s="84"/>
      <c r="AXU12" s="84"/>
      <c r="AXV12" s="84"/>
      <c r="AXW12" s="84"/>
      <c r="AXX12" s="84"/>
      <c r="AXY12" s="84"/>
      <c r="AXZ12" s="84"/>
      <c r="AYA12" s="84"/>
      <c r="AYB12" s="84"/>
      <c r="AYC12" s="84"/>
      <c r="AYD12" s="84"/>
      <c r="AYE12" s="84"/>
      <c r="AYF12" s="84"/>
      <c r="AYG12" s="84"/>
      <c r="AYH12" s="84"/>
      <c r="AYI12" s="84"/>
      <c r="AYJ12" s="84"/>
      <c r="AYK12" s="84"/>
      <c r="AYL12" s="84"/>
      <c r="AYM12" s="84"/>
      <c r="AYN12" s="84"/>
      <c r="AYO12" s="84"/>
      <c r="AYP12" s="84"/>
      <c r="AYQ12" s="84"/>
      <c r="AYR12" s="84"/>
      <c r="AYS12" s="84"/>
      <c r="AYT12" s="84"/>
      <c r="AYU12" s="84"/>
      <c r="AYV12" s="84"/>
      <c r="AYW12" s="84"/>
      <c r="AYX12" s="84"/>
      <c r="AYY12" s="84"/>
      <c r="AYZ12" s="84"/>
      <c r="AZA12" s="84"/>
      <c r="AZB12" s="84"/>
      <c r="AZC12" s="84"/>
      <c r="AZD12" s="84"/>
      <c r="AZE12" s="84"/>
      <c r="AZF12" s="84"/>
      <c r="AZG12" s="84"/>
      <c r="AZH12" s="84"/>
      <c r="AZI12" s="84"/>
      <c r="AZJ12" s="84"/>
      <c r="AZK12" s="84"/>
      <c r="AZL12" s="84"/>
      <c r="AZM12" s="84"/>
      <c r="AZN12" s="84"/>
      <c r="AZO12" s="84"/>
      <c r="AZP12" s="84"/>
      <c r="AZQ12" s="84"/>
      <c r="AZR12" s="84"/>
      <c r="AZS12" s="84"/>
      <c r="AZT12" s="84"/>
      <c r="AZU12" s="84"/>
      <c r="AZV12" s="84"/>
      <c r="AZW12" s="84"/>
      <c r="AZX12" s="84"/>
      <c r="AZY12" s="84"/>
      <c r="AZZ12" s="84"/>
      <c r="BAA12" s="84"/>
      <c r="BAB12" s="84"/>
      <c r="BAC12" s="84"/>
      <c r="BAD12" s="84"/>
      <c r="BAE12" s="84"/>
      <c r="BAF12" s="84"/>
      <c r="BAG12" s="84"/>
      <c r="BAH12" s="84"/>
      <c r="BAI12" s="84"/>
      <c r="BAJ12" s="84"/>
      <c r="BAK12" s="84"/>
      <c r="BAL12" s="84"/>
      <c r="BAM12" s="84"/>
      <c r="BAN12" s="84"/>
      <c r="BAO12" s="84"/>
      <c r="BAP12" s="84"/>
      <c r="BAQ12" s="84"/>
      <c r="BAR12" s="84"/>
      <c r="BAS12" s="84"/>
      <c r="BAT12" s="84"/>
      <c r="BAU12" s="84"/>
      <c r="BAV12" s="84"/>
      <c r="BAW12" s="84"/>
      <c r="BAX12" s="84"/>
      <c r="BAY12" s="84"/>
      <c r="BAZ12" s="84"/>
      <c r="BBA12" s="84"/>
      <c r="BBB12" s="84"/>
      <c r="BBC12" s="84"/>
      <c r="BBD12" s="84"/>
      <c r="BBE12" s="84"/>
      <c r="BBF12" s="84"/>
      <c r="BBG12" s="84"/>
      <c r="BBH12" s="84"/>
      <c r="BBI12" s="84"/>
      <c r="BBJ12" s="84"/>
      <c r="BBK12" s="84"/>
      <c r="BBL12" s="84"/>
      <c r="BBM12" s="84"/>
      <c r="BBN12" s="84"/>
      <c r="BBO12" s="84"/>
      <c r="BBP12" s="84"/>
      <c r="BBQ12" s="84"/>
      <c r="BBR12" s="84"/>
      <c r="BBS12" s="84"/>
      <c r="BBT12" s="84"/>
      <c r="BBU12" s="84"/>
      <c r="BBV12" s="84"/>
      <c r="BBW12" s="84"/>
      <c r="BBX12" s="84"/>
      <c r="BBY12" s="84"/>
      <c r="BBZ12" s="84"/>
      <c r="BCA12" s="84"/>
      <c r="BCB12" s="84"/>
      <c r="BCC12" s="84"/>
      <c r="BCD12" s="84"/>
      <c r="BCE12" s="84"/>
      <c r="BCF12" s="84"/>
      <c r="BCG12" s="84"/>
      <c r="BCH12" s="84"/>
      <c r="BCI12" s="84"/>
      <c r="BCJ12" s="84"/>
      <c r="BCK12" s="84"/>
      <c r="BCL12" s="84"/>
      <c r="BCM12" s="84"/>
      <c r="BCN12" s="84"/>
      <c r="BCO12" s="84"/>
      <c r="BCP12" s="84"/>
      <c r="BCQ12" s="84"/>
      <c r="BCR12" s="84"/>
      <c r="BCS12" s="84"/>
      <c r="BCT12" s="84"/>
      <c r="BCU12" s="84"/>
      <c r="BCV12" s="84"/>
      <c r="BCW12" s="84"/>
      <c r="BCX12" s="84"/>
      <c r="BCY12" s="84"/>
      <c r="BCZ12" s="84"/>
      <c r="BDA12" s="84"/>
      <c r="BDB12" s="84"/>
      <c r="BDC12" s="84"/>
      <c r="BDD12" s="84"/>
      <c r="BDE12" s="84"/>
      <c r="BDF12" s="84"/>
      <c r="BDG12" s="84"/>
      <c r="BDH12" s="84"/>
      <c r="BDI12" s="84"/>
      <c r="BDJ12" s="84"/>
      <c r="BDK12" s="84"/>
      <c r="BDL12" s="84"/>
      <c r="BDM12" s="84"/>
      <c r="BDN12" s="84"/>
      <c r="BDO12" s="84"/>
      <c r="BDP12" s="84"/>
      <c r="BDQ12" s="84"/>
      <c r="BDR12" s="84"/>
      <c r="BDS12" s="84"/>
      <c r="BDT12" s="84"/>
      <c r="BDU12" s="84"/>
      <c r="BDV12" s="84"/>
      <c r="BDW12" s="84"/>
      <c r="BDX12" s="84"/>
      <c r="BDY12" s="84"/>
      <c r="BDZ12" s="84"/>
      <c r="BEA12" s="84"/>
      <c r="BEB12" s="84"/>
      <c r="BEC12" s="84"/>
      <c r="BED12" s="84"/>
      <c r="BEE12" s="84"/>
      <c r="BEF12" s="84"/>
      <c r="BEG12" s="84"/>
      <c r="BEH12" s="84"/>
      <c r="BEI12" s="84"/>
      <c r="BEJ12" s="84"/>
      <c r="BEK12" s="84"/>
      <c r="BEL12" s="84"/>
      <c r="BEM12" s="84"/>
      <c r="BEN12" s="84"/>
      <c r="BEO12" s="84"/>
      <c r="BEP12" s="84"/>
      <c r="BEQ12" s="84"/>
      <c r="BER12" s="84"/>
      <c r="BES12" s="84"/>
      <c r="BET12" s="84"/>
      <c r="BEU12" s="84"/>
      <c r="BEV12" s="84"/>
      <c r="BEW12" s="84"/>
      <c r="BEX12" s="84"/>
      <c r="BEY12" s="84"/>
      <c r="BEZ12" s="84"/>
      <c r="BFA12" s="84"/>
      <c r="BFB12" s="84"/>
      <c r="BFC12" s="84"/>
      <c r="BFD12" s="84"/>
      <c r="BFE12" s="84"/>
      <c r="BFF12" s="84"/>
      <c r="BFG12" s="84"/>
      <c r="BFH12" s="84"/>
      <c r="BFI12" s="84"/>
      <c r="BFJ12" s="84"/>
      <c r="BFK12" s="84"/>
      <c r="BFL12" s="84"/>
      <c r="BFM12" s="84"/>
      <c r="BFN12" s="84"/>
      <c r="BFO12" s="84"/>
      <c r="BFP12" s="84"/>
      <c r="BFQ12" s="84"/>
      <c r="BFR12" s="84"/>
      <c r="BFS12" s="84"/>
      <c r="BFT12" s="84"/>
      <c r="BFU12" s="84"/>
      <c r="BFV12" s="84"/>
      <c r="BFW12" s="84"/>
      <c r="BFX12" s="84"/>
      <c r="BFY12" s="84"/>
      <c r="BFZ12" s="84"/>
      <c r="BGA12" s="84"/>
      <c r="BGB12" s="84"/>
      <c r="BGC12" s="84"/>
      <c r="BGD12" s="84"/>
      <c r="BGE12" s="84"/>
      <c r="BGF12" s="84"/>
      <c r="BGG12" s="84"/>
      <c r="BGH12" s="84"/>
      <c r="BGI12" s="84"/>
      <c r="BGJ12" s="84"/>
      <c r="BGK12" s="84"/>
      <c r="BGL12" s="84"/>
      <c r="BGM12" s="84"/>
      <c r="BGN12" s="84"/>
      <c r="BGO12" s="84"/>
      <c r="BGP12" s="84"/>
      <c r="BGQ12" s="84"/>
      <c r="BGR12" s="84"/>
      <c r="BGS12" s="84"/>
      <c r="BGT12" s="84"/>
      <c r="BGU12" s="84"/>
      <c r="BGV12" s="84"/>
      <c r="BGW12" s="84"/>
      <c r="BGX12" s="84"/>
      <c r="BGY12" s="84"/>
      <c r="BGZ12" s="84"/>
      <c r="BHA12" s="84"/>
      <c r="BHB12" s="84"/>
      <c r="BHC12" s="84"/>
      <c r="BHD12" s="84"/>
      <c r="BHE12" s="84"/>
      <c r="BHF12" s="84"/>
      <c r="BHG12" s="84"/>
      <c r="BHH12" s="84"/>
      <c r="BHI12" s="84"/>
      <c r="BHJ12" s="84"/>
      <c r="BHK12" s="84"/>
      <c r="BHL12" s="84"/>
      <c r="BHM12" s="84"/>
      <c r="BHN12" s="84"/>
      <c r="BHO12" s="84"/>
      <c r="BHP12" s="84"/>
      <c r="BHQ12" s="84"/>
      <c r="BHR12" s="84"/>
      <c r="BHS12" s="84"/>
      <c r="BHT12" s="84"/>
      <c r="BHU12" s="84"/>
      <c r="BHV12" s="84"/>
      <c r="BHW12" s="84"/>
      <c r="BHX12" s="84"/>
      <c r="BHY12" s="84"/>
      <c r="BHZ12" s="84"/>
      <c r="BIA12" s="84"/>
      <c r="BIB12" s="84"/>
      <c r="BIC12" s="84"/>
      <c r="BID12" s="84"/>
      <c r="BIE12" s="84"/>
      <c r="BIF12" s="84"/>
      <c r="BIG12" s="84"/>
      <c r="BIH12" s="84"/>
      <c r="BII12" s="84"/>
      <c r="BIJ12" s="84"/>
      <c r="BIK12" s="84"/>
      <c r="BIL12" s="84"/>
      <c r="BIM12" s="84"/>
      <c r="BIN12" s="84"/>
      <c r="BIO12" s="84"/>
      <c r="BIP12" s="84"/>
      <c r="BIQ12" s="84"/>
      <c r="BIR12" s="84"/>
      <c r="BIS12" s="84"/>
      <c r="BIT12" s="84"/>
      <c r="BIU12" s="84"/>
      <c r="BIV12" s="84"/>
      <c r="BIW12" s="84"/>
      <c r="BIX12" s="84"/>
      <c r="BIY12" s="84"/>
      <c r="BIZ12" s="84"/>
      <c r="BJA12" s="84"/>
      <c r="BJB12" s="84"/>
      <c r="BJC12" s="84"/>
      <c r="BJD12" s="84"/>
      <c r="BJE12" s="84"/>
      <c r="BJF12" s="84"/>
      <c r="BJG12" s="84"/>
      <c r="BJH12" s="84"/>
      <c r="BJI12" s="84"/>
      <c r="BJJ12" s="84"/>
      <c r="BJK12" s="84"/>
      <c r="BJL12" s="84"/>
      <c r="BJM12" s="84"/>
      <c r="BJN12" s="84"/>
      <c r="BJO12" s="84"/>
      <c r="BJP12" s="84"/>
      <c r="BJQ12" s="84"/>
      <c r="BJR12" s="84"/>
      <c r="BJS12" s="84"/>
      <c r="BJT12" s="84"/>
      <c r="BJU12" s="84"/>
      <c r="BJV12" s="84"/>
      <c r="BJW12" s="84"/>
      <c r="BJX12" s="84"/>
      <c r="BJY12" s="84"/>
      <c r="BJZ12" s="84"/>
      <c r="BKA12" s="84"/>
      <c r="BKB12" s="84"/>
      <c r="BKC12" s="84"/>
      <c r="BKD12" s="84"/>
      <c r="BKE12" s="84"/>
      <c r="BKF12" s="84"/>
      <c r="BKG12" s="84"/>
      <c r="BKH12" s="84"/>
      <c r="BKI12" s="84"/>
      <c r="BKJ12" s="84"/>
      <c r="BKK12" s="84"/>
      <c r="BKL12" s="84"/>
      <c r="BKM12" s="84"/>
      <c r="BKN12" s="84"/>
      <c r="BKO12" s="84"/>
      <c r="BKP12" s="84"/>
      <c r="BKQ12" s="84"/>
      <c r="BKR12" s="84"/>
      <c r="BKS12" s="84"/>
      <c r="BKT12" s="84"/>
      <c r="BKU12" s="84"/>
      <c r="BKV12" s="84"/>
      <c r="BKW12" s="84"/>
      <c r="BKX12" s="84"/>
      <c r="BKY12" s="84"/>
      <c r="BKZ12" s="84"/>
      <c r="BLA12" s="84"/>
      <c r="BLB12" s="84"/>
      <c r="BLC12" s="84"/>
      <c r="BLD12" s="84"/>
      <c r="BLE12" s="84"/>
      <c r="BLF12" s="84"/>
      <c r="BLG12" s="84"/>
      <c r="BLH12" s="84"/>
      <c r="BLI12" s="84"/>
      <c r="BLJ12" s="84"/>
      <c r="BLK12" s="84"/>
      <c r="BLL12" s="84"/>
      <c r="BLM12" s="84"/>
      <c r="BLN12" s="84"/>
      <c r="BLO12" s="84"/>
      <c r="BLP12" s="84"/>
      <c r="BLQ12" s="84"/>
      <c r="BLR12" s="84"/>
      <c r="BLS12" s="84"/>
      <c r="BLT12" s="84"/>
      <c r="BLU12" s="84"/>
      <c r="BLV12" s="84"/>
      <c r="BLW12" s="84"/>
      <c r="BLX12" s="84"/>
      <c r="BLY12" s="84"/>
      <c r="BLZ12" s="84"/>
      <c r="BMA12" s="84"/>
      <c r="BMB12" s="84"/>
      <c r="BMC12" s="84"/>
      <c r="BMD12" s="84"/>
      <c r="BME12" s="84"/>
      <c r="BMF12" s="84"/>
      <c r="BMG12" s="84"/>
      <c r="BMH12" s="84"/>
      <c r="BMI12" s="84"/>
      <c r="BMJ12" s="84"/>
      <c r="BMK12" s="84"/>
      <c r="BML12" s="84"/>
      <c r="BMM12" s="84"/>
      <c r="BMN12" s="84"/>
      <c r="BMO12" s="84"/>
      <c r="BMP12" s="84"/>
      <c r="BMQ12" s="84"/>
      <c r="BMR12" s="84"/>
      <c r="BMS12" s="84"/>
      <c r="BMT12" s="84"/>
      <c r="BMU12" s="84"/>
      <c r="BMV12" s="84"/>
      <c r="BMW12" s="84"/>
      <c r="BMX12" s="84"/>
      <c r="BMY12" s="84"/>
      <c r="BMZ12" s="84"/>
      <c r="BNA12" s="84"/>
      <c r="BNB12" s="84"/>
      <c r="BNC12" s="84"/>
      <c r="BND12" s="84"/>
      <c r="BNE12" s="84"/>
      <c r="BNF12" s="84"/>
      <c r="BNG12" s="84"/>
      <c r="BNH12" s="84"/>
      <c r="BNI12" s="84"/>
      <c r="BNJ12" s="84"/>
      <c r="BNK12" s="84"/>
      <c r="BNL12" s="84"/>
      <c r="BNM12" s="84"/>
      <c r="BNN12" s="84"/>
      <c r="BNO12" s="84"/>
      <c r="BNP12" s="84"/>
      <c r="BNQ12" s="84"/>
      <c r="BNR12" s="84"/>
      <c r="BNS12" s="84"/>
      <c r="BNT12" s="84"/>
      <c r="BNU12" s="84"/>
      <c r="BNV12" s="84"/>
      <c r="BNW12" s="84"/>
      <c r="BNX12" s="84"/>
      <c r="BNY12" s="84"/>
      <c r="BNZ12" s="84"/>
      <c r="BOA12" s="84"/>
      <c r="BOB12" s="84"/>
      <c r="BOC12" s="84"/>
      <c r="BOD12" s="84"/>
      <c r="BOE12" s="84"/>
      <c r="BOF12" s="84"/>
      <c r="BOG12" s="84"/>
      <c r="BOH12" s="84"/>
      <c r="BOI12" s="84"/>
      <c r="BOJ12" s="84"/>
      <c r="BOK12" s="84"/>
      <c r="BOL12" s="84"/>
      <c r="BOM12" s="84"/>
      <c r="BON12" s="84"/>
      <c r="BOO12" s="84"/>
      <c r="BOP12" s="84"/>
      <c r="BOQ12" s="84"/>
      <c r="BOR12" s="84"/>
      <c r="BOS12" s="84"/>
      <c r="BOT12" s="84"/>
      <c r="BOU12" s="84"/>
      <c r="BOV12" s="84"/>
      <c r="BOW12" s="84"/>
      <c r="BOX12" s="84"/>
      <c r="BOY12" s="84"/>
      <c r="BOZ12" s="84"/>
      <c r="BPA12" s="84"/>
      <c r="BPB12" s="84"/>
      <c r="BPC12" s="84"/>
      <c r="BPD12" s="84"/>
      <c r="BPE12" s="84"/>
      <c r="BPF12" s="84"/>
      <c r="BPG12" s="84"/>
      <c r="BPH12" s="84"/>
      <c r="BPI12" s="84"/>
      <c r="BPJ12" s="84"/>
      <c r="BPK12" s="84"/>
      <c r="BPL12" s="84"/>
      <c r="BPM12" s="84"/>
      <c r="BPN12" s="84"/>
      <c r="BPO12" s="84"/>
      <c r="BPP12" s="84"/>
      <c r="BPQ12" s="84"/>
      <c r="BPR12" s="84"/>
      <c r="BPS12" s="84"/>
      <c r="BPT12" s="84"/>
      <c r="BPU12" s="84"/>
      <c r="BPV12" s="84"/>
      <c r="BPW12" s="84"/>
      <c r="BPX12" s="84"/>
      <c r="BPY12" s="84"/>
      <c r="BPZ12" s="84"/>
      <c r="BQA12" s="84"/>
      <c r="BQB12" s="84"/>
      <c r="BQC12" s="84"/>
      <c r="BQD12" s="84"/>
      <c r="BQE12" s="84"/>
      <c r="BQF12" s="84"/>
      <c r="BQG12" s="84"/>
      <c r="BQH12" s="84"/>
      <c r="BQI12" s="84"/>
      <c r="BQJ12" s="84"/>
      <c r="BQK12" s="84"/>
      <c r="BQL12" s="84"/>
      <c r="BQM12" s="84"/>
      <c r="BQN12" s="84"/>
      <c r="BQO12" s="84"/>
      <c r="BQP12" s="84"/>
      <c r="BQQ12" s="84"/>
      <c r="BQR12" s="84"/>
      <c r="BQS12" s="84"/>
      <c r="BQT12" s="84"/>
      <c r="BQU12" s="84"/>
      <c r="BQV12" s="84"/>
      <c r="BQW12" s="84"/>
      <c r="BQX12" s="84"/>
      <c r="BQY12" s="84"/>
      <c r="BQZ12" s="84"/>
      <c r="BRA12" s="84"/>
      <c r="BRB12" s="84"/>
      <c r="BRC12" s="84"/>
      <c r="BRD12" s="84"/>
      <c r="BRE12" s="84"/>
      <c r="BRF12" s="84"/>
      <c r="BRG12" s="84"/>
      <c r="BRH12" s="84"/>
      <c r="BRI12" s="84"/>
      <c r="BRJ12" s="84"/>
      <c r="BRK12" s="84"/>
      <c r="BRL12" s="84"/>
      <c r="BRM12" s="84"/>
      <c r="BRN12" s="84"/>
      <c r="BRO12" s="84"/>
      <c r="BRP12" s="84"/>
      <c r="BRQ12" s="84"/>
      <c r="BRR12" s="84"/>
      <c r="BRS12" s="84"/>
      <c r="BRT12" s="84"/>
      <c r="BRU12" s="84"/>
      <c r="BRV12" s="84"/>
      <c r="BRW12" s="84"/>
      <c r="BRX12" s="84"/>
      <c r="BRY12" s="84"/>
      <c r="BRZ12" s="84"/>
      <c r="BSA12" s="84"/>
      <c r="BSB12" s="84"/>
      <c r="BSC12" s="84"/>
      <c r="BSD12" s="84"/>
      <c r="BSE12" s="84"/>
      <c r="BSF12" s="84"/>
      <c r="BSG12" s="84"/>
      <c r="BSH12" s="84"/>
      <c r="BSI12" s="84"/>
      <c r="BSJ12" s="84"/>
      <c r="BSK12" s="84"/>
      <c r="BSL12" s="84"/>
      <c r="BSM12" s="84"/>
      <c r="BSN12" s="84"/>
      <c r="BSO12" s="84"/>
      <c r="BSP12" s="84"/>
      <c r="BSQ12" s="84"/>
      <c r="BSR12" s="84"/>
      <c r="BSS12" s="84"/>
      <c r="BST12" s="84"/>
      <c r="BSU12" s="84"/>
      <c r="BSV12" s="84"/>
      <c r="BSW12" s="84"/>
      <c r="BSX12" s="84"/>
      <c r="BSY12" s="84"/>
      <c r="BSZ12" s="84"/>
      <c r="BTA12" s="84"/>
      <c r="BTB12" s="84"/>
      <c r="BTC12" s="84"/>
      <c r="BTD12" s="84"/>
      <c r="BTE12" s="84"/>
      <c r="BTF12" s="84"/>
      <c r="BTG12" s="84"/>
      <c r="BTH12" s="84"/>
      <c r="BTI12" s="84"/>
      <c r="BTJ12" s="84"/>
      <c r="BTK12" s="84"/>
      <c r="BTL12" s="84"/>
      <c r="BTM12" s="84"/>
      <c r="BTN12" s="84"/>
      <c r="BTO12" s="84"/>
      <c r="BTP12" s="84"/>
      <c r="BTQ12" s="84"/>
      <c r="BTR12" s="84"/>
      <c r="BTS12" s="84"/>
      <c r="BTT12" s="84"/>
      <c r="BTU12" s="84"/>
      <c r="BTV12" s="84"/>
      <c r="BTW12" s="84"/>
      <c r="BTX12" s="84"/>
      <c r="BTY12" s="84"/>
      <c r="BTZ12" s="84"/>
      <c r="BUA12" s="84"/>
      <c r="BUB12" s="84"/>
      <c r="BUC12" s="84"/>
      <c r="BUD12" s="84"/>
      <c r="BUE12" s="84"/>
      <c r="BUF12" s="84"/>
      <c r="BUG12" s="84"/>
      <c r="BUH12" s="84"/>
      <c r="BUI12" s="84"/>
      <c r="BUJ12" s="84"/>
      <c r="BUK12" s="84"/>
      <c r="BUL12" s="84"/>
      <c r="BUM12" s="84"/>
      <c r="BUN12" s="84"/>
      <c r="BUO12" s="84"/>
      <c r="BUP12" s="84"/>
      <c r="BUQ12" s="84"/>
      <c r="BUR12" s="84"/>
      <c r="BUS12" s="84"/>
      <c r="BUT12" s="84"/>
      <c r="BUU12" s="84"/>
      <c r="BUV12" s="84"/>
      <c r="BUW12" s="84"/>
      <c r="BUX12" s="84"/>
      <c r="BUY12" s="84"/>
      <c r="BUZ12" s="84"/>
      <c r="BVA12" s="84"/>
      <c r="BVB12" s="84"/>
      <c r="BVC12" s="84"/>
      <c r="BVD12" s="84"/>
      <c r="BVE12" s="84"/>
      <c r="BVF12" s="84"/>
      <c r="BVG12" s="84"/>
      <c r="BVH12" s="84"/>
      <c r="BVI12" s="84"/>
      <c r="BVJ12" s="84"/>
      <c r="BVK12" s="84"/>
      <c r="BVL12" s="84"/>
      <c r="BVM12" s="84"/>
      <c r="BVN12" s="84"/>
      <c r="BVO12" s="84"/>
      <c r="BVP12" s="84"/>
      <c r="BVQ12" s="84"/>
      <c r="BVR12" s="84"/>
      <c r="BVS12" s="84"/>
      <c r="BVT12" s="84"/>
      <c r="BVU12" s="84"/>
      <c r="BVV12" s="84"/>
      <c r="BVW12" s="84"/>
      <c r="BVX12" s="84"/>
      <c r="BVY12" s="84"/>
      <c r="BVZ12" s="84"/>
      <c r="BWA12" s="84"/>
      <c r="BWB12" s="84"/>
      <c r="BWC12" s="84"/>
      <c r="BWD12" s="84"/>
      <c r="BWE12" s="84"/>
      <c r="BWF12" s="84"/>
      <c r="BWG12" s="84"/>
      <c r="BWH12" s="84"/>
      <c r="BWI12" s="84"/>
      <c r="BWJ12" s="84"/>
      <c r="BWK12" s="84"/>
      <c r="BWL12" s="84"/>
      <c r="BWM12" s="84"/>
      <c r="BWN12" s="84"/>
      <c r="BWO12" s="84"/>
      <c r="BWP12" s="84"/>
      <c r="BWQ12" s="84"/>
      <c r="BWR12" s="84"/>
      <c r="BWS12" s="84"/>
      <c r="BWT12" s="84"/>
      <c r="BWU12" s="84"/>
      <c r="BWV12" s="84"/>
      <c r="BWW12" s="84"/>
      <c r="BWX12" s="84"/>
      <c r="BWY12" s="84"/>
      <c r="BWZ12" s="84"/>
      <c r="BXA12" s="84"/>
      <c r="BXB12" s="84"/>
      <c r="BXC12" s="84"/>
      <c r="BXD12" s="84"/>
      <c r="BXE12" s="84"/>
      <c r="BXF12" s="84"/>
      <c r="BXG12" s="84"/>
      <c r="BXH12" s="84"/>
      <c r="BXI12" s="84"/>
      <c r="BXJ12" s="84"/>
      <c r="BXK12" s="84"/>
      <c r="BXL12" s="84"/>
      <c r="BXM12" s="84"/>
      <c r="BXN12" s="84"/>
      <c r="BXO12" s="84"/>
      <c r="BXP12" s="84"/>
      <c r="BXQ12" s="84"/>
      <c r="BXR12" s="84"/>
      <c r="BXS12" s="84"/>
      <c r="BXT12" s="84"/>
      <c r="BXU12" s="84"/>
      <c r="BXV12" s="84"/>
      <c r="BXW12" s="84"/>
      <c r="BXX12" s="84"/>
      <c r="BXY12" s="84"/>
      <c r="BXZ12" s="84"/>
      <c r="BYA12" s="84"/>
      <c r="BYB12" s="84"/>
      <c r="BYC12" s="84"/>
      <c r="BYD12" s="84"/>
      <c r="BYE12" s="84"/>
      <c r="BYF12" s="84"/>
      <c r="BYG12" s="84"/>
      <c r="BYH12" s="84"/>
      <c r="BYI12" s="84"/>
      <c r="BYJ12" s="84"/>
      <c r="BYK12" s="84"/>
      <c r="BYL12" s="84"/>
      <c r="BYM12" s="84"/>
      <c r="BYN12" s="84"/>
      <c r="BYO12" s="84"/>
      <c r="BYP12" s="84"/>
      <c r="BYQ12" s="84"/>
      <c r="BYR12" s="84"/>
      <c r="BYS12" s="84"/>
      <c r="BYT12" s="84"/>
      <c r="BYU12" s="84"/>
      <c r="BYV12" s="84"/>
      <c r="BYW12" s="84"/>
      <c r="BYX12" s="84"/>
      <c r="BYY12" s="84"/>
      <c r="BYZ12" s="84"/>
      <c r="BZA12" s="84"/>
      <c r="BZB12" s="84"/>
      <c r="BZC12" s="84"/>
      <c r="BZD12" s="84"/>
      <c r="BZE12" s="84"/>
      <c r="BZF12" s="84"/>
      <c r="BZG12" s="84"/>
      <c r="BZH12" s="84"/>
      <c r="BZI12" s="84"/>
      <c r="BZJ12" s="84"/>
      <c r="BZK12" s="84"/>
      <c r="BZL12" s="84"/>
      <c r="BZM12" s="84"/>
      <c r="BZN12" s="84"/>
      <c r="BZO12" s="84"/>
      <c r="BZP12" s="84"/>
      <c r="BZQ12" s="84"/>
      <c r="BZR12" s="84"/>
      <c r="BZS12" s="84"/>
      <c r="BZT12" s="84"/>
      <c r="BZU12" s="84"/>
      <c r="BZV12" s="84"/>
      <c r="BZW12" s="84"/>
      <c r="BZX12" s="84"/>
      <c r="BZY12" s="84"/>
      <c r="BZZ12" s="84"/>
      <c r="CAA12" s="84"/>
      <c r="CAB12" s="84"/>
      <c r="CAC12" s="84"/>
      <c r="CAD12" s="84"/>
      <c r="CAE12" s="84"/>
      <c r="CAF12" s="84"/>
      <c r="CAG12" s="84"/>
      <c r="CAH12" s="84"/>
      <c r="CAI12" s="84"/>
      <c r="CAJ12" s="84"/>
      <c r="CAK12" s="84"/>
      <c r="CAL12" s="84"/>
      <c r="CAM12" s="84"/>
      <c r="CAN12" s="84"/>
      <c r="CAO12" s="84"/>
      <c r="CAP12" s="84"/>
      <c r="CAQ12" s="84"/>
      <c r="CAR12" s="84"/>
      <c r="CAS12" s="84"/>
      <c r="CAT12" s="84"/>
      <c r="CAU12" s="84"/>
      <c r="CAV12" s="84"/>
      <c r="CAW12" s="84"/>
      <c r="CAX12" s="84"/>
      <c r="CAY12" s="84"/>
      <c r="CAZ12" s="84"/>
      <c r="CBA12" s="84"/>
      <c r="CBB12" s="84"/>
      <c r="CBC12" s="84"/>
      <c r="CBD12" s="84"/>
      <c r="CBE12" s="84"/>
      <c r="CBF12" s="84"/>
      <c r="CBG12" s="84"/>
      <c r="CBH12" s="84"/>
      <c r="CBI12" s="84"/>
      <c r="CBJ12" s="84"/>
      <c r="CBK12" s="84"/>
      <c r="CBL12" s="84"/>
      <c r="CBM12" s="84"/>
      <c r="CBN12" s="84"/>
      <c r="CBO12" s="84"/>
      <c r="CBP12" s="84"/>
      <c r="CBQ12" s="84"/>
      <c r="CBR12" s="84"/>
      <c r="CBS12" s="84"/>
      <c r="CBT12" s="84"/>
      <c r="CBU12" s="84"/>
      <c r="CBV12" s="84"/>
      <c r="CBW12" s="84"/>
      <c r="CBX12" s="84"/>
      <c r="CBY12" s="84"/>
      <c r="CBZ12" s="84"/>
      <c r="CCA12" s="84"/>
      <c r="CCB12" s="84"/>
      <c r="CCC12" s="84"/>
      <c r="CCD12" s="84"/>
      <c r="CCE12" s="84"/>
      <c r="CCF12" s="84"/>
      <c r="CCG12" s="84"/>
      <c r="CCH12" s="84"/>
      <c r="CCI12" s="84"/>
      <c r="CCJ12" s="84"/>
      <c r="CCK12" s="84"/>
      <c r="CCL12" s="84"/>
      <c r="CCM12" s="84"/>
      <c r="CCN12" s="84"/>
      <c r="CCO12" s="84"/>
      <c r="CCP12" s="84"/>
      <c r="CCQ12" s="84"/>
      <c r="CCR12" s="84"/>
      <c r="CCS12" s="84"/>
      <c r="CCT12" s="84"/>
      <c r="CCU12" s="84"/>
      <c r="CCV12" s="84"/>
      <c r="CCW12" s="84"/>
      <c r="CCX12" s="84"/>
      <c r="CCY12" s="84"/>
      <c r="CCZ12" s="84"/>
      <c r="CDA12" s="84"/>
      <c r="CDB12" s="84"/>
      <c r="CDC12" s="84"/>
      <c r="CDD12" s="84"/>
      <c r="CDE12" s="84"/>
      <c r="CDF12" s="84"/>
      <c r="CDG12" s="84"/>
      <c r="CDH12" s="84"/>
      <c r="CDI12" s="84"/>
      <c r="CDJ12" s="84"/>
      <c r="CDK12" s="84"/>
      <c r="CDL12" s="84"/>
      <c r="CDM12" s="84"/>
      <c r="CDN12" s="84"/>
      <c r="CDO12" s="84"/>
      <c r="CDP12" s="84"/>
      <c r="CDQ12" s="84"/>
      <c r="CDR12" s="84"/>
      <c r="CDS12" s="84"/>
      <c r="CDT12" s="84"/>
      <c r="CDU12" s="84"/>
      <c r="CDV12" s="84"/>
      <c r="CDW12" s="84"/>
      <c r="CDX12" s="84"/>
      <c r="CDY12" s="84"/>
      <c r="CDZ12" s="84"/>
      <c r="CEA12" s="84"/>
      <c r="CEB12" s="84"/>
      <c r="CEC12" s="84"/>
      <c r="CED12" s="84"/>
      <c r="CEE12" s="84"/>
      <c r="CEF12" s="84"/>
      <c r="CEG12" s="84"/>
      <c r="CEH12" s="84"/>
      <c r="CEI12" s="84"/>
      <c r="CEJ12" s="84"/>
      <c r="CEK12" s="84"/>
      <c r="CEL12" s="84"/>
      <c r="CEM12" s="84"/>
      <c r="CEN12" s="84"/>
      <c r="CEO12" s="84"/>
      <c r="CEP12" s="84"/>
      <c r="CEQ12" s="84"/>
      <c r="CER12" s="84"/>
      <c r="CES12" s="84"/>
      <c r="CET12" s="84"/>
      <c r="CEU12" s="84"/>
      <c r="CEV12" s="84"/>
      <c r="CEW12" s="84"/>
      <c r="CEX12" s="84"/>
      <c r="CEY12" s="84"/>
      <c r="CEZ12" s="84"/>
      <c r="CFA12" s="84"/>
      <c r="CFB12" s="84"/>
      <c r="CFC12" s="84"/>
      <c r="CFD12" s="84"/>
      <c r="CFE12" s="84"/>
      <c r="CFF12" s="84"/>
      <c r="CFG12" s="84"/>
      <c r="CFH12" s="84"/>
      <c r="CFI12" s="84"/>
      <c r="CFJ12" s="84"/>
      <c r="CFK12" s="84"/>
      <c r="CFL12" s="84"/>
      <c r="CFM12" s="84"/>
      <c r="CFN12" s="84"/>
      <c r="CFO12" s="84"/>
      <c r="CFP12" s="84"/>
      <c r="CFQ12" s="84"/>
      <c r="CFR12" s="84"/>
      <c r="CFS12" s="84"/>
      <c r="CFT12" s="84"/>
      <c r="CFU12" s="84"/>
      <c r="CFV12" s="84"/>
      <c r="CFW12" s="84"/>
      <c r="CFX12" s="84"/>
      <c r="CFY12" s="84"/>
      <c r="CFZ12" s="84"/>
      <c r="CGA12" s="84"/>
      <c r="CGB12" s="84"/>
      <c r="CGC12" s="84"/>
      <c r="CGD12" s="84"/>
      <c r="CGE12" s="84"/>
      <c r="CGF12" s="84"/>
      <c r="CGG12" s="84"/>
      <c r="CGH12" s="84"/>
      <c r="CGI12" s="84"/>
      <c r="CGJ12" s="84"/>
      <c r="CGK12" s="84"/>
      <c r="CGL12" s="84"/>
      <c r="CGM12" s="84"/>
      <c r="CGN12" s="84"/>
      <c r="CGO12" s="84"/>
      <c r="CGP12" s="84"/>
      <c r="CGQ12" s="84"/>
      <c r="CGR12" s="84"/>
      <c r="CGS12" s="84"/>
      <c r="CGT12" s="84"/>
      <c r="CGU12" s="84"/>
      <c r="CGV12" s="84"/>
      <c r="CGW12" s="84"/>
      <c r="CGX12" s="84"/>
      <c r="CGY12" s="84"/>
      <c r="CGZ12" s="84"/>
      <c r="CHA12" s="84"/>
      <c r="CHB12" s="84"/>
      <c r="CHC12" s="84"/>
      <c r="CHD12" s="84"/>
      <c r="CHE12" s="84"/>
      <c r="CHF12" s="84"/>
      <c r="CHG12" s="84"/>
      <c r="CHH12" s="84"/>
      <c r="CHI12" s="84"/>
      <c r="CHJ12" s="84"/>
      <c r="CHK12" s="84"/>
      <c r="CHL12" s="84"/>
      <c r="CHM12" s="84"/>
      <c r="CHN12" s="84"/>
      <c r="CHO12" s="84"/>
      <c r="CHP12" s="84"/>
      <c r="CHQ12" s="84"/>
      <c r="CHR12" s="84"/>
      <c r="CHS12" s="84"/>
      <c r="CHT12" s="84"/>
      <c r="CHU12" s="84"/>
      <c r="CHV12" s="84"/>
      <c r="CHW12" s="84"/>
      <c r="CHX12" s="84"/>
      <c r="CHY12" s="84"/>
      <c r="CHZ12" s="84"/>
      <c r="CIA12" s="84"/>
      <c r="CIB12" s="84"/>
      <c r="CIC12" s="84"/>
      <c r="CID12" s="84"/>
      <c r="CIE12" s="84"/>
      <c r="CIF12" s="84"/>
      <c r="CIG12" s="84"/>
      <c r="CIH12" s="84"/>
      <c r="CII12" s="84"/>
      <c r="CIJ12" s="84"/>
      <c r="CIK12" s="84"/>
      <c r="CIL12" s="84"/>
      <c r="CIM12" s="84"/>
      <c r="CIN12" s="84"/>
      <c r="CIO12" s="84"/>
      <c r="CIP12" s="84"/>
      <c r="CIQ12" s="84"/>
      <c r="CIR12" s="84"/>
      <c r="CIS12" s="84"/>
      <c r="CIT12" s="84"/>
      <c r="CIU12" s="84"/>
      <c r="CIV12" s="84"/>
      <c r="CIW12" s="84"/>
      <c r="CIX12" s="84"/>
      <c r="CIY12" s="84"/>
      <c r="CIZ12" s="84"/>
      <c r="CJA12" s="84"/>
      <c r="CJB12" s="84"/>
      <c r="CJC12" s="84"/>
      <c r="CJD12" s="84"/>
      <c r="CJE12" s="84"/>
      <c r="CJF12" s="84"/>
      <c r="CJG12" s="84"/>
      <c r="CJH12" s="84"/>
      <c r="CJI12" s="84"/>
      <c r="CJJ12" s="84"/>
      <c r="CJK12" s="84"/>
      <c r="CJL12" s="84"/>
      <c r="CJM12" s="84"/>
      <c r="CJN12" s="84"/>
      <c r="CJO12" s="84"/>
      <c r="CJP12" s="84"/>
      <c r="CJQ12" s="84"/>
      <c r="CJR12" s="84"/>
      <c r="CJS12" s="84"/>
      <c r="CJT12" s="84"/>
      <c r="CJU12" s="84"/>
      <c r="CJV12" s="84"/>
      <c r="CJW12" s="84"/>
      <c r="CJX12" s="84"/>
      <c r="CJY12" s="84"/>
      <c r="CJZ12" s="84"/>
      <c r="CKA12" s="84"/>
      <c r="CKB12" s="84"/>
      <c r="CKC12" s="84"/>
      <c r="CKD12" s="84"/>
      <c r="CKE12" s="84"/>
      <c r="CKF12" s="84"/>
      <c r="CKG12" s="84"/>
      <c r="CKH12" s="84"/>
      <c r="CKI12" s="84"/>
      <c r="CKJ12" s="84"/>
      <c r="CKK12" s="84"/>
      <c r="CKL12" s="84"/>
      <c r="CKM12" s="84"/>
      <c r="CKN12" s="84"/>
      <c r="CKO12" s="84"/>
      <c r="CKP12" s="84"/>
      <c r="CKQ12" s="84"/>
      <c r="CKR12" s="84"/>
      <c r="CKS12" s="84"/>
      <c r="CKT12" s="84"/>
      <c r="CKU12" s="84"/>
      <c r="CKV12" s="84"/>
      <c r="CKW12" s="84"/>
      <c r="CKX12" s="84"/>
      <c r="CKY12" s="84"/>
      <c r="CKZ12" s="84"/>
      <c r="CLA12" s="84"/>
      <c r="CLB12" s="84"/>
      <c r="CLC12" s="84"/>
      <c r="CLD12" s="84"/>
      <c r="CLE12" s="84"/>
      <c r="CLF12" s="84"/>
      <c r="CLG12" s="84"/>
      <c r="CLH12" s="84"/>
      <c r="CLI12" s="84"/>
      <c r="CLJ12" s="84"/>
      <c r="CLK12" s="84"/>
      <c r="CLL12" s="84"/>
      <c r="CLM12" s="84"/>
      <c r="CLN12" s="84"/>
      <c r="CLO12" s="84"/>
      <c r="CLP12" s="84"/>
      <c r="CLQ12" s="84"/>
      <c r="CLR12" s="84"/>
      <c r="CLS12" s="84"/>
      <c r="CLT12" s="84"/>
      <c r="CLU12" s="84"/>
      <c r="CLV12" s="84"/>
      <c r="CLW12" s="84"/>
      <c r="CLX12" s="84"/>
      <c r="CLY12" s="84"/>
      <c r="CLZ12" s="84"/>
      <c r="CMA12" s="84"/>
      <c r="CMB12" s="84"/>
      <c r="CMC12" s="84"/>
      <c r="CMD12" s="84"/>
      <c r="CME12" s="84"/>
      <c r="CMF12" s="84"/>
      <c r="CMG12" s="84"/>
      <c r="CMH12" s="84"/>
      <c r="CMI12" s="84"/>
      <c r="CMJ12" s="84"/>
      <c r="CMK12" s="84"/>
      <c r="CML12" s="84"/>
      <c r="CMM12" s="84"/>
      <c r="CMN12" s="84"/>
      <c r="CMO12" s="84"/>
      <c r="CMP12" s="84"/>
      <c r="CMQ12" s="84"/>
      <c r="CMR12" s="84"/>
      <c r="CMS12" s="84"/>
      <c r="CMT12" s="84"/>
      <c r="CMU12" s="84"/>
      <c r="CMV12" s="84"/>
      <c r="CMW12" s="84"/>
      <c r="CMX12" s="84"/>
      <c r="CMY12" s="84"/>
      <c r="CMZ12" s="84"/>
      <c r="CNA12" s="84"/>
      <c r="CNB12" s="84"/>
      <c r="CNC12" s="84"/>
      <c r="CND12" s="84"/>
      <c r="CNE12" s="84"/>
      <c r="CNF12" s="84"/>
      <c r="CNG12" s="84"/>
      <c r="CNH12" s="84"/>
      <c r="CNI12" s="84"/>
      <c r="CNJ12" s="84"/>
      <c r="CNK12" s="84"/>
      <c r="CNL12" s="84"/>
      <c r="CNM12" s="84"/>
      <c r="CNN12" s="84"/>
      <c r="CNO12" s="84"/>
      <c r="CNP12" s="84"/>
      <c r="CNQ12" s="84"/>
      <c r="CNR12" s="84"/>
      <c r="CNS12" s="84"/>
      <c r="CNT12" s="84"/>
      <c r="CNU12" s="84"/>
      <c r="CNV12" s="84"/>
      <c r="CNW12" s="84"/>
      <c r="CNX12" s="84"/>
      <c r="CNY12" s="84"/>
      <c r="CNZ12" s="84"/>
      <c r="COA12" s="84"/>
      <c r="COB12" s="84"/>
      <c r="COC12" s="84"/>
      <c r="COD12" s="84"/>
      <c r="COE12" s="84"/>
      <c r="COF12" s="84"/>
      <c r="COG12" s="84"/>
      <c r="COH12" s="84"/>
      <c r="COI12" s="84"/>
      <c r="COJ12" s="84"/>
      <c r="COK12" s="84"/>
      <c r="COL12" s="84"/>
      <c r="COM12" s="84"/>
      <c r="CON12" s="84"/>
      <c r="COO12" s="84"/>
      <c r="COP12" s="84"/>
      <c r="COQ12" s="84"/>
      <c r="COR12" s="84"/>
      <c r="COS12" s="84"/>
      <c r="COT12" s="84"/>
      <c r="COU12" s="84"/>
      <c r="COV12" s="84"/>
      <c r="COW12" s="84"/>
      <c r="COX12" s="84"/>
      <c r="COY12" s="84"/>
      <c r="COZ12" s="84"/>
      <c r="CPA12" s="84"/>
      <c r="CPB12" s="84"/>
      <c r="CPC12" s="84"/>
      <c r="CPD12" s="84"/>
      <c r="CPE12" s="84"/>
      <c r="CPF12" s="84"/>
      <c r="CPG12" s="84"/>
      <c r="CPH12" s="84"/>
      <c r="CPI12" s="84"/>
      <c r="CPJ12" s="84"/>
      <c r="CPK12" s="84"/>
      <c r="CPL12" s="84"/>
      <c r="CPM12" s="84"/>
      <c r="CPN12" s="84"/>
      <c r="CPO12" s="84"/>
      <c r="CPP12" s="84"/>
      <c r="CPQ12" s="84"/>
      <c r="CPR12" s="84"/>
      <c r="CPS12" s="84"/>
      <c r="CPT12" s="84"/>
      <c r="CPU12" s="84"/>
      <c r="CPV12" s="84"/>
      <c r="CPW12" s="84"/>
      <c r="CPX12" s="84"/>
      <c r="CPY12" s="84"/>
      <c r="CPZ12" s="84"/>
      <c r="CQA12" s="84"/>
      <c r="CQB12" s="84"/>
      <c r="CQC12" s="84"/>
      <c r="CQD12" s="84"/>
      <c r="CQE12" s="84"/>
      <c r="CQF12" s="84"/>
      <c r="CQG12" s="84"/>
      <c r="CQH12" s="84"/>
      <c r="CQI12" s="84"/>
      <c r="CQJ12" s="84"/>
      <c r="CQK12" s="84"/>
      <c r="CQL12" s="84"/>
      <c r="CQM12" s="84"/>
      <c r="CQN12" s="84"/>
      <c r="CQO12" s="84"/>
      <c r="CQP12" s="84"/>
      <c r="CQQ12" s="84"/>
      <c r="CQR12" s="84"/>
      <c r="CQS12" s="84"/>
      <c r="CQT12" s="84"/>
      <c r="CQU12" s="84"/>
      <c r="CQV12" s="84"/>
      <c r="CQW12" s="84"/>
      <c r="CQX12" s="84"/>
      <c r="CQY12" s="84"/>
      <c r="CQZ12" s="84"/>
      <c r="CRA12" s="84"/>
      <c r="CRB12" s="84"/>
      <c r="CRC12" s="84"/>
      <c r="CRD12" s="84"/>
      <c r="CRE12" s="84"/>
      <c r="CRF12" s="84"/>
      <c r="CRG12" s="84"/>
      <c r="CRH12" s="84"/>
      <c r="CRI12" s="84"/>
      <c r="CRJ12" s="84"/>
      <c r="CRK12" s="84"/>
      <c r="CRL12" s="84"/>
      <c r="CRM12" s="84"/>
      <c r="CRN12" s="84"/>
      <c r="CRO12" s="84"/>
      <c r="CRP12" s="84"/>
      <c r="CRQ12" s="84"/>
      <c r="CRR12" s="84"/>
      <c r="CRS12" s="84"/>
      <c r="CRT12" s="84"/>
      <c r="CRU12" s="84"/>
      <c r="CRV12" s="84"/>
      <c r="CRW12" s="84"/>
      <c r="CRX12" s="84"/>
      <c r="CRY12" s="84"/>
      <c r="CRZ12" s="84"/>
      <c r="CSA12" s="84"/>
      <c r="CSB12" s="84"/>
      <c r="CSC12" s="84"/>
      <c r="CSD12" s="84"/>
      <c r="CSE12" s="84"/>
      <c r="CSF12" s="84"/>
      <c r="CSG12" s="84"/>
      <c r="CSH12" s="84"/>
      <c r="CSI12" s="84"/>
      <c r="CSJ12" s="84"/>
      <c r="CSK12" s="84"/>
      <c r="CSL12" s="84"/>
      <c r="CSM12" s="84"/>
      <c r="CSN12" s="84"/>
      <c r="CSO12" s="84"/>
      <c r="CSP12" s="84"/>
      <c r="CSQ12" s="84"/>
      <c r="CSR12" s="84"/>
      <c r="CSS12" s="84"/>
      <c r="CST12" s="84"/>
      <c r="CSU12" s="84"/>
      <c r="CSV12" s="84"/>
      <c r="CSW12" s="84"/>
      <c r="CSX12" s="84"/>
      <c r="CSY12" s="84"/>
      <c r="CSZ12" s="84"/>
      <c r="CTA12" s="84"/>
      <c r="CTB12" s="84"/>
      <c r="CTC12" s="84"/>
      <c r="CTD12" s="84"/>
      <c r="CTE12" s="84"/>
      <c r="CTF12" s="84"/>
      <c r="CTG12" s="84"/>
      <c r="CTH12" s="84"/>
      <c r="CTI12" s="84"/>
      <c r="CTJ12" s="84"/>
      <c r="CTK12" s="84"/>
      <c r="CTL12" s="84"/>
      <c r="CTM12" s="84"/>
      <c r="CTN12" s="84"/>
      <c r="CTO12" s="84"/>
      <c r="CTP12" s="84"/>
      <c r="CTQ12" s="84"/>
      <c r="CTR12" s="84"/>
      <c r="CTS12" s="84"/>
      <c r="CTT12" s="84"/>
      <c r="CTU12" s="84"/>
      <c r="CTV12" s="84"/>
      <c r="CTW12" s="84"/>
      <c r="CTX12" s="84"/>
      <c r="CTY12" s="84"/>
      <c r="CTZ12" s="84"/>
      <c r="CUA12" s="84"/>
      <c r="CUB12" s="84"/>
      <c r="CUC12" s="84"/>
      <c r="CUD12" s="84"/>
      <c r="CUE12" s="84"/>
      <c r="CUF12" s="84"/>
      <c r="CUG12" s="84"/>
      <c r="CUH12" s="84"/>
      <c r="CUI12" s="84"/>
      <c r="CUJ12" s="84"/>
      <c r="CUK12" s="84"/>
      <c r="CUL12" s="84"/>
      <c r="CUM12" s="84"/>
      <c r="CUN12" s="84"/>
      <c r="CUO12" s="84"/>
      <c r="CUP12" s="84"/>
      <c r="CUQ12" s="84"/>
      <c r="CUR12" s="84"/>
      <c r="CUS12" s="84"/>
      <c r="CUT12" s="84"/>
      <c r="CUU12" s="84"/>
      <c r="CUV12" s="84"/>
      <c r="CUW12" s="84"/>
      <c r="CUX12" s="84"/>
      <c r="CUY12" s="84"/>
      <c r="CUZ12" s="84"/>
      <c r="CVA12" s="84"/>
      <c r="CVB12" s="84"/>
      <c r="CVC12" s="84"/>
      <c r="CVD12" s="84"/>
      <c r="CVE12" s="84"/>
      <c r="CVF12" s="84"/>
      <c r="CVG12" s="84"/>
      <c r="CVH12" s="84"/>
      <c r="CVI12" s="84"/>
      <c r="CVJ12" s="84"/>
      <c r="CVK12" s="84"/>
      <c r="CVL12" s="84"/>
      <c r="CVM12" s="84"/>
      <c r="CVN12" s="84"/>
      <c r="CVO12" s="84"/>
      <c r="CVP12" s="84"/>
      <c r="CVQ12" s="84"/>
      <c r="CVR12" s="84"/>
      <c r="CVS12" s="84"/>
      <c r="CVT12" s="84"/>
      <c r="CVU12" s="84"/>
      <c r="CVV12" s="84"/>
      <c r="CVW12" s="84"/>
      <c r="CVX12" s="84"/>
      <c r="CVY12" s="84"/>
      <c r="CVZ12" s="84"/>
      <c r="CWA12" s="84"/>
      <c r="CWB12" s="84"/>
      <c r="CWC12" s="84"/>
      <c r="CWD12" s="84"/>
      <c r="CWE12" s="84"/>
      <c r="CWF12" s="84"/>
      <c r="CWG12" s="84"/>
      <c r="CWH12" s="84"/>
      <c r="CWI12" s="84"/>
      <c r="CWJ12" s="84"/>
      <c r="CWK12" s="84"/>
      <c r="CWL12" s="84"/>
      <c r="CWM12" s="84"/>
      <c r="CWN12" s="84"/>
      <c r="CWO12" s="84"/>
      <c r="CWP12" s="84"/>
      <c r="CWQ12" s="84"/>
      <c r="CWR12" s="84"/>
      <c r="CWS12" s="84"/>
      <c r="CWT12" s="84"/>
      <c r="CWU12" s="84"/>
      <c r="CWV12" s="84"/>
      <c r="CWW12" s="84"/>
      <c r="CWX12" s="84"/>
      <c r="CWY12" s="84"/>
      <c r="CWZ12" s="84"/>
      <c r="CXA12" s="84"/>
      <c r="CXB12" s="84"/>
      <c r="CXC12" s="84"/>
      <c r="CXD12" s="84"/>
      <c r="CXE12" s="84"/>
      <c r="CXF12" s="84"/>
      <c r="CXG12" s="84"/>
      <c r="CXH12" s="84"/>
      <c r="CXI12" s="84"/>
      <c r="CXJ12" s="84"/>
      <c r="CXK12" s="84"/>
      <c r="CXL12" s="84"/>
      <c r="CXM12" s="84"/>
      <c r="CXN12" s="84"/>
      <c r="CXO12" s="84"/>
      <c r="CXP12" s="84"/>
      <c r="CXQ12" s="84"/>
      <c r="CXR12" s="84"/>
      <c r="CXS12" s="84"/>
      <c r="CXT12" s="84"/>
      <c r="CXU12" s="84"/>
      <c r="CXV12" s="84"/>
      <c r="CXW12" s="84"/>
      <c r="CXX12" s="84"/>
      <c r="CXY12" s="84"/>
      <c r="CXZ12" s="84"/>
      <c r="CYA12" s="84"/>
      <c r="CYB12" s="84"/>
      <c r="CYC12" s="84"/>
      <c r="CYD12" s="84"/>
      <c r="CYE12" s="84"/>
      <c r="CYF12" s="84"/>
      <c r="CYG12" s="84"/>
      <c r="CYH12" s="84"/>
      <c r="CYI12" s="84"/>
      <c r="CYJ12" s="84"/>
      <c r="CYK12" s="84"/>
      <c r="CYL12" s="84"/>
      <c r="CYM12" s="84"/>
      <c r="CYN12" s="84"/>
      <c r="CYO12" s="84"/>
      <c r="CYP12" s="84"/>
      <c r="CYQ12" s="84"/>
      <c r="CYR12" s="84"/>
      <c r="CYS12" s="84"/>
      <c r="CYT12" s="84"/>
      <c r="CYU12" s="84"/>
      <c r="CYV12" s="84"/>
      <c r="CYW12" s="84"/>
      <c r="CYX12" s="84"/>
      <c r="CYY12" s="84"/>
      <c r="CYZ12" s="84"/>
      <c r="CZA12" s="84"/>
      <c r="CZB12" s="84"/>
      <c r="CZC12" s="84"/>
      <c r="CZD12" s="84"/>
      <c r="CZE12" s="84"/>
      <c r="CZF12" s="84"/>
      <c r="CZG12" s="84"/>
      <c r="CZH12" s="84"/>
      <c r="CZI12" s="84"/>
      <c r="CZJ12" s="84"/>
      <c r="CZK12" s="84"/>
      <c r="CZL12" s="84"/>
      <c r="CZM12" s="84"/>
      <c r="CZN12" s="84"/>
      <c r="CZO12" s="84"/>
      <c r="CZP12" s="84"/>
      <c r="CZQ12" s="84"/>
      <c r="CZR12" s="84"/>
      <c r="CZS12" s="84"/>
      <c r="CZT12" s="84"/>
      <c r="CZU12" s="84"/>
      <c r="CZV12" s="84"/>
      <c r="CZW12" s="84"/>
      <c r="CZX12" s="84"/>
      <c r="CZY12" s="84"/>
      <c r="CZZ12" s="84"/>
      <c r="DAA12" s="84"/>
      <c r="DAB12" s="84"/>
      <c r="DAC12" s="84"/>
      <c r="DAD12" s="84"/>
      <c r="DAE12" s="84"/>
      <c r="DAF12" s="84"/>
      <c r="DAG12" s="84"/>
      <c r="DAH12" s="84"/>
      <c r="DAI12" s="84"/>
      <c r="DAJ12" s="84"/>
      <c r="DAK12" s="84"/>
      <c r="DAL12" s="84"/>
      <c r="DAM12" s="84"/>
      <c r="DAN12" s="84"/>
      <c r="DAO12" s="84"/>
      <c r="DAP12" s="84"/>
      <c r="DAQ12" s="84"/>
      <c r="DAR12" s="84"/>
      <c r="DAS12" s="84"/>
      <c r="DAT12" s="84"/>
      <c r="DAU12" s="84"/>
      <c r="DAV12" s="84"/>
      <c r="DAW12" s="84"/>
      <c r="DAX12" s="84"/>
      <c r="DAY12" s="84"/>
      <c r="DAZ12" s="84"/>
      <c r="DBA12" s="84"/>
      <c r="DBB12" s="84"/>
      <c r="DBC12" s="84"/>
      <c r="DBD12" s="84"/>
      <c r="DBE12" s="84"/>
      <c r="DBF12" s="84"/>
      <c r="DBG12" s="84"/>
      <c r="DBH12" s="84"/>
      <c r="DBI12" s="84"/>
      <c r="DBJ12" s="84"/>
      <c r="DBK12" s="84"/>
      <c r="DBL12" s="84"/>
      <c r="DBM12" s="84"/>
      <c r="DBN12" s="84"/>
      <c r="DBO12" s="84"/>
      <c r="DBP12" s="84"/>
      <c r="DBQ12" s="84"/>
      <c r="DBR12" s="84"/>
      <c r="DBS12" s="84"/>
      <c r="DBT12" s="84"/>
      <c r="DBU12" s="84"/>
      <c r="DBV12" s="84"/>
      <c r="DBW12" s="84"/>
      <c r="DBX12" s="84"/>
      <c r="DBY12" s="84"/>
      <c r="DBZ12" s="84"/>
      <c r="DCA12" s="84"/>
      <c r="DCB12" s="84"/>
      <c r="DCC12" s="84"/>
      <c r="DCD12" s="84"/>
      <c r="DCE12" s="84"/>
      <c r="DCF12" s="84"/>
      <c r="DCG12" s="84"/>
      <c r="DCH12" s="84"/>
      <c r="DCI12" s="84"/>
      <c r="DCJ12" s="84"/>
      <c r="DCK12" s="84"/>
      <c r="DCL12" s="84"/>
      <c r="DCM12" s="84"/>
      <c r="DCN12" s="84"/>
      <c r="DCO12" s="84"/>
      <c r="DCP12" s="84"/>
      <c r="DCQ12" s="84"/>
      <c r="DCR12" s="84"/>
      <c r="DCS12" s="84"/>
      <c r="DCT12" s="84"/>
      <c r="DCU12" s="84"/>
      <c r="DCV12" s="84"/>
      <c r="DCW12" s="84"/>
      <c r="DCX12" s="84"/>
      <c r="DCY12" s="84"/>
      <c r="DCZ12" s="84"/>
      <c r="DDA12" s="84"/>
      <c r="DDB12" s="84"/>
      <c r="DDC12" s="84"/>
      <c r="DDD12" s="84"/>
      <c r="DDE12" s="84"/>
      <c r="DDF12" s="84"/>
      <c r="DDG12" s="84"/>
      <c r="DDH12" s="84"/>
      <c r="DDI12" s="84"/>
      <c r="DDJ12" s="84"/>
      <c r="DDK12" s="84"/>
      <c r="DDL12" s="84"/>
      <c r="DDM12" s="84"/>
      <c r="DDN12" s="84"/>
      <c r="DDO12" s="84"/>
      <c r="DDP12" s="84"/>
      <c r="DDQ12" s="84"/>
      <c r="DDR12" s="84"/>
      <c r="DDS12" s="84"/>
      <c r="DDT12" s="84"/>
      <c r="DDU12" s="84"/>
      <c r="DDV12" s="84"/>
      <c r="DDW12" s="84"/>
      <c r="DDX12" s="84"/>
      <c r="DDY12" s="84"/>
      <c r="DDZ12" s="84"/>
      <c r="DEA12" s="84"/>
      <c r="DEB12" s="84"/>
      <c r="DEC12" s="84"/>
      <c r="DED12" s="84"/>
      <c r="DEE12" s="84"/>
      <c r="DEF12" s="84"/>
      <c r="DEG12" s="84"/>
      <c r="DEH12" s="84"/>
      <c r="DEI12" s="84"/>
      <c r="DEJ12" s="84"/>
      <c r="DEK12" s="84"/>
      <c r="DEL12" s="84"/>
      <c r="DEM12" s="84"/>
      <c r="DEN12" s="84"/>
      <c r="DEO12" s="84"/>
      <c r="DEP12" s="84"/>
      <c r="DEQ12" s="84"/>
      <c r="DER12" s="84"/>
      <c r="DES12" s="84"/>
      <c r="DET12" s="84"/>
      <c r="DEU12" s="84"/>
      <c r="DEV12" s="84"/>
      <c r="DEW12" s="84"/>
      <c r="DEX12" s="84"/>
      <c r="DEY12" s="84"/>
      <c r="DEZ12" s="84"/>
      <c r="DFA12" s="84"/>
      <c r="DFB12" s="84"/>
      <c r="DFC12" s="84"/>
      <c r="DFD12" s="84"/>
      <c r="DFE12" s="84"/>
      <c r="DFF12" s="84"/>
      <c r="DFG12" s="84"/>
      <c r="DFH12" s="84"/>
      <c r="DFI12" s="84"/>
      <c r="DFJ12" s="84"/>
      <c r="DFK12" s="84"/>
      <c r="DFL12" s="84"/>
      <c r="DFM12" s="84"/>
      <c r="DFN12" s="84"/>
      <c r="DFO12" s="84"/>
      <c r="DFP12" s="84"/>
      <c r="DFQ12" s="84"/>
      <c r="DFR12" s="84"/>
      <c r="DFS12" s="84"/>
      <c r="DFT12" s="84"/>
      <c r="DFU12" s="84"/>
      <c r="DFV12" s="84"/>
      <c r="DFW12" s="84"/>
      <c r="DFX12" s="84"/>
      <c r="DFY12" s="84"/>
      <c r="DFZ12" s="84"/>
      <c r="DGA12" s="84"/>
      <c r="DGB12" s="84"/>
      <c r="DGC12" s="84"/>
      <c r="DGD12" s="84"/>
      <c r="DGE12" s="84"/>
      <c r="DGF12" s="84"/>
      <c r="DGG12" s="84"/>
      <c r="DGH12" s="84"/>
      <c r="DGI12" s="84"/>
      <c r="DGJ12" s="84"/>
      <c r="DGK12" s="84"/>
      <c r="DGL12" s="84"/>
      <c r="DGM12" s="84"/>
      <c r="DGN12" s="84"/>
      <c r="DGO12" s="84"/>
      <c r="DGP12" s="84"/>
      <c r="DGQ12" s="84"/>
      <c r="DGR12" s="84"/>
      <c r="DGS12" s="84"/>
      <c r="DGT12" s="84"/>
      <c r="DGU12" s="84"/>
      <c r="DGV12" s="84"/>
      <c r="DGW12" s="84"/>
      <c r="DGX12" s="84"/>
      <c r="DGY12" s="84"/>
      <c r="DGZ12" s="84"/>
      <c r="DHA12" s="84"/>
      <c r="DHB12" s="84"/>
      <c r="DHC12" s="84"/>
      <c r="DHD12" s="84"/>
      <c r="DHE12" s="84"/>
      <c r="DHF12" s="84"/>
      <c r="DHG12" s="84"/>
      <c r="DHH12" s="84"/>
      <c r="DHI12" s="84"/>
      <c r="DHJ12" s="84"/>
      <c r="DHK12" s="84"/>
      <c r="DHL12" s="84"/>
      <c r="DHM12" s="84"/>
      <c r="DHN12" s="84"/>
      <c r="DHO12" s="84"/>
      <c r="DHP12" s="84"/>
      <c r="DHQ12" s="84"/>
      <c r="DHR12" s="84"/>
      <c r="DHS12" s="84"/>
      <c r="DHT12" s="84"/>
      <c r="DHU12" s="84"/>
      <c r="DHV12" s="84"/>
      <c r="DHW12" s="84"/>
      <c r="DHX12" s="84"/>
      <c r="DHY12" s="84"/>
      <c r="DHZ12" s="84"/>
      <c r="DIA12" s="84"/>
      <c r="DIB12" s="84"/>
      <c r="DIC12" s="84"/>
      <c r="DID12" s="84"/>
      <c r="DIE12" s="84"/>
      <c r="DIF12" s="84"/>
      <c r="DIG12" s="84"/>
      <c r="DIH12" s="84"/>
      <c r="DII12" s="84"/>
      <c r="DIJ12" s="84"/>
      <c r="DIK12" s="84"/>
      <c r="DIL12" s="84"/>
      <c r="DIM12" s="84"/>
      <c r="DIN12" s="84"/>
      <c r="DIO12" s="84"/>
      <c r="DIP12" s="84"/>
      <c r="DIQ12" s="84"/>
      <c r="DIR12" s="84"/>
      <c r="DIS12" s="84"/>
      <c r="DIT12" s="84"/>
      <c r="DIU12" s="84"/>
      <c r="DIV12" s="84"/>
      <c r="DIW12" s="84"/>
      <c r="DIX12" s="84"/>
      <c r="DIY12" s="84"/>
      <c r="DIZ12" s="84"/>
      <c r="DJA12" s="84"/>
      <c r="DJB12" s="84"/>
      <c r="DJC12" s="84"/>
      <c r="DJD12" s="84"/>
      <c r="DJE12" s="84"/>
      <c r="DJF12" s="84"/>
      <c r="DJG12" s="84"/>
      <c r="DJH12" s="84"/>
      <c r="DJI12" s="84"/>
      <c r="DJJ12" s="84"/>
      <c r="DJK12" s="84"/>
      <c r="DJL12" s="84"/>
      <c r="DJM12" s="84"/>
      <c r="DJN12" s="84"/>
      <c r="DJO12" s="84"/>
      <c r="DJP12" s="84"/>
      <c r="DJQ12" s="84"/>
      <c r="DJR12" s="84"/>
      <c r="DJS12" s="84"/>
      <c r="DJT12" s="84"/>
      <c r="DJU12" s="84"/>
      <c r="DJV12" s="84"/>
      <c r="DJW12" s="84"/>
      <c r="DJX12" s="84"/>
      <c r="DJY12" s="84"/>
      <c r="DJZ12" s="84"/>
      <c r="DKA12" s="84"/>
      <c r="DKB12" s="84"/>
      <c r="DKC12" s="84"/>
      <c r="DKD12" s="84"/>
      <c r="DKE12" s="84"/>
      <c r="DKF12" s="84"/>
      <c r="DKG12" s="84"/>
      <c r="DKH12" s="84"/>
      <c r="DKI12" s="84"/>
      <c r="DKJ12" s="84"/>
      <c r="DKK12" s="84"/>
      <c r="DKL12" s="84"/>
      <c r="DKM12" s="84"/>
      <c r="DKN12" s="84"/>
      <c r="DKO12" s="84"/>
      <c r="DKP12" s="84"/>
      <c r="DKQ12" s="84"/>
      <c r="DKR12" s="84"/>
      <c r="DKS12" s="84"/>
      <c r="DKT12" s="84"/>
      <c r="DKU12" s="84"/>
      <c r="DKV12" s="84"/>
      <c r="DKW12" s="84"/>
      <c r="DKX12" s="84"/>
      <c r="DKY12" s="84"/>
      <c r="DKZ12" s="84"/>
      <c r="DLA12" s="84"/>
      <c r="DLB12" s="84"/>
      <c r="DLC12" s="84"/>
      <c r="DLD12" s="84"/>
      <c r="DLE12" s="84"/>
      <c r="DLF12" s="84"/>
      <c r="DLG12" s="84"/>
      <c r="DLH12" s="84"/>
      <c r="DLI12" s="84"/>
      <c r="DLJ12" s="84"/>
      <c r="DLK12" s="84"/>
      <c r="DLL12" s="84"/>
      <c r="DLM12" s="84"/>
      <c r="DLN12" s="84"/>
      <c r="DLO12" s="84"/>
      <c r="DLP12" s="84"/>
      <c r="DLQ12" s="84"/>
      <c r="DLR12" s="84"/>
      <c r="DLS12" s="84"/>
      <c r="DLT12" s="84"/>
      <c r="DLU12" s="84"/>
      <c r="DLV12" s="84"/>
      <c r="DLW12" s="84"/>
      <c r="DLX12" s="84"/>
      <c r="DLY12" s="84"/>
      <c r="DLZ12" s="84"/>
      <c r="DMA12" s="84"/>
      <c r="DMB12" s="84"/>
      <c r="DMC12" s="84"/>
      <c r="DMD12" s="84"/>
      <c r="DME12" s="84"/>
      <c r="DMF12" s="84"/>
      <c r="DMG12" s="84"/>
      <c r="DMH12" s="84"/>
      <c r="DMI12" s="84"/>
      <c r="DMJ12" s="84"/>
      <c r="DMK12" s="84"/>
      <c r="DML12" s="84"/>
      <c r="DMM12" s="84"/>
      <c r="DMN12" s="84"/>
      <c r="DMO12" s="84"/>
      <c r="DMP12" s="84"/>
      <c r="DMQ12" s="84"/>
      <c r="DMR12" s="84"/>
      <c r="DMS12" s="84"/>
      <c r="DMT12" s="84"/>
      <c r="DMU12" s="84"/>
      <c r="DMV12" s="84"/>
      <c r="DMW12" s="84"/>
      <c r="DMX12" s="84"/>
      <c r="DMY12" s="84"/>
      <c r="DMZ12" s="84"/>
      <c r="DNA12" s="84"/>
      <c r="DNB12" s="84"/>
      <c r="DNC12" s="84"/>
      <c r="DND12" s="84"/>
      <c r="DNE12" s="84"/>
      <c r="DNF12" s="84"/>
      <c r="DNG12" s="84"/>
      <c r="DNH12" s="84"/>
      <c r="DNI12" s="84"/>
      <c r="DNJ12" s="84"/>
      <c r="DNK12" s="84"/>
      <c r="DNL12" s="84"/>
      <c r="DNM12" s="84"/>
      <c r="DNN12" s="84"/>
      <c r="DNO12" s="84"/>
      <c r="DNP12" s="84"/>
      <c r="DNQ12" s="84"/>
      <c r="DNR12" s="84"/>
      <c r="DNS12" s="84"/>
      <c r="DNT12" s="84"/>
      <c r="DNU12" s="84"/>
      <c r="DNV12" s="84"/>
      <c r="DNW12" s="84"/>
      <c r="DNX12" s="84"/>
      <c r="DNY12" s="84"/>
      <c r="DNZ12" s="84"/>
      <c r="DOA12" s="84"/>
      <c r="DOB12" s="84"/>
      <c r="DOC12" s="84"/>
      <c r="DOD12" s="84"/>
      <c r="DOE12" s="84"/>
      <c r="DOF12" s="84"/>
      <c r="DOG12" s="84"/>
      <c r="DOH12" s="84"/>
      <c r="DOI12" s="84"/>
      <c r="DOJ12" s="84"/>
      <c r="DOK12" s="84"/>
      <c r="DOL12" s="84"/>
      <c r="DOM12" s="84"/>
      <c r="DON12" s="84"/>
      <c r="DOO12" s="84"/>
      <c r="DOP12" s="84"/>
      <c r="DOQ12" s="84"/>
      <c r="DOR12" s="84"/>
      <c r="DOS12" s="84"/>
      <c r="DOT12" s="84"/>
      <c r="DOU12" s="84"/>
      <c r="DOV12" s="84"/>
      <c r="DOW12" s="84"/>
      <c r="DOX12" s="84"/>
      <c r="DOY12" s="84"/>
      <c r="DOZ12" s="84"/>
      <c r="DPA12" s="84"/>
      <c r="DPB12" s="84"/>
      <c r="DPC12" s="84"/>
      <c r="DPD12" s="84"/>
      <c r="DPE12" s="84"/>
      <c r="DPF12" s="84"/>
      <c r="DPG12" s="84"/>
      <c r="DPH12" s="84"/>
      <c r="DPI12" s="84"/>
      <c r="DPJ12" s="84"/>
      <c r="DPK12" s="84"/>
      <c r="DPL12" s="84"/>
      <c r="DPM12" s="84"/>
      <c r="DPN12" s="84"/>
      <c r="DPO12" s="84"/>
      <c r="DPP12" s="84"/>
      <c r="DPQ12" s="84"/>
      <c r="DPR12" s="84"/>
      <c r="DPS12" s="84"/>
      <c r="DPT12" s="84"/>
      <c r="DPU12" s="84"/>
      <c r="DPV12" s="84"/>
      <c r="DPW12" s="84"/>
      <c r="DPX12" s="84"/>
      <c r="DPY12" s="84"/>
      <c r="DPZ12" s="84"/>
      <c r="DQA12" s="84"/>
      <c r="DQB12" s="84"/>
      <c r="DQC12" s="84"/>
      <c r="DQD12" s="84"/>
      <c r="DQE12" s="84"/>
      <c r="DQF12" s="84"/>
      <c r="DQG12" s="84"/>
      <c r="DQH12" s="84"/>
      <c r="DQI12" s="84"/>
      <c r="DQJ12" s="84"/>
      <c r="DQK12" s="84"/>
      <c r="DQL12" s="84"/>
      <c r="DQM12" s="84"/>
      <c r="DQN12" s="84"/>
      <c r="DQO12" s="84"/>
      <c r="DQP12" s="84"/>
      <c r="DQQ12" s="84"/>
      <c r="DQR12" s="84"/>
      <c r="DQS12" s="84"/>
      <c r="DQT12" s="84"/>
      <c r="DQU12" s="84"/>
      <c r="DQV12" s="84"/>
      <c r="DQW12" s="84"/>
      <c r="DQX12" s="84"/>
      <c r="DQY12" s="84"/>
      <c r="DQZ12" s="84"/>
      <c r="DRA12" s="84"/>
      <c r="DRB12" s="84"/>
      <c r="DRC12" s="84"/>
      <c r="DRD12" s="84"/>
      <c r="DRE12" s="84"/>
      <c r="DRF12" s="84"/>
      <c r="DRG12" s="84"/>
      <c r="DRH12" s="84"/>
      <c r="DRI12" s="84"/>
      <c r="DRJ12" s="84"/>
      <c r="DRK12" s="84"/>
      <c r="DRL12" s="84"/>
      <c r="DRM12" s="84"/>
      <c r="DRN12" s="84"/>
      <c r="DRO12" s="84"/>
      <c r="DRP12" s="84"/>
      <c r="DRQ12" s="84"/>
      <c r="DRR12" s="84"/>
      <c r="DRS12" s="84"/>
      <c r="DRT12" s="84"/>
      <c r="DRU12" s="84"/>
      <c r="DRV12" s="84"/>
      <c r="DRW12" s="84"/>
      <c r="DRX12" s="84"/>
      <c r="DRY12" s="84"/>
      <c r="DRZ12" s="84"/>
      <c r="DSA12" s="84"/>
      <c r="DSB12" s="84"/>
      <c r="DSC12" s="84"/>
      <c r="DSD12" s="84"/>
      <c r="DSE12" s="84"/>
      <c r="DSF12" s="84"/>
      <c r="DSG12" s="84"/>
      <c r="DSH12" s="84"/>
      <c r="DSI12" s="84"/>
      <c r="DSJ12" s="84"/>
      <c r="DSK12" s="84"/>
      <c r="DSL12" s="84"/>
      <c r="DSM12" s="84"/>
      <c r="DSN12" s="84"/>
      <c r="DSO12" s="84"/>
      <c r="DSP12" s="84"/>
      <c r="DSQ12" s="84"/>
      <c r="DSR12" s="84"/>
      <c r="DSS12" s="84"/>
      <c r="DST12" s="84"/>
      <c r="DSU12" s="84"/>
      <c r="DSV12" s="84"/>
      <c r="DSW12" s="84"/>
      <c r="DSX12" s="84"/>
      <c r="DSY12" s="84"/>
      <c r="DSZ12" s="84"/>
      <c r="DTA12" s="84"/>
      <c r="DTB12" s="84"/>
      <c r="DTC12" s="84"/>
      <c r="DTD12" s="84"/>
      <c r="DTE12" s="84"/>
      <c r="DTF12" s="84"/>
      <c r="DTG12" s="84"/>
      <c r="DTH12" s="84"/>
      <c r="DTI12" s="84"/>
      <c r="DTJ12" s="84"/>
      <c r="DTK12" s="84"/>
      <c r="DTL12" s="84"/>
      <c r="DTM12" s="84"/>
      <c r="DTN12" s="84"/>
      <c r="DTO12" s="84"/>
      <c r="DTP12" s="84"/>
      <c r="DTQ12" s="84"/>
      <c r="DTR12" s="84"/>
      <c r="DTS12" s="84"/>
      <c r="DTT12" s="84"/>
      <c r="DTU12" s="84"/>
      <c r="DTV12" s="84"/>
      <c r="DTW12" s="84"/>
      <c r="DTX12" s="84"/>
      <c r="DTY12" s="84"/>
      <c r="DTZ12" s="84"/>
      <c r="DUA12" s="84"/>
      <c r="DUB12" s="84"/>
      <c r="DUC12" s="84"/>
      <c r="DUD12" s="84"/>
      <c r="DUE12" s="84"/>
      <c r="DUF12" s="84"/>
      <c r="DUG12" s="84"/>
      <c r="DUH12" s="84"/>
      <c r="DUI12" s="84"/>
      <c r="DUJ12" s="84"/>
      <c r="DUK12" s="84"/>
      <c r="DUL12" s="84"/>
      <c r="DUM12" s="84"/>
      <c r="DUN12" s="84"/>
      <c r="DUO12" s="84"/>
      <c r="DUP12" s="84"/>
      <c r="DUQ12" s="84"/>
      <c r="DUR12" s="84"/>
      <c r="DUS12" s="84"/>
      <c r="DUT12" s="84"/>
      <c r="DUU12" s="84"/>
      <c r="DUV12" s="84"/>
      <c r="DUW12" s="84"/>
      <c r="DUX12" s="84"/>
      <c r="DUY12" s="84"/>
      <c r="DUZ12" s="84"/>
      <c r="DVA12" s="84"/>
      <c r="DVB12" s="84"/>
      <c r="DVC12" s="84"/>
      <c r="DVD12" s="84"/>
      <c r="DVE12" s="84"/>
      <c r="DVF12" s="84"/>
      <c r="DVG12" s="84"/>
      <c r="DVH12" s="84"/>
      <c r="DVI12" s="84"/>
      <c r="DVJ12" s="84"/>
      <c r="DVK12" s="84"/>
      <c r="DVL12" s="84"/>
      <c r="DVM12" s="84"/>
      <c r="DVN12" s="84"/>
      <c r="DVO12" s="84"/>
      <c r="DVP12" s="84"/>
      <c r="DVQ12" s="84"/>
      <c r="DVR12" s="84"/>
      <c r="DVS12" s="84"/>
      <c r="DVT12" s="84"/>
      <c r="DVU12" s="84"/>
      <c r="DVV12" s="84"/>
      <c r="DVW12" s="84"/>
      <c r="DVX12" s="84"/>
      <c r="DVY12" s="84"/>
      <c r="DVZ12" s="84"/>
      <c r="DWA12" s="84"/>
      <c r="DWB12" s="84"/>
      <c r="DWC12" s="84"/>
      <c r="DWD12" s="84"/>
      <c r="DWE12" s="84"/>
      <c r="DWF12" s="84"/>
      <c r="DWG12" s="84"/>
      <c r="DWH12" s="84"/>
      <c r="DWI12" s="84"/>
      <c r="DWJ12" s="84"/>
      <c r="DWK12" s="84"/>
      <c r="DWL12" s="84"/>
      <c r="DWM12" s="84"/>
      <c r="DWN12" s="84"/>
      <c r="DWO12" s="84"/>
      <c r="DWP12" s="84"/>
      <c r="DWQ12" s="84"/>
      <c r="DWR12" s="84"/>
      <c r="DWS12" s="84"/>
      <c r="DWT12" s="84"/>
      <c r="DWU12" s="84"/>
      <c r="DWV12" s="84"/>
      <c r="DWW12" s="84"/>
      <c r="DWX12" s="84"/>
      <c r="DWY12" s="84"/>
      <c r="DWZ12" s="84"/>
      <c r="DXA12" s="84"/>
      <c r="DXB12" s="84"/>
      <c r="DXC12" s="84"/>
      <c r="DXD12" s="84"/>
      <c r="DXE12" s="84"/>
      <c r="DXF12" s="84"/>
      <c r="DXG12" s="84"/>
      <c r="DXH12" s="84"/>
      <c r="DXI12" s="84"/>
      <c r="DXJ12" s="84"/>
      <c r="DXK12" s="84"/>
      <c r="DXL12" s="84"/>
      <c r="DXM12" s="84"/>
      <c r="DXN12" s="84"/>
      <c r="DXO12" s="84"/>
      <c r="DXP12" s="84"/>
      <c r="DXQ12" s="84"/>
      <c r="DXR12" s="84"/>
      <c r="DXS12" s="84"/>
      <c r="DXT12" s="84"/>
      <c r="DXU12" s="84"/>
      <c r="DXV12" s="84"/>
      <c r="DXW12" s="84"/>
      <c r="DXX12" s="84"/>
      <c r="DXY12" s="84"/>
      <c r="DXZ12" s="84"/>
      <c r="DYA12" s="84"/>
      <c r="DYB12" s="84"/>
      <c r="DYC12" s="84"/>
      <c r="DYD12" s="84"/>
      <c r="DYE12" s="84"/>
      <c r="DYF12" s="84"/>
      <c r="DYG12" s="84"/>
      <c r="DYH12" s="84"/>
      <c r="DYI12" s="84"/>
      <c r="DYJ12" s="84"/>
      <c r="DYK12" s="84"/>
      <c r="DYL12" s="84"/>
      <c r="DYM12" s="84"/>
      <c r="DYN12" s="84"/>
      <c r="DYO12" s="84"/>
      <c r="DYP12" s="84"/>
      <c r="DYQ12" s="84"/>
      <c r="DYR12" s="84"/>
      <c r="DYS12" s="84"/>
      <c r="DYT12" s="84"/>
      <c r="DYU12" s="84"/>
      <c r="DYV12" s="84"/>
      <c r="DYW12" s="84"/>
      <c r="DYX12" s="84"/>
      <c r="DYY12" s="84"/>
      <c r="DYZ12" s="84"/>
      <c r="DZA12" s="84"/>
      <c r="DZB12" s="84"/>
      <c r="DZC12" s="84"/>
      <c r="DZD12" s="84"/>
      <c r="DZE12" s="84"/>
      <c r="DZF12" s="84"/>
      <c r="DZG12" s="84"/>
      <c r="DZH12" s="84"/>
      <c r="DZI12" s="84"/>
      <c r="DZJ12" s="84"/>
      <c r="DZK12" s="84"/>
      <c r="DZL12" s="84"/>
      <c r="DZM12" s="84"/>
      <c r="DZN12" s="84"/>
      <c r="DZO12" s="84"/>
      <c r="DZP12" s="84"/>
      <c r="DZQ12" s="84"/>
      <c r="DZR12" s="84"/>
      <c r="DZS12" s="84"/>
      <c r="DZT12" s="84"/>
      <c r="DZU12" s="84"/>
      <c r="DZV12" s="84"/>
      <c r="DZW12" s="84"/>
      <c r="DZX12" s="84"/>
      <c r="DZY12" s="84"/>
      <c r="DZZ12" s="84"/>
      <c r="EAA12" s="84"/>
      <c r="EAB12" s="84"/>
      <c r="EAC12" s="84"/>
      <c r="EAD12" s="84"/>
      <c r="EAE12" s="84"/>
      <c r="EAF12" s="84"/>
      <c r="EAG12" s="84"/>
      <c r="EAH12" s="84"/>
      <c r="EAI12" s="84"/>
      <c r="EAJ12" s="84"/>
      <c r="EAK12" s="84"/>
      <c r="EAL12" s="84"/>
      <c r="EAM12" s="84"/>
      <c r="EAN12" s="84"/>
      <c r="EAO12" s="84"/>
      <c r="EAP12" s="84"/>
      <c r="EAQ12" s="84"/>
      <c r="EAR12" s="84"/>
      <c r="EAS12" s="84"/>
      <c r="EAT12" s="84"/>
      <c r="EAU12" s="84"/>
      <c r="EAV12" s="84"/>
      <c r="EAW12" s="84"/>
      <c r="EAX12" s="84"/>
      <c r="EAY12" s="84"/>
      <c r="EAZ12" s="84"/>
      <c r="EBA12" s="84"/>
      <c r="EBB12" s="84"/>
      <c r="EBC12" s="84"/>
      <c r="EBD12" s="84"/>
      <c r="EBE12" s="84"/>
      <c r="EBF12" s="84"/>
      <c r="EBG12" s="84"/>
      <c r="EBH12" s="84"/>
      <c r="EBI12" s="84"/>
      <c r="EBJ12" s="84"/>
      <c r="EBK12" s="84"/>
      <c r="EBL12" s="84"/>
      <c r="EBM12" s="84"/>
      <c r="EBN12" s="84"/>
      <c r="EBO12" s="84"/>
      <c r="EBP12" s="84"/>
      <c r="EBQ12" s="84"/>
      <c r="EBR12" s="84"/>
      <c r="EBS12" s="84"/>
      <c r="EBT12" s="84"/>
      <c r="EBU12" s="84"/>
      <c r="EBV12" s="84"/>
      <c r="EBW12" s="84"/>
      <c r="EBX12" s="84"/>
      <c r="EBY12" s="84"/>
      <c r="EBZ12" s="84"/>
      <c r="ECA12" s="84"/>
      <c r="ECB12" s="84"/>
      <c r="ECC12" s="84"/>
      <c r="ECD12" s="84"/>
      <c r="ECE12" s="84"/>
      <c r="ECF12" s="84"/>
      <c r="ECG12" s="84"/>
      <c r="ECH12" s="84"/>
      <c r="ECI12" s="84"/>
      <c r="ECJ12" s="84"/>
      <c r="ECK12" s="84"/>
      <c r="ECL12" s="84"/>
      <c r="ECM12" s="84"/>
      <c r="ECN12" s="84"/>
      <c r="ECO12" s="84"/>
      <c r="ECP12" s="84"/>
      <c r="ECQ12" s="84"/>
      <c r="ECR12" s="84"/>
      <c r="ECS12" s="84"/>
      <c r="ECT12" s="84"/>
      <c r="ECU12" s="84"/>
      <c r="ECV12" s="84"/>
      <c r="ECW12" s="84"/>
      <c r="ECX12" s="84"/>
      <c r="ECY12" s="84"/>
      <c r="ECZ12" s="84"/>
      <c r="EDA12" s="84"/>
      <c r="EDB12" s="84"/>
      <c r="EDC12" s="84"/>
      <c r="EDD12" s="84"/>
      <c r="EDE12" s="84"/>
      <c r="EDF12" s="84"/>
      <c r="EDG12" s="84"/>
      <c r="EDH12" s="84"/>
      <c r="EDI12" s="84"/>
      <c r="EDJ12" s="84"/>
      <c r="EDK12" s="84"/>
      <c r="EDL12" s="84"/>
      <c r="EDM12" s="84"/>
      <c r="EDN12" s="84"/>
      <c r="EDO12" s="84"/>
      <c r="EDP12" s="84"/>
      <c r="EDQ12" s="84"/>
      <c r="EDR12" s="84"/>
      <c r="EDS12" s="84"/>
      <c r="EDT12" s="84"/>
      <c r="EDU12" s="84"/>
      <c r="EDV12" s="84"/>
      <c r="EDW12" s="84"/>
      <c r="EDX12" s="84"/>
      <c r="EDY12" s="84"/>
      <c r="EDZ12" s="84"/>
      <c r="EEA12" s="84"/>
      <c r="EEB12" s="84"/>
      <c r="EEC12" s="84"/>
      <c r="EED12" s="84"/>
      <c r="EEE12" s="84"/>
      <c r="EEF12" s="84"/>
      <c r="EEG12" s="84"/>
      <c r="EEH12" s="84"/>
      <c r="EEI12" s="84"/>
      <c r="EEJ12" s="84"/>
      <c r="EEK12" s="84"/>
      <c r="EEL12" s="84"/>
      <c r="EEM12" s="84"/>
      <c r="EEN12" s="84"/>
      <c r="EEO12" s="84"/>
      <c r="EEP12" s="84"/>
      <c r="EEQ12" s="84"/>
      <c r="EER12" s="84"/>
      <c r="EES12" s="84"/>
      <c r="EET12" s="84"/>
      <c r="EEU12" s="84"/>
      <c r="EEV12" s="84"/>
      <c r="EEW12" s="84"/>
      <c r="EEX12" s="84"/>
      <c r="EEY12" s="84"/>
      <c r="EEZ12" s="84"/>
      <c r="EFA12" s="84"/>
      <c r="EFB12" s="84"/>
      <c r="EFC12" s="84"/>
      <c r="EFD12" s="84"/>
      <c r="EFE12" s="84"/>
      <c r="EFF12" s="84"/>
      <c r="EFG12" s="84"/>
      <c r="EFH12" s="84"/>
      <c r="EFI12" s="84"/>
      <c r="EFJ12" s="84"/>
      <c r="EFK12" s="84"/>
      <c r="EFL12" s="84"/>
      <c r="EFM12" s="84"/>
      <c r="EFN12" s="84"/>
      <c r="EFO12" s="84"/>
      <c r="EFP12" s="84"/>
      <c r="EFQ12" s="84"/>
      <c r="EFR12" s="84"/>
      <c r="EFS12" s="84"/>
      <c r="EFT12" s="84"/>
      <c r="EFU12" s="84"/>
      <c r="EFV12" s="84"/>
      <c r="EFW12" s="84"/>
      <c r="EFX12" s="84"/>
      <c r="EFY12" s="84"/>
      <c r="EFZ12" s="84"/>
      <c r="EGA12" s="84"/>
      <c r="EGB12" s="84"/>
      <c r="EGC12" s="84"/>
      <c r="EGD12" s="84"/>
      <c r="EGE12" s="84"/>
      <c r="EGF12" s="84"/>
      <c r="EGG12" s="84"/>
      <c r="EGH12" s="84"/>
      <c r="EGI12" s="84"/>
      <c r="EGJ12" s="84"/>
      <c r="EGK12" s="84"/>
      <c r="EGL12" s="84"/>
      <c r="EGM12" s="84"/>
      <c r="EGN12" s="84"/>
      <c r="EGO12" s="84"/>
      <c r="EGP12" s="84"/>
      <c r="EGQ12" s="84"/>
      <c r="EGR12" s="84"/>
      <c r="EGS12" s="84"/>
      <c r="EGT12" s="84"/>
      <c r="EGU12" s="84"/>
      <c r="EGV12" s="84"/>
      <c r="EGW12" s="84"/>
      <c r="EGX12" s="84"/>
      <c r="EGY12" s="84"/>
      <c r="EGZ12" s="84"/>
      <c r="EHA12" s="84"/>
      <c r="EHB12" s="84"/>
      <c r="EHC12" s="84"/>
      <c r="EHD12" s="84"/>
      <c r="EHE12" s="84"/>
      <c r="EHF12" s="84"/>
      <c r="EHG12" s="84"/>
      <c r="EHH12" s="84"/>
      <c r="EHI12" s="84"/>
      <c r="EHJ12" s="84"/>
      <c r="EHK12" s="84"/>
      <c r="EHL12" s="84"/>
      <c r="EHM12" s="84"/>
      <c r="EHN12" s="84"/>
      <c r="EHO12" s="84"/>
      <c r="EHP12" s="84"/>
      <c r="EHQ12" s="84"/>
      <c r="EHR12" s="84"/>
      <c r="EHS12" s="84"/>
      <c r="EHT12" s="84"/>
      <c r="EHU12" s="84"/>
      <c r="EHV12" s="84"/>
      <c r="EHW12" s="84"/>
      <c r="EHX12" s="84"/>
      <c r="EHY12" s="84"/>
      <c r="EHZ12" s="84"/>
      <c r="EIA12" s="84"/>
      <c r="EIB12" s="84"/>
      <c r="EIC12" s="84"/>
      <c r="EID12" s="84"/>
      <c r="EIE12" s="84"/>
      <c r="EIF12" s="84"/>
      <c r="EIG12" s="84"/>
      <c r="EIH12" s="84"/>
      <c r="EII12" s="84"/>
      <c r="EIJ12" s="84"/>
      <c r="EIK12" s="84"/>
      <c r="EIL12" s="84"/>
      <c r="EIM12" s="84"/>
      <c r="EIN12" s="84"/>
      <c r="EIO12" s="84"/>
      <c r="EIP12" s="84"/>
      <c r="EIQ12" s="84"/>
      <c r="EIR12" s="84"/>
      <c r="EIS12" s="84"/>
      <c r="EIT12" s="84"/>
      <c r="EIU12" s="84"/>
      <c r="EIV12" s="84"/>
      <c r="EIW12" s="84"/>
      <c r="EIX12" s="84"/>
      <c r="EIY12" s="84"/>
      <c r="EIZ12" s="84"/>
      <c r="EJA12" s="84"/>
      <c r="EJB12" s="84"/>
      <c r="EJC12" s="84"/>
      <c r="EJD12" s="84"/>
      <c r="EJE12" s="84"/>
      <c r="EJF12" s="84"/>
      <c r="EJG12" s="84"/>
      <c r="EJH12" s="84"/>
      <c r="EJI12" s="84"/>
      <c r="EJJ12" s="84"/>
      <c r="EJK12" s="84"/>
      <c r="EJL12" s="84"/>
      <c r="EJM12" s="84"/>
      <c r="EJN12" s="84"/>
      <c r="EJO12" s="84"/>
      <c r="EJP12" s="84"/>
      <c r="EJQ12" s="84"/>
      <c r="EJR12" s="84"/>
      <c r="EJS12" s="84"/>
      <c r="EJT12" s="84"/>
      <c r="EJU12" s="84"/>
      <c r="EJV12" s="84"/>
      <c r="EJW12" s="84"/>
      <c r="EJX12" s="84"/>
      <c r="EJY12" s="84"/>
      <c r="EJZ12" s="84"/>
      <c r="EKA12" s="84"/>
      <c r="EKB12" s="84"/>
      <c r="EKC12" s="84"/>
      <c r="EKD12" s="84"/>
      <c r="EKE12" s="84"/>
      <c r="EKF12" s="84"/>
      <c r="EKG12" s="84"/>
      <c r="EKH12" s="84"/>
      <c r="EKI12" s="84"/>
      <c r="EKJ12" s="84"/>
      <c r="EKK12" s="84"/>
      <c r="EKL12" s="84"/>
      <c r="EKM12" s="84"/>
      <c r="EKN12" s="84"/>
      <c r="EKO12" s="84"/>
      <c r="EKP12" s="84"/>
      <c r="EKQ12" s="84"/>
      <c r="EKR12" s="84"/>
      <c r="EKS12" s="84"/>
      <c r="EKT12" s="84"/>
      <c r="EKU12" s="84"/>
      <c r="EKV12" s="84"/>
      <c r="EKW12" s="84"/>
      <c r="EKX12" s="84"/>
      <c r="EKY12" s="84"/>
      <c r="EKZ12" s="84"/>
      <c r="ELA12" s="84"/>
      <c r="ELB12" s="84"/>
      <c r="ELC12" s="84"/>
      <c r="ELD12" s="84"/>
      <c r="ELE12" s="84"/>
      <c r="ELF12" s="84"/>
      <c r="ELG12" s="84"/>
      <c r="ELH12" s="84"/>
      <c r="ELI12" s="84"/>
      <c r="ELJ12" s="84"/>
      <c r="ELK12" s="84"/>
      <c r="ELL12" s="84"/>
      <c r="ELM12" s="84"/>
      <c r="ELN12" s="84"/>
      <c r="ELO12" s="84"/>
      <c r="ELP12" s="84"/>
      <c r="ELQ12" s="84"/>
      <c r="ELR12" s="84"/>
      <c r="ELS12" s="84"/>
      <c r="ELT12" s="84"/>
      <c r="ELU12" s="84"/>
      <c r="ELV12" s="84"/>
      <c r="ELW12" s="84"/>
      <c r="ELX12" s="84"/>
      <c r="ELY12" s="84"/>
      <c r="ELZ12" s="84"/>
      <c r="EMA12" s="84"/>
      <c r="EMB12" s="84"/>
      <c r="EMC12" s="84"/>
      <c r="EMD12" s="84"/>
      <c r="EME12" s="84"/>
      <c r="EMF12" s="84"/>
      <c r="EMG12" s="84"/>
      <c r="EMH12" s="84"/>
      <c r="EMI12" s="84"/>
      <c r="EMJ12" s="84"/>
      <c r="EMK12" s="84"/>
      <c r="EML12" s="84"/>
      <c r="EMM12" s="84"/>
      <c r="EMN12" s="84"/>
      <c r="EMO12" s="84"/>
      <c r="EMP12" s="84"/>
      <c r="EMQ12" s="84"/>
      <c r="EMR12" s="84"/>
      <c r="EMS12" s="84"/>
      <c r="EMT12" s="84"/>
      <c r="EMU12" s="84"/>
      <c r="EMV12" s="84"/>
      <c r="EMW12" s="84"/>
      <c r="EMX12" s="84"/>
      <c r="EMY12" s="84"/>
      <c r="EMZ12" s="84"/>
      <c r="ENA12" s="84"/>
      <c r="ENB12" s="84"/>
      <c r="ENC12" s="84"/>
      <c r="END12" s="84"/>
      <c r="ENE12" s="84"/>
      <c r="ENF12" s="84"/>
      <c r="ENG12" s="84"/>
      <c r="ENH12" s="84"/>
      <c r="ENI12" s="84"/>
      <c r="ENJ12" s="84"/>
      <c r="ENK12" s="84"/>
      <c r="ENL12" s="84"/>
      <c r="ENM12" s="84"/>
      <c r="ENN12" s="84"/>
      <c r="ENO12" s="84"/>
      <c r="ENP12" s="84"/>
      <c r="ENQ12" s="84"/>
      <c r="ENR12" s="84"/>
      <c r="ENS12" s="84"/>
      <c r="ENT12" s="84"/>
      <c r="ENU12" s="84"/>
      <c r="ENV12" s="84"/>
      <c r="ENW12" s="84"/>
      <c r="ENX12" s="84"/>
      <c r="ENY12" s="84"/>
      <c r="ENZ12" s="84"/>
      <c r="EOA12" s="84"/>
      <c r="EOB12" s="84"/>
      <c r="EOC12" s="84"/>
      <c r="EOD12" s="84"/>
      <c r="EOE12" s="84"/>
      <c r="EOF12" s="84"/>
      <c r="EOG12" s="84"/>
      <c r="EOH12" s="84"/>
      <c r="EOI12" s="84"/>
      <c r="EOJ12" s="84"/>
      <c r="EOK12" s="84"/>
      <c r="EOL12" s="84"/>
      <c r="EOM12" s="84"/>
      <c r="EON12" s="84"/>
      <c r="EOO12" s="84"/>
      <c r="EOP12" s="84"/>
      <c r="EOQ12" s="84"/>
      <c r="EOR12" s="84"/>
      <c r="EOS12" s="84"/>
      <c r="EOT12" s="84"/>
      <c r="EOU12" s="84"/>
      <c r="EOV12" s="84"/>
      <c r="EOW12" s="84"/>
      <c r="EOX12" s="84"/>
      <c r="EOY12" s="84"/>
      <c r="EOZ12" s="84"/>
      <c r="EPA12" s="84"/>
      <c r="EPB12" s="84"/>
      <c r="EPC12" s="84"/>
      <c r="EPD12" s="84"/>
      <c r="EPE12" s="84"/>
      <c r="EPF12" s="84"/>
      <c r="EPG12" s="84"/>
      <c r="EPH12" s="84"/>
      <c r="EPI12" s="84"/>
      <c r="EPJ12" s="84"/>
      <c r="EPK12" s="84"/>
      <c r="EPL12" s="84"/>
      <c r="EPM12" s="84"/>
      <c r="EPN12" s="84"/>
      <c r="EPO12" s="84"/>
      <c r="EPP12" s="84"/>
      <c r="EPQ12" s="84"/>
      <c r="EPR12" s="84"/>
      <c r="EPS12" s="84"/>
      <c r="EPT12" s="84"/>
      <c r="EPU12" s="84"/>
      <c r="EPV12" s="84"/>
      <c r="EPW12" s="84"/>
      <c r="EPX12" s="84"/>
      <c r="EPY12" s="84"/>
      <c r="EPZ12" s="84"/>
      <c r="EQA12" s="84"/>
      <c r="EQB12" s="84"/>
      <c r="EQC12" s="84"/>
      <c r="EQD12" s="84"/>
      <c r="EQE12" s="84"/>
      <c r="EQF12" s="84"/>
      <c r="EQG12" s="84"/>
      <c r="EQH12" s="84"/>
      <c r="EQI12" s="84"/>
      <c r="EQJ12" s="84"/>
      <c r="EQK12" s="84"/>
      <c r="EQL12" s="84"/>
      <c r="EQM12" s="84"/>
      <c r="EQN12" s="84"/>
      <c r="EQO12" s="84"/>
      <c r="EQP12" s="84"/>
      <c r="EQQ12" s="84"/>
      <c r="EQR12" s="84"/>
      <c r="EQS12" s="84"/>
      <c r="EQT12" s="84"/>
      <c r="EQU12" s="84"/>
      <c r="EQV12" s="84"/>
      <c r="EQW12" s="84"/>
      <c r="EQX12" s="84"/>
      <c r="EQY12" s="84"/>
      <c r="EQZ12" s="84"/>
      <c r="ERA12" s="84"/>
      <c r="ERB12" s="84"/>
      <c r="ERC12" s="84"/>
      <c r="ERD12" s="84"/>
      <c r="ERE12" s="84"/>
      <c r="ERF12" s="84"/>
      <c r="ERG12" s="84"/>
      <c r="ERH12" s="84"/>
      <c r="ERI12" s="84"/>
      <c r="ERJ12" s="84"/>
      <c r="ERK12" s="84"/>
      <c r="ERL12" s="84"/>
      <c r="ERM12" s="84"/>
      <c r="ERN12" s="84"/>
      <c r="ERO12" s="84"/>
      <c r="ERP12" s="84"/>
      <c r="ERQ12" s="84"/>
      <c r="ERR12" s="84"/>
      <c r="ERS12" s="84"/>
      <c r="ERT12" s="84"/>
      <c r="ERU12" s="84"/>
      <c r="ERV12" s="84"/>
      <c r="ERW12" s="84"/>
      <c r="ERX12" s="84"/>
      <c r="ERY12" s="84"/>
      <c r="ERZ12" s="84"/>
      <c r="ESA12" s="84"/>
      <c r="ESB12" s="84"/>
      <c r="ESC12" s="84"/>
      <c r="ESD12" s="84"/>
      <c r="ESE12" s="84"/>
      <c r="ESF12" s="84"/>
      <c r="ESG12" s="84"/>
      <c r="ESH12" s="84"/>
      <c r="ESI12" s="84"/>
      <c r="ESJ12" s="84"/>
      <c r="ESK12" s="84"/>
      <c r="ESL12" s="84"/>
      <c r="ESM12" s="84"/>
      <c r="ESN12" s="84"/>
      <c r="ESO12" s="84"/>
      <c r="ESP12" s="84"/>
      <c r="ESQ12" s="84"/>
      <c r="ESR12" s="84"/>
      <c r="ESS12" s="84"/>
      <c r="EST12" s="84"/>
      <c r="ESU12" s="84"/>
      <c r="ESV12" s="84"/>
      <c r="ESW12" s="84"/>
      <c r="ESX12" s="84"/>
      <c r="ESY12" s="84"/>
      <c r="ESZ12" s="84"/>
      <c r="ETA12" s="84"/>
      <c r="ETB12" s="84"/>
      <c r="ETC12" s="84"/>
      <c r="ETD12" s="84"/>
      <c r="ETE12" s="84"/>
      <c r="ETF12" s="84"/>
      <c r="ETG12" s="84"/>
      <c r="ETH12" s="84"/>
      <c r="ETI12" s="84"/>
      <c r="ETJ12" s="84"/>
      <c r="ETK12" s="84"/>
      <c r="ETL12" s="84"/>
      <c r="ETM12" s="84"/>
      <c r="ETN12" s="84"/>
      <c r="ETO12" s="84"/>
      <c r="ETP12" s="84"/>
      <c r="ETQ12" s="84"/>
      <c r="ETR12" s="84"/>
      <c r="ETS12" s="84"/>
      <c r="ETT12" s="84"/>
      <c r="ETU12" s="84"/>
      <c r="ETV12" s="84"/>
      <c r="ETW12" s="84"/>
      <c r="ETX12" s="84"/>
      <c r="ETY12" s="84"/>
      <c r="ETZ12" s="84"/>
      <c r="EUA12" s="84"/>
      <c r="EUB12" s="84"/>
      <c r="EUC12" s="84"/>
      <c r="EUD12" s="84"/>
      <c r="EUE12" s="84"/>
      <c r="EUF12" s="84"/>
      <c r="EUG12" s="84"/>
      <c r="EUH12" s="84"/>
      <c r="EUI12" s="84"/>
      <c r="EUJ12" s="84"/>
      <c r="EUK12" s="84"/>
      <c r="EUL12" s="84"/>
      <c r="EUM12" s="84"/>
      <c r="EUN12" s="84"/>
      <c r="EUO12" s="84"/>
      <c r="EUP12" s="84"/>
      <c r="EUQ12" s="84"/>
      <c r="EUR12" s="84"/>
      <c r="EUS12" s="84"/>
      <c r="EUT12" s="84"/>
      <c r="EUU12" s="84"/>
      <c r="EUV12" s="84"/>
      <c r="EUW12" s="84"/>
      <c r="EUX12" s="84"/>
      <c r="EUY12" s="84"/>
      <c r="EUZ12" s="84"/>
      <c r="EVA12" s="84"/>
      <c r="EVB12" s="84"/>
      <c r="EVC12" s="84"/>
      <c r="EVD12" s="84"/>
      <c r="EVE12" s="84"/>
      <c r="EVF12" s="84"/>
      <c r="EVG12" s="84"/>
      <c r="EVH12" s="84"/>
      <c r="EVI12" s="84"/>
      <c r="EVJ12" s="84"/>
      <c r="EVK12" s="84"/>
      <c r="EVL12" s="84"/>
      <c r="EVM12" s="84"/>
      <c r="EVN12" s="84"/>
      <c r="EVO12" s="84"/>
      <c r="EVP12" s="84"/>
      <c r="EVQ12" s="84"/>
      <c r="EVR12" s="84"/>
      <c r="EVS12" s="84"/>
      <c r="EVT12" s="84"/>
      <c r="EVU12" s="84"/>
      <c r="EVV12" s="84"/>
      <c r="EVW12" s="84"/>
      <c r="EVX12" s="84"/>
      <c r="EVY12" s="84"/>
      <c r="EVZ12" s="84"/>
      <c r="EWA12" s="84"/>
      <c r="EWB12" s="84"/>
      <c r="EWC12" s="84"/>
      <c r="EWD12" s="84"/>
      <c r="EWE12" s="84"/>
      <c r="EWF12" s="84"/>
      <c r="EWG12" s="84"/>
      <c r="EWH12" s="84"/>
      <c r="EWI12" s="84"/>
      <c r="EWJ12" s="84"/>
      <c r="EWK12" s="84"/>
      <c r="EWL12" s="84"/>
      <c r="EWM12" s="84"/>
      <c r="EWN12" s="84"/>
      <c r="EWO12" s="84"/>
      <c r="EWP12" s="84"/>
      <c r="EWQ12" s="84"/>
      <c r="EWR12" s="84"/>
      <c r="EWS12" s="84"/>
      <c r="EWT12" s="84"/>
      <c r="EWU12" s="84"/>
      <c r="EWV12" s="84"/>
      <c r="EWW12" s="84"/>
      <c r="EWX12" s="84"/>
      <c r="EWY12" s="84"/>
      <c r="EWZ12" s="84"/>
      <c r="EXA12" s="84"/>
      <c r="EXB12" s="84"/>
      <c r="EXC12" s="84"/>
      <c r="EXD12" s="84"/>
      <c r="EXE12" s="84"/>
      <c r="EXF12" s="84"/>
      <c r="EXG12" s="84"/>
      <c r="EXH12" s="84"/>
      <c r="EXI12" s="84"/>
      <c r="EXJ12" s="84"/>
      <c r="EXK12" s="84"/>
      <c r="EXL12" s="84"/>
      <c r="EXM12" s="84"/>
      <c r="EXN12" s="84"/>
      <c r="EXO12" s="84"/>
      <c r="EXP12" s="84"/>
      <c r="EXQ12" s="84"/>
      <c r="EXR12" s="84"/>
      <c r="EXS12" s="84"/>
      <c r="EXT12" s="84"/>
      <c r="EXU12" s="84"/>
      <c r="EXV12" s="84"/>
      <c r="EXW12" s="84"/>
      <c r="EXX12" s="84"/>
      <c r="EXY12" s="84"/>
      <c r="EXZ12" s="84"/>
      <c r="EYA12" s="84"/>
      <c r="EYB12" s="84"/>
      <c r="EYC12" s="84"/>
      <c r="EYD12" s="84"/>
      <c r="EYE12" s="84"/>
      <c r="EYF12" s="84"/>
      <c r="EYG12" s="84"/>
      <c r="EYH12" s="84"/>
      <c r="EYI12" s="84"/>
      <c r="EYJ12" s="84"/>
      <c r="EYK12" s="84"/>
      <c r="EYL12" s="84"/>
      <c r="EYM12" s="84"/>
      <c r="EYN12" s="84"/>
      <c r="EYO12" s="84"/>
      <c r="EYP12" s="84"/>
      <c r="EYQ12" s="84"/>
      <c r="EYR12" s="84"/>
      <c r="EYS12" s="84"/>
      <c r="EYT12" s="84"/>
      <c r="EYU12" s="84"/>
      <c r="EYV12" s="84"/>
      <c r="EYW12" s="84"/>
      <c r="EYX12" s="84"/>
      <c r="EYY12" s="84"/>
      <c r="EYZ12" s="84"/>
      <c r="EZA12" s="84"/>
      <c r="EZB12" s="84"/>
      <c r="EZC12" s="84"/>
      <c r="EZD12" s="84"/>
      <c r="EZE12" s="84"/>
      <c r="EZF12" s="84"/>
      <c r="EZG12" s="84"/>
      <c r="EZH12" s="84"/>
      <c r="EZI12" s="84"/>
      <c r="EZJ12" s="84"/>
      <c r="EZK12" s="84"/>
      <c r="EZL12" s="84"/>
      <c r="EZM12" s="84"/>
      <c r="EZN12" s="84"/>
      <c r="EZO12" s="84"/>
      <c r="EZP12" s="84"/>
      <c r="EZQ12" s="84"/>
      <c r="EZR12" s="84"/>
      <c r="EZS12" s="84"/>
      <c r="EZT12" s="84"/>
      <c r="EZU12" s="84"/>
      <c r="EZV12" s="84"/>
      <c r="EZW12" s="84"/>
      <c r="EZX12" s="84"/>
      <c r="EZY12" s="84"/>
      <c r="EZZ12" s="84"/>
      <c r="FAA12" s="84"/>
      <c r="FAB12" s="84"/>
      <c r="FAC12" s="84"/>
      <c r="FAD12" s="84"/>
      <c r="FAE12" s="84"/>
      <c r="FAF12" s="84"/>
      <c r="FAG12" s="84"/>
      <c r="FAH12" s="84"/>
      <c r="FAI12" s="84"/>
      <c r="FAJ12" s="84"/>
      <c r="FAK12" s="84"/>
      <c r="FAL12" s="84"/>
      <c r="FAM12" s="84"/>
      <c r="FAN12" s="84"/>
      <c r="FAO12" s="84"/>
      <c r="FAP12" s="84"/>
      <c r="FAQ12" s="84"/>
      <c r="FAR12" s="84"/>
      <c r="FAS12" s="84"/>
      <c r="FAT12" s="84"/>
      <c r="FAU12" s="84"/>
      <c r="FAV12" s="84"/>
      <c r="FAW12" s="84"/>
      <c r="FAX12" s="84"/>
      <c r="FAY12" s="84"/>
      <c r="FAZ12" s="84"/>
      <c r="FBA12" s="84"/>
      <c r="FBB12" s="84"/>
      <c r="FBC12" s="84"/>
      <c r="FBD12" s="84"/>
      <c r="FBE12" s="84"/>
      <c r="FBF12" s="84"/>
      <c r="FBG12" s="84"/>
      <c r="FBH12" s="84"/>
      <c r="FBI12" s="84"/>
      <c r="FBJ12" s="84"/>
      <c r="FBK12" s="84"/>
      <c r="FBL12" s="84"/>
      <c r="FBM12" s="84"/>
      <c r="FBN12" s="84"/>
      <c r="FBO12" s="84"/>
      <c r="FBP12" s="84"/>
      <c r="FBQ12" s="84"/>
      <c r="FBR12" s="84"/>
      <c r="FBS12" s="84"/>
      <c r="FBT12" s="84"/>
      <c r="FBU12" s="84"/>
      <c r="FBV12" s="84"/>
      <c r="FBW12" s="84"/>
      <c r="FBX12" s="84"/>
      <c r="FBY12" s="84"/>
      <c r="FBZ12" s="84"/>
      <c r="FCA12" s="84"/>
      <c r="FCB12" s="84"/>
      <c r="FCC12" s="84"/>
      <c r="FCD12" s="84"/>
      <c r="FCE12" s="84"/>
      <c r="FCF12" s="84"/>
      <c r="FCG12" s="84"/>
      <c r="FCH12" s="84"/>
      <c r="FCI12" s="84"/>
      <c r="FCJ12" s="84"/>
      <c r="FCK12" s="84"/>
      <c r="FCL12" s="84"/>
      <c r="FCM12" s="84"/>
      <c r="FCN12" s="84"/>
      <c r="FCO12" s="84"/>
      <c r="FCP12" s="84"/>
      <c r="FCQ12" s="84"/>
      <c r="FCR12" s="84"/>
      <c r="FCS12" s="84"/>
      <c r="FCT12" s="84"/>
      <c r="FCU12" s="84"/>
      <c r="FCV12" s="84"/>
      <c r="FCW12" s="84"/>
      <c r="FCX12" s="84"/>
      <c r="FCY12" s="84"/>
      <c r="FCZ12" s="84"/>
      <c r="FDA12" s="84"/>
      <c r="FDB12" s="84"/>
      <c r="FDC12" s="84"/>
      <c r="FDD12" s="84"/>
      <c r="FDE12" s="84"/>
      <c r="FDF12" s="84"/>
      <c r="FDG12" s="84"/>
      <c r="FDH12" s="84"/>
      <c r="FDI12" s="84"/>
      <c r="FDJ12" s="84"/>
      <c r="FDK12" s="84"/>
      <c r="FDL12" s="84"/>
      <c r="FDM12" s="84"/>
      <c r="FDN12" s="84"/>
      <c r="FDO12" s="84"/>
      <c r="FDP12" s="84"/>
      <c r="FDQ12" s="84"/>
      <c r="FDR12" s="84"/>
      <c r="FDS12" s="84"/>
      <c r="FDT12" s="84"/>
      <c r="FDU12" s="84"/>
      <c r="FDV12" s="84"/>
      <c r="FDW12" s="84"/>
      <c r="FDX12" s="84"/>
      <c r="FDY12" s="84"/>
      <c r="FDZ12" s="84"/>
      <c r="FEA12" s="84"/>
      <c r="FEB12" s="84"/>
      <c r="FEC12" s="84"/>
      <c r="FED12" s="84"/>
      <c r="FEE12" s="84"/>
      <c r="FEF12" s="84"/>
      <c r="FEG12" s="84"/>
      <c r="FEH12" s="84"/>
      <c r="FEI12" s="84"/>
      <c r="FEJ12" s="84"/>
      <c r="FEK12" s="84"/>
      <c r="FEL12" s="84"/>
      <c r="FEM12" s="84"/>
      <c r="FEN12" s="84"/>
      <c r="FEO12" s="84"/>
      <c r="FEP12" s="84"/>
      <c r="FEQ12" s="84"/>
      <c r="FER12" s="84"/>
      <c r="FES12" s="84"/>
      <c r="FET12" s="84"/>
      <c r="FEU12" s="84"/>
      <c r="FEV12" s="84"/>
      <c r="FEW12" s="84"/>
      <c r="FEX12" s="84"/>
      <c r="FEY12" s="84"/>
      <c r="FEZ12" s="84"/>
      <c r="FFA12" s="84"/>
      <c r="FFB12" s="84"/>
      <c r="FFC12" s="84"/>
      <c r="FFD12" s="84"/>
      <c r="FFE12" s="84"/>
      <c r="FFF12" s="84"/>
      <c r="FFG12" s="84"/>
      <c r="FFH12" s="84"/>
      <c r="FFI12" s="84"/>
      <c r="FFJ12" s="84"/>
      <c r="FFK12" s="84"/>
      <c r="FFL12" s="84"/>
      <c r="FFM12" s="84"/>
      <c r="FFN12" s="84"/>
      <c r="FFO12" s="84"/>
      <c r="FFP12" s="84"/>
      <c r="FFQ12" s="84"/>
      <c r="FFR12" s="84"/>
      <c r="FFS12" s="84"/>
      <c r="FFT12" s="84"/>
      <c r="FFU12" s="84"/>
      <c r="FFV12" s="84"/>
      <c r="FFW12" s="84"/>
      <c r="FFX12" s="84"/>
      <c r="FFY12" s="84"/>
      <c r="FFZ12" s="84"/>
      <c r="FGA12" s="84"/>
      <c r="FGB12" s="84"/>
      <c r="FGC12" s="84"/>
      <c r="FGD12" s="84"/>
      <c r="FGE12" s="84"/>
      <c r="FGF12" s="84"/>
      <c r="FGG12" s="84"/>
      <c r="FGH12" s="84"/>
      <c r="FGI12" s="84"/>
      <c r="FGJ12" s="84"/>
      <c r="FGK12" s="84"/>
      <c r="FGL12" s="84"/>
      <c r="FGM12" s="84"/>
      <c r="FGN12" s="84"/>
      <c r="FGO12" s="84"/>
      <c r="FGP12" s="84"/>
      <c r="FGQ12" s="84"/>
      <c r="FGR12" s="84"/>
      <c r="FGS12" s="84"/>
      <c r="FGT12" s="84"/>
      <c r="FGU12" s="84"/>
      <c r="FGV12" s="84"/>
      <c r="FGW12" s="84"/>
      <c r="FGX12" s="84"/>
      <c r="FGY12" s="84"/>
      <c r="FGZ12" s="84"/>
      <c r="FHA12" s="84"/>
      <c r="FHB12" s="84"/>
      <c r="FHC12" s="84"/>
      <c r="FHD12" s="84"/>
      <c r="FHE12" s="84"/>
      <c r="FHF12" s="84"/>
      <c r="FHG12" s="84"/>
      <c r="FHH12" s="84"/>
      <c r="FHI12" s="84"/>
      <c r="FHJ12" s="84"/>
      <c r="FHK12" s="84"/>
      <c r="FHL12" s="84"/>
      <c r="FHM12" s="84"/>
      <c r="FHN12" s="84"/>
      <c r="FHO12" s="84"/>
      <c r="FHP12" s="84"/>
      <c r="FHQ12" s="84"/>
      <c r="FHR12" s="84"/>
      <c r="FHS12" s="84"/>
      <c r="FHT12" s="84"/>
      <c r="FHU12" s="84"/>
      <c r="FHV12" s="84"/>
      <c r="FHW12" s="84"/>
      <c r="FHX12" s="84"/>
      <c r="FHY12" s="84"/>
      <c r="FHZ12" s="84"/>
      <c r="FIA12" s="84"/>
      <c r="FIB12" s="84"/>
      <c r="FIC12" s="84"/>
      <c r="FID12" s="84"/>
      <c r="FIE12" s="84"/>
      <c r="FIF12" s="84"/>
      <c r="FIG12" s="84"/>
      <c r="FIH12" s="84"/>
      <c r="FII12" s="84"/>
      <c r="FIJ12" s="84"/>
      <c r="FIK12" s="84"/>
      <c r="FIL12" s="84"/>
      <c r="FIM12" s="84"/>
      <c r="FIN12" s="84"/>
      <c r="FIO12" s="84"/>
      <c r="FIP12" s="84"/>
      <c r="FIQ12" s="84"/>
      <c r="FIR12" s="84"/>
      <c r="FIS12" s="84"/>
      <c r="FIT12" s="84"/>
      <c r="FIU12" s="84"/>
      <c r="FIV12" s="84"/>
      <c r="FIW12" s="84"/>
      <c r="FIX12" s="84"/>
      <c r="FIY12" s="84"/>
      <c r="FIZ12" s="84"/>
      <c r="FJA12" s="84"/>
      <c r="FJB12" s="84"/>
      <c r="FJC12" s="84"/>
      <c r="FJD12" s="84"/>
      <c r="FJE12" s="84"/>
      <c r="FJF12" s="84"/>
      <c r="FJG12" s="84"/>
      <c r="FJH12" s="84"/>
      <c r="FJI12" s="84"/>
      <c r="FJJ12" s="84"/>
      <c r="FJK12" s="84"/>
      <c r="FJL12" s="84"/>
      <c r="FJM12" s="84"/>
      <c r="FJN12" s="84"/>
      <c r="FJO12" s="84"/>
      <c r="FJP12" s="84"/>
      <c r="FJQ12" s="84"/>
      <c r="FJR12" s="84"/>
      <c r="FJS12" s="84"/>
      <c r="FJT12" s="84"/>
      <c r="FJU12" s="84"/>
      <c r="FJV12" s="84"/>
      <c r="FJW12" s="84"/>
      <c r="FJX12" s="84"/>
      <c r="FJY12" s="84"/>
      <c r="FJZ12" s="84"/>
      <c r="FKA12" s="84"/>
      <c r="FKB12" s="84"/>
      <c r="FKC12" s="84"/>
      <c r="FKD12" s="84"/>
      <c r="FKE12" s="84"/>
      <c r="FKF12" s="84"/>
      <c r="FKG12" s="84"/>
      <c r="FKH12" s="84"/>
      <c r="FKI12" s="84"/>
      <c r="FKJ12" s="84"/>
      <c r="FKK12" s="84"/>
      <c r="FKL12" s="84"/>
      <c r="FKM12" s="84"/>
      <c r="FKN12" s="84"/>
      <c r="FKO12" s="84"/>
      <c r="FKP12" s="84"/>
      <c r="FKQ12" s="84"/>
      <c r="FKR12" s="84"/>
      <c r="FKS12" s="84"/>
      <c r="FKT12" s="84"/>
      <c r="FKU12" s="84"/>
      <c r="FKV12" s="84"/>
      <c r="FKW12" s="84"/>
      <c r="FKX12" s="84"/>
      <c r="FKY12" s="84"/>
      <c r="FKZ12" s="84"/>
      <c r="FLA12" s="84"/>
      <c r="FLB12" s="84"/>
      <c r="FLC12" s="84"/>
      <c r="FLD12" s="84"/>
      <c r="FLE12" s="84"/>
      <c r="FLF12" s="84"/>
      <c r="FLG12" s="84"/>
      <c r="FLH12" s="84"/>
      <c r="FLI12" s="84"/>
      <c r="FLJ12" s="84"/>
      <c r="FLK12" s="84"/>
      <c r="FLL12" s="84"/>
      <c r="FLM12" s="84"/>
      <c r="FLN12" s="84"/>
      <c r="FLO12" s="84"/>
      <c r="FLP12" s="84"/>
      <c r="FLQ12" s="84"/>
      <c r="FLR12" s="84"/>
      <c r="FLS12" s="84"/>
      <c r="FLT12" s="84"/>
      <c r="FLU12" s="84"/>
      <c r="FLV12" s="84"/>
      <c r="FLW12" s="84"/>
      <c r="FLX12" s="84"/>
      <c r="FLY12" s="84"/>
      <c r="FLZ12" s="84"/>
      <c r="FMA12" s="84"/>
      <c r="FMB12" s="84"/>
      <c r="FMC12" s="84"/>
      <c r="FMD12" s="84"/>
      <c r="FME12" s="84"/>
      <c r="FMF12" s="84"/>
      <c r="FMG12" s="84"/>
      <c r="FMH12" s="84"/>
      <c r="FMI12" s="84"/>
      <c r="FMJ12" s="84"/>
      <c r="FMK12" s="84"/>
      <c r="FML12" s="84"/>
      <c r="FMM12" s="84"/>
      <c r="FMN12" s="84"/>
      <c r="FMO12" s="84"/>
      <c r="FMP12" s="84"/>
      <c r="FMQ12" s="84"/>
      <c r="FMR12" s="84"/>
      <c r="FMS12" s="84"/>
      <c r="FMT12" s="84"/>
      <c r="FMU12" s="84"/>
      <c r="FMV12" s="84"/>
      <c r="FMW12" s="84"/>
      <c r="FMX12" s="84"/>
      <c r="FMY12" s="84"/>
      <c r="FMZ12" s="84"/>
      <c r="FNA12" s="84"/>
      <c r="FNB12" s="84"/>
      <c r="FNC12" s="84"/>
      <c r="FND12" s="84"/>
      <c r="FNE12" s="84"/>
      <c r="FNF12" s="84"/>
      <c r="FNG12" s="84"/>
      <c r="FNH12" s="84"/>
      <c r="FNI12" s="84"/>
      <c r="FNJ12" s="84"/>
      <c r="FNK12" s="84"/>
      <c r="FNL12" s="84"/>
      <c r="FNM12" s="84"/>
      <c r="FNN12" s="84"/>
      <c r="FNO12" s="84"/>
      <c r="FNP12" s="84"/>
      <c r="FNQ12" s="84"/>
      <c r="FNR12" s="84"/>
      <c r="FNS12" s="84"/>
      <c r="FNT12" s="84"/>
      <c r="FNU12" s="84"/>
      <c r="FNV12" s="84"/>
      <c r="FNW12" s="84"/>
      <c r="FNX12" s="84"/>
      <c r="FNY12" s="84"/>
      <c r="FNZ12" s="84"/>
      <c r="FOA12" s="84"/>
      <c r="FOB12" s="84"/>
      <c r="FOC12" s="84"/>
      <c r="FOD12" s="84"/>
      <c r="FOE12" s="84"/>
      <c r="FOF12" s="84"/>
      <c r="FOG12" s="84"/>
      <c r="FOH12" s="84"/>
      <c r="FOI12" s="84"/>
      <c r="FOJ12" s="84"/>
      <c r="FOK12" s="84"/>
      <c r="FOL12" s="84"/>
      <c r="FOM12" s="84"/>
      <c r="FON12" s="84"/>
      <c r="FOO12" s="84"/>
      <c r="FOP12" s="84"/>
      <c r="FOQ12" s="84"/>
      <c r="FOR12" s="84"/>
      <c r="FOS12" s="84"/>
      <c r="FOT12" s="84"/>
      <c r="FOU12" s="84"/>
      <c r="FOV12" s="84"/>
      <c r="FOW12" s="84"/>
      <c r="FOX12" s="84"/>
      <c r="FOY12" s="84"/>
      <c r="FOZ12" s="84"/>
      <c r="FPA12" s="84"/>
      <c r="FPB12" s="84"/>
      <c r="FPC12" s="84"/>
      <c r="FPD12" s="84"/>
      <c r="FPE12" s="84"/>
      <c r="FPF12" s="84"/>
      <c r="FPG12" s="84"/>
      <c r="FPH12" s="84"/>
      <c r="FPI12" s="84"/>
      <c r="FPJ12" s="84"/>
      <c r="FPK12" s="84"/>
      <c r="FPL12" s="84"/>
      <c r="FPM12" s="84"/>
      <c r="FPN12" s="84"/>
      <c r="FPO12" s="84"/>
      <c r="FPP12" s="84"/>
      <c r="FPQ12" s="84"/>
      <c r="FPR12" s="84"/>
      <c r="FPS12" s="84"/>
      <c r="FPT12" s="84"/>
      <c r="FPU12" s="84"/>
      <c r="FPV12" s="84"/>
      <c r="FPW12" s="84"/>
      <c r="FPX12" s="84"/>
      <c r="FPY12" s="84"/>
      <c r="FPZ12" s="84"/>
      <c r="FQA12" s="84"/>
      <c r="FQB12" s="84"/>
      <c r="FQC12" s="84"/>
      <c r="FQD12" s="84"/>
      <c r="FQE12" s="84"/>
      <c r="FQF12" s="84"/>
      <c r="FQG12" s="84"/>
      <c r="FQH12" s="84"/>
      <c r="FQI12" s="84"/>
      <c r="FQJ12" s="84"/>
      <c r="FQK12" s="84"/>
      <c r="FQL12" s="84"/>
      <c r="FQM12" s="84"/>
      <c r="FQN12" s="84"/>
      <c r="FQO12" s="84"/>
      <c r="FQP12" s="84"/>
      <c r="FQQ12" s="84"/>
      <c r="FQR12" s="84"/>
      <c r="FQS12" s="84"/>
      <c r="FQT12" s="84"/>
      <c r="FQU12" s="84"/>
      <c r="FQV12" s="84"/>
      <c r="FQW12" s="84"/>
      <c r="FQX12" s="84"/>
      <c r="FQY12" s="84"/>
      <c r="FQZ12" s="84"/>
      <c r="FRA12" s="84"/>
      <c r="FRB12" s="84"/>
      <c r="FRC12" s="84"/>
      <c r="FRD12" s="84"/>
      <c r="FRE12" s="84"/>
      <c r="FRF12" s="84"/>
      <c r="FRG12" s="84"/>
      <c r="FRH12" s="84"/>
      <c r="FRI12" s="84"/>
      <c r="FRJ12" s="84"/>
      <c r="FRK12" s="84"/>
      <c r="FRL12" s="84"/>
      <c r="FRM12" s="84"/>
      <c r="FRN12" s="84"/>
      <c r="FRO12" s="84"/>
      <c r="FRP12" s="84"/>
      <c r="FRQ12" s="84"/>
      <c r="FRR12" s="84"/>
      <c r="FRS12" s="84"/>
      <c r="FRT12" s="84"/>
      <c r="FRU12" s="84"/>
      <c r="FRV12" s="84"/>
      <c r="FRW12" s="84"/>
      <c r="FRX12" s="84"/>
      <c r="FRY12" s="84"/>
      <c r="FRZ12" s="84"/>
      <c r="FSA12" s="84"/>
      <c r="FSB12" s="84"/>
      <c r="FSC12" s="84"/>
      <c r="FSD12" s="84"/>
      <c r="FSE12" s="84"/>
      <c r="FSF12" s="84"/>
      <c r="FSG12" s="84"/>
      <c r="FSH12" s="84"/>
      <c r="FSI12" s="84"/>
      <c r="FSJ12" s="84"/>
      <c r="FSK12" s="84"/>
      <c r="FSL12" s="84"/>
      <c r="FSM12" s="84"/>
      <c r="FSN12" s="84"/>
      <c r="FSO12" s="84"/>
      <c r="FSP12" s="84"/>
      <c r="FSQ12" s="84"/>
      <c r="FSR12" s="84"/>
      <c r="FSS12" s="84"/>
      <c r="FST12" s="84"/>
      <c r="FSU12" s="84"/>
      <c r="FSV12" s="84"/>
      <c r="FSW12" s="84"/>
      <c r="FSX12" s="84"/>
      <c r="FSY12" s="84"/>
      <c r="FSZ12" s="84"/>
      <c r="FTA12" s="84"/>
      <c r="FTB12" s="84"/>
      <c r="FTC12" s="84"/>
      <c r="FTD12" s="84"/>
      <c r="FTE12" s="84"/>
      <c r="FTF12" s="84"/>
      <c r="FTG12" s="84"/>
      <c r="FTH12" s="84"/>
      <c r="FTI12" s="84"/>
      <c r="FTJ12" s="84"/>
      <c r="FTK12" s="84"/>
      <c r="FTL12" s="84"/>
      <c r="FTM12" s="84"/>
      <c r="FTN12" s="84"/>
      <c r="FTO12" s="84"/>
      <c r="FTP12" s="84"/>
      <c r="FTQ12" s="84"/>
      <c r="FTR12" s="84"/>
      <c r="FTS12" s="84"/>
      <c r="FTT12" s="84"/>
      <c r="FTU12" s="84"/>
      <c r="FTV12" s="84"/>
      <c r="FTW12" s="84"/>
      <c r="FTX12" s="84"/>
      <c r="FTY12" s="84"/>
      <c r="FTZ12" s="84"/>
      <c r="FUA12" s="84"/>
      <c r="FUB12" s="84"/>
      <c r="FUC12" s="84"/>
      <c r="FUD12" s="84"/>
      <c r="FUE12" s="84"/>
      <c r="FUF12" s="84"/>
      <c r="FUG12" s="84"/>
      <c r="FUH12" s="84"/>
      <c r="FUI12" s="84"/>
      <c r="FUJ12" s="84"/>
      <c r="FUK12" s="84"/>
      <c r="FUL12" s="84"/>
      <c r="FUM12" s="84"/>
      <c r="FUN12" s="84"/>
      <c r="FUO12" s="84"/>
      <c r="FUP12" s="84"/>
      <c r="FUQ12" s="84"/>
      <c r="FUR12" s="84"/>
      <c r="FUS12" s="84"/>
      <c r="FUT12" s="84"/>
      <c r="FUU12" s="84"/>
      <c r="FUV12" s="84"/>
      <c r="FUW12" s="84"/>
      <c r="FUX12" s="84"/>
      <c r="FUY12" s="84"/>
      <c r="FUZ12" s="84"/>
      <c r="FVA12" s="84"/>
      <c r="FVB12" s="84"/>
      <c r="FVC12" s="84"/>
      <c r="FVD12" s="84"/>
      <c r="FVE12" s="84"/>
      <c r="FVF12" s="84"/>
      <c r="FVG12" s="84"/>
      <c r="FVH12" s="84"/>
      <c r="FVI12" s="84"/>
      <c r="FVJ12" s="84"/>
      <c r="FVK12" s="84"/>
      <c r="FVL12" s="84"/>
      <c r="FVM12" s="84"/>
      <c r="FVN12" s="84"/>
      <c r="FVO12" s="84"/>
      <c r="FVP12" s="84"/>
      <c r="FVQ12" s="84"/>
      <c r="FVR12" s="84"/>
      <c r="FVS12" s="84"/>
      <c r="FVT12" s="84"/>
      <c r="FVU12" s="84"/>
      <c r="FVV12" s="84"/>
      <c r="FVW12" s="84"/>
      <c r="FVX12" s="84"/>
      <c r="FVY12" s="84"/>
      <c r="FVZ12" s="84"/>
      <c r="FWA12" s="84"/>
      <c r="FWB12" s="84"/>
      <c r="FWC12" s="84"/>
      <c r="FWD12" s="84"/>
      <c r="FWE12" s="84"/>
      <c r="FWF12" s="84"/>
      <c r="FWG12" s="84"/>
      <c r="FWH12" s="84"/>
      <c r="FWI12" s="84"/>
      <c r="FWJ12" s="84"/>
      <c r="FWK12" s="84"/>
      <c r="FWL12" s="84"/>
      <c r="FWM12" s="84"/>
      <c r="FWN12" s="84"/>
      <c r="FWO12" s="84"/>
      <c r="FWP12" s="84"/>
      <c r="FWQ12" s="84"/>
      <c r="FWR12" s="84"/>
      <c r="FWS12" s="84"/>
      <c r="FWT12" s="84"/>
      <c r="FWU12" s="84"/>
      <c r="FWV12" s="84"/>
      <c r="FWW12" s="84"/>
      <c r="FWX12" s="84"/>
      <c r="FWY12" s="84"/>
      <c r="FWZ12" s="84"/>
      <c r="FXA12" s="84"/>
      <c r="FXB12" s="84"/>
      <c r="FXC12" s="84"/>
      <c r="FXD12" s="84"/>
      <c r="FXE12" s="84"/>
      <c r="FXF12" s="84"/>
      <c r="FXG12" s="84"/>
      <c r="FXH12" s="84"/>
      <c r="FXI12" s="84"/>
      <c r="FXJ12" s="84"/>
      <c r="FXK12" s="84"/>
      <c r="FXL12" s="84"/>
      <c r="FXM12" s="84"/>
      <c r="FXN12" s="84"/>
      <c r="FXO12" s="84"/>
      <c r="FXP12" s="84"/>
      <c r="FXQ12" s="84"/>
      <c r="FXR12" s="84"/>
      <c r="FXS12" s="84"/>
      <c r="FXT12" s="84"/>
      <c r="FXU12" s="84"/>
      <c r="FXV12" s="84"/>
      <c r="FXW12" s="84"/>
      <c r="FXX12" s="84"/>
      <c r="FXY12" s="84"/>
      <c r="FXZ12" s="84"/>
      <c r="FYA12" s="84"/>
      <c r="FYB12" s="84"/>
      <c r="FYC12" s="84"/>
      <c r="FYD12" s="84"/>
      <c r="FYE12" s="84"/>
      <c r="FYF12" s="84"/>
      <c r="FYG12" s="84"/>
      <c r="FYH12" s="84"/>
      <c r="FYI12" s="84"/>
      <c r="FYJ12" s="84"/>
      <c r="FYK12" s="84"/>
      <c r="FYL12" s="84"/>
      <c r="FYM12" s="84"/>
      <c r="FYN12" s="84"/>
      <c r="FYO12" s="84"/>
      <c r="FYP12" s="84"/>
      <c r="FYQ12" s="84"/>
      <c r="FYR12" s="84"/>
      <c r="FYS12" s="84"/>
      <c r="FYT12" s="84"/>
      <c r="FYU12" s="84"/>
      <c r="FYV12" s="84"/>
      <c r="FYW12" s="84"/>
      <c r="FYX12" s="84"/>
      <c r="FYY12" s="84"/>
      <c r="FYZ12" s="84"/>
      <c r="FZA12" s="84"/>
      <c r="FZB12" s="84"/>
      <c r="FZC12" s="84"/>
      <c r="FZD12" s="84"/>
      <c r="FZE12" s="84"/>
      <c r="FZF12" s="84"/>
      <c r="FZG12" s="84"/>
      <c r="FZH12" s="84"/>
      <c r="FZI12" s="84"/>
      <c r="FZJ12" s="84"/>
      <c r="FZK12" s="84"/>
      <c r="FZL12" s="84"/>
      <c r="FZM12" s="84"/>
      <c r="FZN12" s="84"/>
      <c r="FZO12" s="84"/>
      <c r="FZP12" s="84"/>
      <c r="FZQ12" s="84"/>
      <c r="FZR12" s="84"/>
      <c r="FZS12" s="84"/>
      <c r="FZT12" s="84"/>
      <c r="FZU12" s="84"/>
      <c r="FZV12" s="84"/>
      <c r="FZW12" s="84"/>
      <c r="FZX12" s="84"/>
      <c r="FZY12" s="84"/>
      <c r="FZZ12" s="84"/>
      <c r="GAA12" s="84"/>
      <c r="GAB12" s="84"/>
      <c r="GAC12" s="84"/>
      <c r="GAD12" s="84"/>
      <c r="GAE12" s="84"/>
      <c r="GAF12" s="84"/>
      <c r="GAG12" s="84"/>
      <c r="GAH12" s="84"/>
      <c r="GAI12" s="84"/>
      <c r="GAJ12" s="84"/>
      <c r="GAK12" s="84"/>
      <c r="GAL12" s="84"/>
      <c r="GAM12" s="84"/>
      <c r="GAN12" s="84"/>
      <c r="GAO12" s="84"/>
      <c r="GAP12" s="84"/>
      <c r="GAQ12" s="84"/>
      <c r="GAR12" s="84"/>
      <c r="GAS12" s="84"/>
      <c r="GAT12" s="84"/>
      <c r="GAU12" s="84"/>
      <c r="GAV12" s="84"/>
      <c r="GAW12" s="84"/>
      <c r="GAX12" s="84"/>
      <c r="GAY12" s="84"/>
      <c r="GAZ12" s="84"/>
      <c r="GBA12" s="84"/>
      <c r="GBB12" s="84"/>
      <c r="GBC12" s="84"/>
      <c r="GBD12" s="84"/>
      <c r="GBE12" s="84"/>
      <c r="GBF12" s="84"/>
      <c r="GBG12" s="84"/>
      <c r="GBH12" s="84"/>
      <c r="GBI12" s="84"/>
      <c r="GBJ12" s="84"/>
      <c r="GBK12" s="84"/>
      <c r="GBL12" s="84"/>
      <c r="GBM12" s="84"/>
      <c r="GBN12" s="84"/>
      <c r="GBO12" s="84"/>
      <c r="GBP12" s="84"/>
      <c r="GBQ12" s="84"/>
      <c r="GBR12" s="84"/>
      <c r="GBS12" s="84"/>
      <c r="GBT12" s="84"/>
      <c r="GBU12" s="84"/>
      <c r="GBV12" s="84"/>
      <c r="GBW12" s="84"/>
      <c r="GBX12" s="84"/>
      <c r="GBY12" s="84"/>
      <c r="GBZ12" s="84"/>
      <c r="GCA12" s="84"/>
      <c r="GCB12" s="84"/>
      <c r="GCC12" s="84"/>
      <c r="GCD12" s="84"/>
      <c r="GCE12" s="84"/>
      <c r="GCF12" s="84"/>
      <c r="GCG12" s="84"/>
      <c r="GCH12" s="84"/>
      <c r="GCI12" s="84"/>
      <c r="GCJ12" s="84"/>
      <c r="GCK12" s="84"/>
      <c r="GCL12" s="84"/>
      <c r="GCM12" s="84"/>
      <c r="GCN12" s="84"/>
      <c r="GCO12" s="84"/>
      <c r="GCP12" s="84"/>
      <c r="GCQ12" s="84"/>
      <c r="GCR12" s="84"/>
      <c r="GCS12" s="84"/>
      <c r="GCT12" s="84"/>
      <c r="GCU12" s="84"/>
      <c r="GCV12" s="84"/>
      <c r="GCW12" s="84"/>
      <c r="GCX12" s="84"/>
      <c r="GCY12" s="84"/>
      <c r="GCZ12" s="84"/>
      <c r="GDA12" s="84"/>
      <c r="GDB12" s="84"/>
      <c r="GDC12" s="84"/>
      <c r="GDD12" s="84"/>
      <c r="GDE12" s="84"/>
      <c r="GDF12" s="84"/>
      <c r="GDG12" s="84"/>
      <c r="GDH12" s="84"/>
      <c r="GDI12" s="84"/>
      <c r="GDJ12" s="84"/>
      <c r="GDK12" s="84"/>
      <c r="GDL12" s="84"/>
      <c r="GDM12" s="84"/>
      <c r="GDN12" s="84"/>
      <c r="GDO12" s="84"/>
      <c r="GDP12" s="84"/>
      <c r="GDQ12" s="84"/>
      <c r="GDR12" s="84"/>
      <c r="GDS12" s="84"/>
      <c r="GDT12" s="84"/>
      <c r="GDU12" s="84"/>
      <c r="GDV12" s="84"/>
      <c r="GDW12" s="84"/>
      <c r="GDX12" s="84"/>
      <c r="GDY12" s="84"/>
      <c r="GDZ12" s="84"/>
      <c r="GEA12" s="84"/>
      <c r="GEB12" s="84"/>
      <c r="GEC12" s="84"/>
      <c r="GED12" s="84"/>
      <c r="GEE12" s="84"/>
      <c r="GEF12" s="84"/>
      <c r="GEG12" s="84"/>
      <c r="GEH12" s="84"/>
      <c r="GEI12" s="84"/>
      <c r="GEJ12" s="84"/>
      <c r="GEK12" s="84"/>
      <c r="GEL12" s="84"/>
      <c r="GEM12" s="84"/>
      <c r="GEN12" s="84"/>
      <c r="GEO12" s="84"/>
      <c r="GEP12" s="84"/>
      <c r="GEQ12" s="84"/>
      <c r="GER12" s="84"/>
      <c r="GES12" s="84"/>
      <c r="GET12" s="84"/>
      <c r="GEU12" s="84"/>
      <c r="GEV12" s="84"/>
      <c r="GEW12" s="84"/>
      <c r="GEX12" s="84"/>
      <c r="GEY12" s="84"/>
      <c r="GEZ12" s="84"/>
      <c r="GFA12" s="84"/>
      <c r="GFB12" s="84"/>
      <c r="GFC12" s="84"/>
      <c r="GFD12" s="84"/>
      <c r="GFE12" s="84"/>
      <c r="GFF12" s="84"/>
      <c r="GFG12" s="84"/>
      <c r="GFH12" s="84"/>
      <c r="GFI12" s="84"/>
      <c r="GFJ12" s="84"/>
      <c r="GFK12" s="84"/>
      <c r="GFL12" s="84"/>
      <c r="GFM12" s="84"/>
      <c r="GFN12" s="84"/>
      <c r="GFO12" s="84"/>
      <c r="GFP12" s="84"/>
      <c r="GFQ12" s="84"/>
      <c r="GFR12" s="84"/>
      <c r="GFS12" s="84"/>
      <c r="GFT12" s="84"/>
      <c r="GFU12" s="84"/>
      <c r="GFV12" s="84"/>
      <c r="GFW12" s="84"/>
      <c r="GFX12" s="84"/>
      <c r="GFY12" s="84"/>
      <c r="GFZ12" s="84"/>
      <c r="GGA12" s="84"/>
      <c r="GGB12" s="84"/>
      <c r="GGC12" s="84"/>
      <c r="GGD12" s="84"/>
      <c r="GGE12" s="84"/>
      <c r="GGF12" s="84"/>
      <c r="GGG12" s="84"/>
      <c r="GGH12" s="84"/>
      <c r="GGI12" s="84"/>
      <c r="GGJ12" s="84"/>
      <c r="GGK12" s="84"/>
      <c r="GGL12" s="84"/>
      <c r="GGM12" s="84"/>
      <c r="GGN12" s="84"/>
      <c r="GGO12" s="84"/>
      <c r="GGP12" s="84"/>
      <c r="GGQ12" s="84"/>
      <c r="GGR12" s="84"/>
      <c r="GGS12" s="84"/>
      <c r="GGT12" s="84"/>
      <c r="GGU12" s="84"/>
      <c r="GGV12" s="84"/>
      <c r="GGW12" s="84"/>
      <c r="GGX12" s="84"/>
      <c r="GGY12" s="84"/>
      <c r="GGZ12" s="84"/>
      <c r="GHA12" s="84"/>
      <c r="GHB12" s="84"/>
      <c r="GHC12" s="84"/>
      <c r="GHD12" s="84"/>
      <c r="GHE12" s="84"/>
      <c r="GHF12" s="84"/>
      <c r="GHG12" s="84"/>
      <c r="GHH12" s="84"/>
      <c r="GHI12" s="84"/>
      <c r="GHJ12" s="84"/>
      <c r="GHK12" s="84"/>
      <c r="GHL12" s="84"/>
      <c r="GHM12" s="84"/>
      <c r="GHN12" s="84"/>
      <c r="GHO12" s="84"/>
      <c r="GHP12" s="84"/>
      <c r="GHQ12" s="84"/>
      <c r="GHR12" s="84"/>
      <c r="GHS12" s="84"/>
      <c r="GHT12" s="84"/>
      <c r="GHU12" s="84"/>
      <c r="GHV12" s="84"/>
      <c r="GHW12" s="84"/>
      <c r="GHX12" s="84"/>
      <c r="GHY12" s="84"/>
      <c r="GHZ12" s="84"/>
      <c r="GIA12" s="84"/>
      <c r="GIB12" s="84"/>
      <c r="GIC12" s="84"/>
      <c r="GID12" s="84"/>
      <c r="GIE12" s="84"/>
      <c r="GIF12" s="84"/>
      <c r="GIG12" s="84"/>
      <c r="GIH12" s="84"/>
      <c r="GII12" s="84"/>
      <c r="GIJ12" s="84"/>
      <c r="GIK12" s="84"/>
      <c r="GIL12" s="84"/>
      <c r="GIM12" s="84"/>
      <c r="GIN12" s="84"/>
      <c r="GIO12" s="84"/>
      <c r="GIP12" s="84"/>
      <c r="GIQ12" s="84"/>
      <c r="GIR12" s="84"/>
      <c r="GIS12" s="84"/>
      <c r="GIT12" s="84"/>
      <c r="GIU12" s="84"/>
      <c r="GIV12" s="84"/>
      <c r="GIW12" s="84"/>
      <c r="GIX12" s="84"/>
      <c r="GIY12" s="84"/>
      <c r="GIZ12" s="84"/>
      <c r="GJA12" s="84"/>
      <c r="GJB12" s="84"/>
      <c r="GJC12" s="84"/>
      <c r="GJD12" s="84"/>
      <c r="GJE12" s="84"/>
      <c r="GJF12" s="84"/>
      <c r="GJG12" s="84"/>
      <c r="GJH12" s="84"/>
      <c r="GJI12" s="84"/>
      <c r="GJJ12" s="84"/>
      <c r="GJK12" s="84"/>
      <c r="GJL12" s="84"/>
      <c r="GJM12" s="84"/>
      <c r="GJN12" s="84"/>
      <c r="GJO12" s="84"/>
      <c r="GJP12" s="84"/>
      <c r="GJQ12" s="84"/>
      <c r="GJR12" s="84"/>
      <c r="GJS12" s="84"/>
      <c r="GJT12" s="84"/>
      <c r="GJU12" s="84"/>
      <c r="GJV12" s="84"/>
      <c r="GJW12" s="84"/>
      <c r="GJX12" s="84"/>
      <c r="GJY12" s="84"/>
      <c r="GJZ12" s="84"/>
      <c r="GKA12" s="84"/>
      <c r="GKB12" s="84"/>
      <c r="GKC12" s="84"/>
      <c r="GKD12" s="84"/>
      <c r="GKE12" s="84"/>
      <c r="GKF12" s="84"/>
      <c r="GKG12" s="84"/>
      <c r="GKH12" s="84"/>
      <c r="GKI12" s="84"/>
      <c r="GKJ12" s="84"/>
      <c r="GKK12" s="84"/>
      <c r="GKL12" s="84"/>
      <c r="GKM12" s="84"/>
      <c r="GKN12" s="84"/>
      <c r="GKO12" s="84"/>
      <c r="GKP12" s="84"/>
      <c r="GKQ12" s="84"/>
      <c r="GKR12" s="84"/>
      <c r="GKS12" s="84"/>
      <c r="GKT12" s="84"/>
      <c r="GKU12" s="84"/>
      <c r="GKV12" s="84"/>
      <c r="GKW12" s="84"/>
      <c r="GKX12" s="84"/>
      <c r="GKY12" s="84"/>
      <c r="GKZ12" s="84"/>
      <c r="GLA12" s="84"/>
      <c r="GLB12" s="84"/>
      <c r="GLC12" s="84"/>
      <c r="GLD12" s="84"/>
      <c r="GLE12" s="84"/>
      <c r="GLF12" s="84"/>
      <c r="GLG12" s="84"/>
      <c r="GLH12" s="84"/>
      <c r="GLI12" s="84"/>
      <c r="GLJ12" s="84"/>
      <c r="GLK12" s="84"/>
      <c r="GLL12" s="84"/>
      <c r="GLM12" s="84"/>
      <c r="GLN12" s="84"/>
      <c r="GLO12" s="84"/>
      <c r="GLP12" s="84"/>
      <c r="GLQ12" s="84"/>
      <c r="GLR12" s="84"/>
      <c r="GLS12" s="84"/>
      <c r="GLT12" s="84"/>
      <c r="GLU12" s="84"/>
      <c r="GLV12" s="84"/>
      <c r="GLW12" s="84"/>
      <c r="GLX12" s="84"/>
      <c r="GLY12" s="84"/>
      <c r="GLZ12" s="84"/>
      <c r="GMA12" s="84"/>
      <c r="GMB12" s="84"/>
      <c r="GMC12" s="84"/>
      <c r="GMD12" s="84"/>
      <c r="GME12" s="84"/>
      <c r="GMF12" s="84"/>
      <c r="GMG12" s="84"/>
      <c r="GMH12" s="84"/>
      <c r="GMI12" s="84"/>
      <c r="GMJ12" s="84"/>
      <c r="GMK12" s="84"/>
      <c r="GML12" s="84"/>
      <c r="GMM12" s="84"/>
      <c r="GMN12" s="84"/>
      <c r="GMO12" s="84"/>
      <c r="GMP12" s="84"/>
      <c r="GMQ12" s="84"/>
      <c r="GMR12" s="84"/>
      <c r="GMS12" s="84"/>
      <c r="GMT12" s="84"/>
      <c r="GMU12" s="84"/>
      <c r="GMV12" s="84"/>
      <c r="GMW12" s="84"/>
      <c r="GMX12" s="84"/>
      <c r="GMY12" s="84"/>
      <c r="GMZ12" s="84"/>
      <c r="GNA12" s="84"/>
      <c r="GNB12" s="84"/>
      <c r="GNC12" s="84"/>
      <c r="GND12" s="84"/>
      <c r="GNE12" s="84"/>
      <c r="GNF12" s="84"/>
      <c r="GNG12" s="84"/>
      <c r="GNH12" s="84"/>
      <c r="GNI12" s="84"/>
      <c r="GNJ12" s="84"/>
      <c r="GNK12" s="84"/>
      <c r="GNL12" s="84"/>
      <c r="GNM12" s="84"/>
      <c r="GNN12" s="84"/>
      <c r="GNO12" s="84"/>
      <c r="GNP12" s="84"/>
      <c r="GNQ12" s="84"/>
      <c r="GNR12" s="84"/>
      <c r="GNS12" s="84"/>
      <c r="GNT12" s="84"/>
      <c r="GNU12" s="84"/>
      <c r="GNV12" s="84"/>
      <c r="GNW12" s="84"/>
      <c r="GNX12" s="84"/>
      <c r="GNY12" s="84"/>
      <c r="GNZ12" s="84"/>
      <c r="GOA12" s="84"/>
      <c r="GOB12" s="84"/>
      <c r="GOC12" s="84"/>
      <c r="GOD12" s="84"/>
      <c r="GOE12" s="84"/>
      <c r="GOF12" s="84"/>
      <c r="GOG12" s="84"/>
      <c r="GOH12" s="84"/>
      <c r="GOI12" s="84"/>
      <c r="GOJ12" s="84"/>
      <c r="GOK12" s="84"/>
      <c r="GOL12" s="84"/>
      <c r="GOM12" s="84"/>
      <c r="GON12" s="84"/>
      <c r="GOO12" s="84"/>
      <c r="GOP12" s="84"/>
      <c r="GOQ12" s="84"/>
      <c r="GOR12" s="84"/>
      <c r="GOS12" s="84"/>
      <c r="GOT12" s="84"/>
      <c r="GOU12" s="84"/>
      <c r="GOV12" s="84"/>
      <c r="GOW12" s="84"/>
      <c r="GOX12" s="84"/>
      <c r="GOY12" s="84"/>
      <c r="GOZ12" s="84"/>
      <c r="GPA12" s="84"/>
      <c r="GPB12" s="84"/>
      <c r="GPC12" s="84"/>
      <c r="GPD12" s="84"/>
      <c r="GPE12" s="84"/>
      <c r="GPF12" s="84"/>
      <c r="GPG12" s="84"/>
      <c r="GPH12" s="84"/>
      <c r="GPI12" s="84"/>
      <c r="GPJ12" s="84"/>
      <c r="GPK12" s="84"/>
      <c r="GPL12" s="84"/>
      <c r="GPM12" s="84"/>
      <c r="GPN12" s="84"/>
      <c r="GPO12" s="84"/>
      <c r="GPP12" s="84"/>
      <c r="GPQ12" s="84"/>
      <c r="GPR12" s="84"/>
      <c r="GPS12" s="84"/>
      <c r="GPT12" s="84"/>
      <c r="GPU12" s="84"/>
      <c r="GPV12" s="84"/>
      <c r="GPW12" s="84"/>
      <c r="GPX12" s="84"/>
      <c r="GPY12" s="84"/>
      <c r="GPZ12" s="84"/>
      <c r="GQA12" s="84"/>
      <c r="GQB12" s="84"/>
      <c r="GQC12" s="84"/>
      <c r="GQD12" s="84"/>
      <c r="GQE12" s="84"/>
      <c r="GQF12" s="84"/>
      <c r="GQG12" s="84"/>
      <c r="GQH12" s="84"/>
      <c r="GQI12" s="84"/>
      <c r="GQJ12" s="84"/>
      <c r="GQK12" s="84"/>
      <c r="GQL12" s="84"/>
      <c r="GQM12" s="84"/>
      <c r="GQN12" s="84"/>
      <c r="GQO12" s="84"/>
      <c r="GQP12" s="84"/>
      <c r="GQQ12" s="84"/>
      <c r="GQR12" s="84"/>
      <c r="GQS12" s="84"/>
      <c r="GQT12" s="84"/>
      <c r="GQU12" s="84"/>
      <c r="GQV12" s="84"/>
      <c r="GQW12" s="84"/>
      <c r="GQX12" s="84"/>
      <c r="GQY12" s="84"/>
      <c r="GQZ12" s="84"/>
      <c r="GRA12" s="84"/>
      <c r="GRB12" s="84"/>
      <c r="GRC12" s="84"/>
      <c r="GRD12" s="84"/>
      <c r="GRE12" s="84"/>
      <c r="GRF12" s="84"/>
      <c r="GRG12" s="84"/>
      <c r="GRH12" s="84"/>
      <c r="GRI12" s="84"/>
      <c r="GRJ12" s="84"/>
      <c r="GRK12" s="84"/>
      <c r="GRL12" s="84"/>
      <c r="GRM12" s="84"/>
      <c r="GRN12" s="84"/>
      <c r="GRO12" s="84"/>
      <c r="GRP12" s="84"/>
      <c r="GRQ12" s="84"/>
      <c r="GRR12" s="84"/>
      <c r="GRS12" s="84"/>
      <c r="GRT12" s="84"/>
      <c r="GRU12" s="84"/>
      <c r="GRV12" s="84"/>
      <c r="GRW12" s="84"/>
      <c r="GRX12" s="84"/>
      <c r="GRY12" s="84"/>
      <c r="GRZ12" s="84"/>
      <c r="GSA12" s="84"/>
      <c r="GSB12" s="84"/>
      <c r="GSC12" s="84"/>
      <c r="GSD12" s="84"/>
      <c r="GSE12" s="84"/>
      <c r="GSF12" s="84"/>
      <c r="GSG12" s="84"/>
      <c r="GSH12" s="84"/>
      <c r="GSI12" s="84"/>
      <c r="GSJ12" s="84"/>
      <c r="GSK12" s="84"/>
      <c r="GSL12" s="84"/>
      <c r="GSM12" s="84"/>
      <c r="GSN12" s="84"/>
      <c r="GSO12" s="84"/>
      <c r="GSP12" s="84"/>
      <c r="GSQ12" s="84"/>
      <c r="GSR12" s="84"/>
      <c r="GSS12" s="84"/>
      <c r="GST12" s="84"/>
      <c r="GSU12" s="84"/>
      <c r="GSV12" s="84"/>
      <c r="GSW12" s="84"/>
      <c r="GSX12" s="84"/>
      <c r="GSY12" s="84"/>
      <c r="GSZ12" s="84"/>
      <c r="GTA12" s="84"/>
      <c r="GTB12" s="84"/>
      <c r="GTC12" s="84"/>
      <c r="GTD12" s="84"/>
      <c r="GTE12" s="84"/>
      <c r="GTF12" s="84"/>
      <c r="GTG12" s="84"/>
      <c r="GTH12" s="84"/>
      <c r="GTI12" s="84"/>
      <c r="GTJ12" s="84"/>
      <c r="GTK12" s="84"/>
      <c r="GTL12" s="84"/>
      <c r="GTM12" s="84"/>
      <c r="GTN12" s="84"/>
      <c r="GTO12" s="84"/>
      <c r="GTP12" s="84"/>
      <c r="GTQ12" s="84"/>
      <c r="GTR12" s="84"/>
      <c r="GTS12" s="84"/>
      <c r="GTT12" s="84"/>
      <c r="GTU12" s="84"/>
      <c r="GTV12" s="84"/>
      <c r="GTW12" s="84"/>
      <c r="GTX12" s="84"/>
      <c r="GTY12" s="84"/>
      <c r="GTZ12" s="84"/>
      <c r="GUA12" s="84"/>
      <c r="GUB12" s="84"/>
      <c r="GUC12" s="84"/>
      <c r="GUD12" s="84"/>
      <c r="GUE12" s="84"/>
      <c r="GUF12" s="84"/>
      <c r="GUG12" s="84"/>
      <c r="GUH12" s="84"/>
      <c r="GUI12" s="84"/>
      <c r="GUJ12" s="84"/>
      <c r="GUK12" s="84"/>
      <c r="GUL12" s="84"/>
      <c r="GUM12" s="84"/>
      <c r="GUN12" s="84"/>
      <c r="GUO12" s="84"/>
      <c r="GUP12" s="84"/>
      <c r="GUQ12" s="84"/>
      <c r="GUR12" s="84"/>
      <c r="GUS12" s="84"/>
      <c r="GUT12" s="84"/>
      <c r="GUU12" s="84"/>
      <c r="GUV12" s="84"/>
      <c r="GUW12" s="84"/>
      <c r="GUX12" s="84"/>
      <c r="GUY12" s="84"/>
      <c r="GUZ12" s="84"/>
      <c r="GVA12" s="84"/>
      <c r="GVB12" s="84"/>
      <c r="GVC12" s="84"/>
      <c r="GVD12" s="84"/>
      <c r="GVE12" s="84"/>
      <c r="GVF12" s="84"/>
      <c r="GVG12" s="84"/>
      <c r="GVH12" s="84"/>
      <c r="GVI12" s="84"/>
      <c r="GVJ12" s="84"/>
      <c r="GVK12" s="84"/>
      <c r="GVL12" s="84"/>
      <c r="GVM12" s="84"/>
      <c r="GVN12" s="84"/>
      <c r="GVO12" s="84"/>
      <c r="GVP12" s="84"/>
      <c r="GVQ12" s="84"/>
      <c r="GVR12" s="84"/>
      <c r="GVS12" s="84"/>
      <c r="GVT12" s="84"/>
      <c r="GVU12" s="84"/>
      <c r="GVV12" s="84"/>
      <c r="GVW12" s="84"/>
      <c r="GVX12" s="84"/>
      <c r="GVY12" s="84"/>
      <c r="GVZ12" s="84"/>
      <c r="GWA12" s="84"/>
      <c r="GWB12" s="84"/>
      <c r="GWC12" s="84"/>
      <c r="GWD12" s="84"/>
      <c r="GWE12" s="84"/>
      <c r="GWF12" s="84"/>
      <c r="GWG12" s="84"/>
      <c r="GWH12" s="84"/>
      <c r="GWI12" s="84"/>
      <c r="GWJ12" s="84"/>
      <c r="GWK12" s="84"/>
      <c r="GWL12" s="84"/>
      <c r="GWM12" s="84"/>
      <c r="GWN12" s="84"/>
      <c r="GWO12" s="84"/>
      <c r="GWP12" s="84"/>
      <c r="GWQ12" s="84"/>
      <c r="GWR12" s="84"/>
      <c r="GWS12" s="84"/>
      <c r="GWT12" s="84"/>
      <c r="GWU12" s="84"/>
      <c r="GWV12" s="84"/>
      <c r="GWW12" s="84"/>
      <c r="GWX12" s="84"/>
      <c r="GWY12" s="84"/>
      <c r="GWZ12" s="84"/>
      <c r="GXA12" s="84"/>
      <c r="GXB12" s="84"/>
      <c r="GXC12" s="84"/>
      <c r="GXD12" s="84"/>
      <c r="GXE12" s="84"/>
      <c r="GXF12" s="84"/>
      <c r="GXG12" s="84"/>
      <c r="GXH12" s="84"/>
      <c r="GXI12" s="84"/>
      <c r="GXJ12" s="84"/>
      <c r="GXK12" s="84"/>
      <c r="GXL12" s="84"/>
      <c r="GXM12" s="84"/>
      <c r="GXN12" s="84"/>
      <c r="GXO12" s="84"/>
      <c r="GXP12" s="84"/>
      <c r="GXQ12" s="84"/>
      <c r="GXR12" s="84"/>
      <c r="GXS12" s="84"/>
      <c r="GXT12" s="84"/>
      <c r="GXU12" s="84"/>
      <c r="GXV12" s="84"/>
      <c r="GXW12" s="84"/>
      <c r="GXX12" s="84"/>
      <c r="GXY12" s="84"/>
      <c r="GXZ12" s="84"/>
      <c r="GYA12" s="84"/>
      <c r="GYB12" s="84"/>
      <c r="GYC12" s="84"/>
      <c r="GYD12" s="84"/>
      <c r="GYE12" s="84"/>
      <c r="GYF12" s="84"/>
      <c r="GYG12" s="84"/>
      <c r="GYH12" s="84"/>
      <c r="GYI12" s="84"/>
      <c r="GYJ12" s="84"/>
      <c r="GYK12" s="84"/>
      <c r="GYL12" s="84"/>
      <c r="GYM12" s="84"/>
      <c r="GYN12" s="84"/>
      <c r="GYO12" s="84"/>
      <c r="GYP12" s="84"/>
      <c r="GYQ12" s="84"/>
      <c r="GYR12" s="84"/>
      <c r="GYS12" s="84"/>
      <c r="GYT12" s="84"/>
      <c r="GYU12" s="84"/>
      <c r="GYV12" s="84"/>
      <c r="GYW12" s="84"/>
      <c r="GYX12" s="84"/>
      <c r="GYY12" s="84"/>
      <c r="GYZ12" s="84"/>
      <c r="GZA12" s="84"/>
      <c r="GZB12" s="84"/>
      <c r="GZC12" s="84"/>
      <c r="GZD12" s="84"/>
      <c r="GZE12" s="84"/>
      <c r="GZF12" s="84"/>
      <c r="GZG12" s="84"/>
      <c r="GZH12" s="84"/>
      <c r="GZI12" s="84"/>
      <c r="GZJ12" s="84"/>
      <c r="GZK12" s="84"/>
      <c r="GZL12" s="84"/>
      <c r="GZM12" s="84"/>
      <c r="GZN12" s="84"/>
      <c r="GZO12" s="84"/>
      <c r="GZP12" s="84"/>
      <c r="GZQ12" s="84"/>
      <c r="GZR12" s="84"/>
      <c r="GZS12" s="84"/>
      <c r="GZT12" s="84"/>
      <c r="GZU12" s="84"/>
      <c r="GZV12" s="84"/>
      <c r="GZW12" s="84"/>
      <c r="GZX12" s="84"/>
      <c r="GZY12" s="84"/>
      <c r="GZZ12" s="84"/>
      <c r="HAA12" s="84"/>
      <c r="HAB12" s="84"/>
      <c r="HAC12" s="84"/>
      <c r="HAD12" s="84"/>
      <c r="HAE12" s="84"/>
      <c r="HAF12" s="84"/>
      <c r="HAG12" s="84"/>
      <c r="HAH12" s="84"/>
      <c r="HAI12" s="84"/>
      <c r="HAJ12" s="84"/>
      <c r="HAK12" s="84"/>
      <c r="HAL12" s="84"/>
      <c r="HAM12" s="84"/>
      <c r="HAN12" s="84"/>
      <c r="HAO12" s="84"/>
      <c r="HAP12" s="84"/>
      <c r="HAQ12" s="84"/>
      <c r="HAR12" s="84"/>
      <c r="HAS12" s="84"/>
      <c r="HAT12" s="84"/>
      <c r="HAU12" s="84"/>
      <c r="HAV12" s="84"/>
      <c r="HAW12" s="84"/>
      <c r="HAX12" s="84"/>
      <c r="HAY12" s="84"/>
      <c r="HAZ12" s="84"/>
      <c r="HBA12" s="84"/>
      <c r="HBB12" s="84"/>
      <c r="HBC12" s="84"/>
      <c r="HBD12" s="84"/>
      <c r="HBE12" s="84"/>
      <c r="HBF12" s="84"/>
      <c r="HBG12" s="84"/>
      <c r="HBH12" s="84"/>
      <c r="HBI12" s="84"/>
      <c r="HBJ12" s="84"/>
      <c r="HBK12" s="84"/>
      <c r="HBL12" s="84"/>
      <c r="HBM12" s="386"/>
    </row>
    <row r="13" spans="1:5473" s="83" customFormat="1" x14ac:dyDescent="0.3">
      <c r="A13" s="11">
        <v>8</v>
      </c>
      <c r="B13" s="40" t="s">
        <v>1513</v>
      </c>
      <c r="C13" s="12" t="s">
        <v>1514</v>
      </c>
      <c r="D13" s="124">
        <v>890702015272</v>
      </c>
      <c r="E13" s="124" t="s">
        <v>1512</v>
      </c>
      <c r="F13" s="12" t="s">
        <v>7</v>
      </c>
      <c r="G13" s="11" t="s">
        <v>1528</v>
      </c>
      <c r="H13" s="86" t="s">
        <v>1495</v>
      </c>
      <c r="I13" s="550">
        <v>10000</v>
      </c>
      <c r="J13" s="122"/>
      <c r="K13" s="75">
        <v>6000</v>
      </c>
      <c r="L13" s="122">
        <v>5700</v>
      </c>
      <c r="M13" s="122">
        <f t="shared" si="0"/>
        <v>4300</v>
      </c>
      <c r="N13" s="93"/>
      <c r="O13" s="93"/>
      <c r="P13" s="76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84"/>
      <c r="DC13" s="84"/>
      <c r="DD13" s="84"/>
      <c r="DE13" s="84"/>
      <c r="DF13" s="84"/>
      <c r="DG13" s="84"/>
      <c r="DH13" s="84"/>
      <c r="DI13" s="84"/>
      <c r="DJ13" s="84"/>
      <c r="DK13" s="84"/>
      <c r="DL13" s="84"/>
      <c r="DM13" s="84"/>
      <c r="DN13" s="84"/>
      <c r="DO13" s="84"/>
      <c r="DP13" s="84"/>
      <c r="DQ13" s="84"/>
      <c r="DR13" s="84"/>
      <c r="DS13" s="84"/>
      <c r="DT13" s="84"/>
      <c r="DU13" s="84"/>
      <c r="DV13" s="84"/>
      <c r="DW13" s="84"/>
      <c r="DX13" s="84"/>
      <c r="DY13" s="84"/>
      <c r="DZ13" s="84"/>
      <c r="EA13" s="84"/>
      <c r="EB13" s="84"/>
      <c r="EC13" s="84"/>
      <c r="ED13" s="84"/>
      <c r="EE13" s="84"/>
      <c r="EF13" s="84"/>
      <c r="EG13" s="84"/>
      <c r="EH13" s="84"/>
      <c r="EI13" s="84"/>
      <c r="EJ13" s="84"/>
      <c r="EK13" s="84"/>
      <c r="EL13" s="84"/>
      <c r="EM13" s="84"/>
      <c r="EN13" s="84"/>
      <c r="EO13" s="84"/>
      <c r="EP13" s="84"/>
      <c r="EQ13" s="84"/>
      <c r="ER13" s="84"/>
      <c r="ES13" s="84"/>
      <c r="ET13" s="84"/>
      <c r="EU13" s="84"/>
      <c r="EV13" s="84"/>
      <c r="EW13" s="84"/>
      <c r="EX13" s="84"/>
      <c r="EY13" s="84"/>
      <c r="EZ13" s="84"/>
      <c r="FA13" s="84"/>
      <c r="FB13" s="84"/>
      <c r="FC13" s="84"/>
      <c r="FD13" s="84"/>
      <c r="FE13" s="84"/>
      <c r="FF13" s="84"/>
      <c r="FG13" s="84"/>
      <c r="FH13" s="84"/>
      <c r="FI13" s="84"/>
      <c r="FJ13" s="84"/>
      <c r="FK13" s="84"/>
      <c r="FL13" s="84"/>
      <c r="FM13" s="84"/>
      <c r="FN13" s="84"/>
      <c r="FO13" s="84"/>
      <c r="FP13" s="84"/>
      <c r="FQ13" s="84"/>
      <c r="FR13" s="84"/>
      <c r="FS13" s="84"/>
      <c r="FT13" s="84"/>
      <c r="FU13" s="84"/>
      <c r="FV13" s="84"/>
      <c r="FW13" s="84"/>
      <c r="FX13" s="84"/>
      <c r="FY13" s="84"/>
      <c r="FZ13" s="84"/>
      <c r="GA13" s="84"/>
      <c r="GB13" s="84"/>
      <c r="GC13" s="84"/>
      <c r="GD13" s="84"/>
      <c r="GE13" s="84"/>
      <c r="GF13" s="84"/>
      <c r="GG13" s="84"/>
      <c r="GH13" s="84"/>
      <c r="GI13" s="84"/>
      <c r="GJ13" s="84"/>
      <c r="GK13" s="84"/>
      <c r="GL13" s="84"/>
      <c r="GM13" s="84"/>
      <c r="GN13" s="84"/>
      <c r="GO13" s="84"/>
      <c r="GP13" s="84"/>
      <c r="GQ13" s="84"/>
      <c r="GR13" s="84"/>
      <c r="GS13" s="84"/>
      <c r="GT13" s="84"/>
      <c r="GU13" s="84"/>
      <c r="GV13" s="84"/>
      <c r="GW13" s="84"/>
      <c r="GX13" s="84"/>
      <c r="GY13" s="84"/>
      <c r="GZ13" s="84"/>
      <c r="HA13" s="84"/>
      <c r="HB13" s="84"/>
      <c r="HC13" s="84"/>
      <c r="HD13" s="84"/>
      <c r="HE13" s="84"/>
      <c r="HF13" s="84"/>
      <c r="HG13" s="84"/>
      <c r="HH13" s="84"/>
      <c r="HI13" s="84"/>
      <c r="HJ13" s="84"/>
      <c r="HK13" s="84"/>
      <c r="HL13" s="84"/>
      <c r="HM13" s="84"/>
      <c r="HN13" s="84"/>
      <c r="HO13" s="84"/>
      <c r="HP13" s="84"/>
      <c r="HQ13" s="84"/>
      <c r="HR13" s="84"/>
      <c r="HS13" s="84"/>
      <c r="HT13" s="84"/>
      <c r="HU13" s="84"/>
      <c r="HV13" s="84"/>
      <c r="HW13" s="84"/>
      <c r="HX13" s="84"/>
      <c r="HY13" s="84"/>
      <c r="HZ13" s="84"/>
      <c r="IA13" s="84"/>
      <c r="IB13" s="84"/>
      <c r="IC13" s="84"/>
      <c r="ID13" s="84"/>
      <c r="IE13" s="84"/>
      <c r="IF13" s="84"/>
      <c r="IG13" s="84"/>
      <c r="IH13" s="84"/>
      <c r="II13" s="84"/>
      <c r="IJ13" s="84"/>
      <c r="IK13" s="84"/>
      <c r="IL13" s="84"/>
      <c r="IM13" s="84"/>
      <c r="IN13" s="84"/>
      <c r="IO13" s="84"/>
      <c r="IP13" s="84"/>
      <c r="IQ13" s="84"/>
      <c r="IR13" s="84"/>
      <c r="IS13" s="84"/>
      <c r="IT13" s="84"/>
      <c r="IU13" s="84"/>
      <c r="IV13" s="84"/>
      <c r="IW13" s="84"/>
      <c r="IX13" s="84"/>
      <c r="IY13" s="84"/>
      <c r="IZ13" s="84"/>
      <c r="JA13" s="84"/>
      <c r="JB13" s="84"/>
      <c r="JC13" s="84"/>
      <c r="JD13" s="84"/>
      <c r="JE13" s="84"/>
      <c r="JF13" s="84"/>
      <c r="JG13" s="84"/>
      <c r="JH13" s="84"/>
      <c r="JI13" s="84"/>
      <c r="JJ13" s="84"/>
      <c r="JK13" s="84"/>
      <c r="JL13" s="84"/>
      <c r="JM13" s="84"/>
      <c r="JN13" s="84"/>
      <c r="JO13" s="84"/>
      <c r="JP13" s="84"/>
      <c r="JQ13" s="84"/>
      <c r="JR13" s="84"/>
      <c r="JS13" s="84"/>
      <c r="JT13" s="84"/>
      <c r="JU13" s="84"/>
      <c r="JV13" s="84"/>
      <c r="JW13" s="84"/>
      <c r="JX13" s="84"/>
      <c r="JY13" s="84"/>
      <c r="JZ13" s="84"/>
      <c r="KA13" s="84"/>
      <c r="KB13" s="84"/>
      <c r="KC13" s="84"/>
      <c r="KD13" s="84"/>
      <c r="KE13" s="84"/>
      <c r="KF13" s="84"/>
      <c r="KG13" s="84"/>
      <c r="KH13" s="84"/>
      <c r="KI13" s="84"/>
      <c r="KJ13" s="84"/>
      <c r="KK13" s="84"/>
      <c r="KL13" s="84"/>
      <c r="KM13" s="84"/>
      <c r="KN13" s="84"/>
      <c r="KO13" s="84"/>
      <c r="KP13" s="84"/>
      <c r="KQ13" s="84"/>
      <c r="KR13" s="84"/>
      <c r="KS13" s="84"/>
      <c r="KT13" s="84"/>
      <c r="KU13" s="84"/>
      <c r="KV13" s="84"/>
      <c r="KW13" s="84"/>
      <c r="KX13" s="84"/>
      <c r="KY13" s="84"/>
      <c r="KZ13" s="84"/>
      <c r="LA13" s="84"/>
      <c r="LB13" s="84"/>
      <c r="LC13" s="84"/>
      <c r="LD13" s="84"/>
      <c r="LE13" s="84"/>
      <c r="LF13" s="84"/>
      <c r="LG13" s="84"/>
      <c r="LH13" s="84"/>
      <c r="LI13" s="84"/>
      <c r="LJ13" s="84"/>
      <c r="LK13" s="84"/>
      <c r="LL13" s="84"/>
      <c r="LM13" s="84"/>
      <c r="LN13" s="84"/>
      <c r="LO13" s="84"/>
      <c r="LP13" s="84"/>
      <c r="LQ13" s="84"/>
      <c r="LR13" s="84"/>
      <c r="LS13" s="84"/>
      <c r="LT13" s="84"/>
      <c r="LU13" s="84"/>
      <c r="LV13" s="84"/>
      <c r="LW13" s="84"/>
      <c r="LX13" s="84"/>
      <c r="LY13" s="84"/>
      <c r="LZ13" s="84"/>
      <c r="MA13" s="84"/>
      <c r="MB13" s="84"/>
      <c r="MC13" s="84"/>
      <c r="MD13" s="84"/>
      <c r="ME13" s="84"/>
      <c r="MF13" s="84"/>
      <c r="MG13" s="84"/>
      <c r="MH13" s="84"/>
      <c r="MI13" s="84"/>
      <c r="MJ13" s="84"/>
      <c r="MK13" s="84"/>
      <c r="ML13" s="84"/>
      <c r="MM13" s="84"/>
      <c r="MN13" s="84"/>
      <c r="MO13" s="84"/>
      <c r="MP13" s="84"/>
      <c r="MQ13" s="84"/>
      <c r="MR13" s="84"/>
      <c r="MS13" s="84"/>
      <c r="MT13" s="84"/>
      <c r="MU13" s="84"/>
      <c r="MV13" s="84"/>
      <c r="MW13" s="84"/>
      <c r="MX13" s="84"/>
      <c r="MY13" s="84"/>
      <c r="MZ13" s="84"/>
      <c r="NA13" s="84"/>
      <c r="NB13" s="84"/>
      <c r="NC13" s="84"/>
      <c r="ND13" s="84"/>
      <c r="NE13" s="84"/>
      <c r="NF13" s="84"/>
      <c r="NG13" s="84"/>
      <c r="NH13" s="84"/>
      <c r="NI13" s="84"/>
      <c r="NJ13" s="84"/>
      <c r="NK13" s="84"/>
      <c r="NL13" s="84"/>
      <c r="NM13" s="84"/>
      <c r="NN13" s="84"/>
      <c r="NO13" s="84"/>
      <c r="NP13" s="84"/>
      <c r="NQ13" s="84"/>
      <c r="NR13" s="84"/>
      <c r="NS13" s="84"/>
      <c r="NT13" s="84"/>
      <c r="NU13" s="84"/>
      <c r="NV13" s="84"/>
      <c r="NW13" s="84"/>
      <c r="NX13" s="84"/>
      <c r="NY13" s="84"/>
      <c r="NZ13" s="84"/>
      <c r="OA13" s="84"/>
      <c r="OB13" s="84"/>
      <c r="OC13" s="84"/>
      <c r="OD13" s="84"/>
      <c r="OE13" s="84"/>
      <c r="OF13" s="84"/>
      <c r="OG13" s="84"/>
      <c r="OH13" s="84"/>
      <c r="OI13" s="84"/>
      <c r="OJ13" s="84"/>
      <c r="OK13" s="84"/>
      <c r="OL13" s="84"/>
      <c r="OM13" s="84"/>
      <c r="ON13" s="84"/>
      <c r="OO13" s="84"/>
      <c r="OP13" s="84"/>
      <c r="OQ13" s="84"/>
      <c r="OR13" s="84"/>
      <c r="OS13" s="84"/>
      <c r="OT13" s="84"/>
      <c r="OU13" s="84"/>
      <c r="OV13" s="84"/>
      <c r="OW13" s="84"/>
      <c r="OX13" s="84"/>
      <c r="OY13" s="84"/>
      <c r="OZ13" s="84"/>
      <c r="PA13" s="84"/>
      <c r="PB13" s="84"/>
      <c r="PC13" s="84"/>
      <c r="PD13" s="84"/>
      <c r="PE13" s="84"/>
      <c r="PF13" s="84"/>
      <c r="PG13" s="84"/>
      <c r="PH13" s="84"/>
      <c r="PI13" s="84"/>
      <c r="PJ13" s="84"/>
      <c r="PK13" s="84"/>
      <c r="PL13" s="84"/>
      <c r="PM13" s="84"/>
      <c r="PN13" s="84"/>
      <c r="PO13" s="84"/>
      <c r="PP13" s="84"/>
      <c r="PQ13" s="84"/>
      <c r="PR13" s="84"/>
      <c r="PS13" s="84"/>
      <c r="PT13" s="84"/>
      <c r="PU13" s="84"/>
      <c r="PV13" s="84"/>
      <c r="PW13" s="84"/>
      <c r="PX13" s="84"/>
      <c r="PY13" s="84"/>
      <c r="PZ13" s="84"/>
      <c r="QA13" s="84"/>
      <c r="QB13" s="84"/>
      <c r="QC13" s="84"/>
      <c r="QD13" s="84"/>
      <c r="QE13" s="84"/>
      <c r="QF13" s="84"/>
      <c r="QG13" s="84"/>
      <c r="QH13" s="84"/>
      <c r="QI13" s="84"/>
      <c r="QJ13" s="84"/>
      <c r="QK13" s="84"/>
      <c r="QL13" s="84"/>
      <c r="QM13" s="84"/>
      <c r="QN13" s="84"/>
      <c r="QO13" s="84"/>
      <c r="QP13" s="84"/>
      <c r="QQ13" s="84"/>
      <c r="QR13" s="84"/>
      <c r="QS13" s="84"/>
      <c r="QT13" s="84"/>
      <c r="QU13" s="84"/>
      <c r="QV13" s="84"/>
      <c r="QW13" s="84"/>
      <c r="QX13" s="84"/>
      <c r="QY13" s="84"/>
      <c r="QZ13" s="84"/>
      <c r="RA13" s="84"/>
      <c r="RB13" s="84"/>
      <c r="RC13" s="84"/>
      <c r="RD13" s="84"/>
      <c r="RE13" s="84"/>
      <c r="RF13" s="84"/>
      <c r="RG13" s="84"/>
      <c r="RH13" s="84"/>
      <c r="RI13" s="84"/>
      <c r="RJ13" s="84"/>
      <c r="RK13" s="84"/>
      <c r="RL13" s="84"/>
      <c r="RM13" s="84"/>
      <c r="RN13" s="84"/>
      <c r="RO13" s="84"/>
      <c r="RP13" s="84"/>
      <c r="RQ13" s="84"/>
      <c r="RR13" s="84"/>
      <c r="RS13" s="84"/>
      <c r="RT13" s="84"/>
      <c r="RU13" s="84"/>
      <c r="RV13" s="84"/>
      <c r="RW13" s="84"/>
      <c r="RX13" s="84"/>
      <c r="RY13" s="84"/>
      <c r="RZ13" s="84"/>
      <c r="SA13" s="84"/>
      <c r="SB13" s="84"/>
      <c r="SC13" s="84"/>
      <c r="SD13" s="84"/>
      <c r="SE13" s="84"/>
      <c r="SF13" s="84"/>
      <c r="SG13" s="84"/>
      <c r="SH13" s="84"/>
      <c r="SI13" s="84"/>
      <c r="SJ13" s="84"/>
      <c r="SK13" s="84"/>
      <c r="SL13" s="84"/>
      <c r="SM13" s="84"/>
      <c r="SN13" s="84"/>
      <c r="SO13" s="84"/>
      <c r="SP13" s="84"/>
      <c r="SQ13" s="84"/>
      <c r="SR13" s="84"/>
      <c r="SS13" s="84"/>
      <c r="ST13" s="84"/>
      <c r="SU13" s="84"/>
      <c r="SV13" s="84"/>
      <c r="SW13" s="84"/>
      <c r="SX13" s="84"/>
      <c r="SY13" s="84"/>
      <c r="SZ13" s="84"/>
      <c r="TA13" s="84"/>
      <c r="TB13" s="84"/>
      <c r="TC13" s="84"/>
      <c r="TD13" s="84"/>
      <c r="TE13" s="84"/>
      <c r="TF13" s="84"/>
      <c r="TG13" s="84"/>
      <c r="TH13" s="84"/>
      <c r="TI13" s="84"/>
      <c r="TJ13" s="84"/>
      <c r="TK13" s="84"/>
      <c r="TL13" s="84"/>
      <c r="TM13" s="84"/>
      <c r="TN13" s="84"/>
      <c r="TO13" s="84"/>
      <c r="TP13" s="84"/>
      <c r="TQ13" s="84"/>
      <c r="TR13" s="84"/>
      <c r="TS13" s="84"/>
      <c r="TT13" s="84"/>
      <c r="TU13" s="84"/>
      <c r="TV13" s="84"/>
      <c r="TW13" s="84"/>
      <c r="TX13" s="84"/>
      <c r="TY13" s="84"/>
      <c r="TZ13" s="84"/>
      <c r="UA13" s="84"/>
      <c r="UB13" s="84"/>
      <c r="UC13" s="84"/>
      <c r="UD13" s="84"/>
      <c r="UE13" s="84"/>
      <c r="UF13" s="84"/>
      <c r="UG13" s="84"/>
      <c r="UH13" s="84"/>
      <c r="UI13" s="84"/>
      <c r="UJ13" s="84"/>
      <c r="UK13" s="84"/>
      <c r="UL13" s="84"/>
      <c r="UM13" s="84"/>
      <c r="UN13" s="84"/>
      <c r="UO13" s="84"/>
      <c r="UP13" s="84"/>
      <c r="UQ13" s="84"/>
      <c r="UR13" s="84"/>
      <c r="US13" s="84"/>
      <c r="UT13" s="84"/>
      <c r="UU13" s="84"/>
      <c r="UV13" s="84"/>
      <c r="UW13" s="84"/>
      <c r="UX13" s="84"/>
      <c r="UY13" s="84"/>
      <c r="UZ13" s="84"/>
      <c r="VA13" s="84"/>
      <c r="VB13" s="84"/>
      <c r="VC13" s="84"/>
      <c r="VD13" s="84"/>
      <c r="VE13" s="84"/>
      <c r="VF13" s="84"/>
      <c r="VG13" s="84"/>
      <c r="VH13" s="84"/>
      <c r="VI13" s="84"/>
      <c r="VJ13" s="84"/>
      <c r="VK13" s="84"/>
      <c r="VL13" s="84"/>
      <c r="VM13" s="84"/>
      <c r="VN13" s="84"/>
      <c r="VO13" s="84"/>
      <c r="VP13" s="84"/>
      <c r="VQ13" s="84"/>
      <c r="VR13" s="84"/>
      <c r="VS13" s="84"/>
      <c r="VT13" s="84"/>
      <c r="VU13" s="84"/>
      <c r="VV13" s="84"/>
      <c r="VW13" s="84"/>
      <c r="VX13" s="84"/>
      <c r="VY13" s="84"/>
      <c r="VZ13" s="84"/>
      <c r="WA13" s="84"/>
      <c r="WB13" s="84"/>
      <c r="WC13" s="84"/>
      <c r="WD13" s="84"/>
      <c r="WE13" s="84"/>
      <c r="WF13" s="84"/>
      <c r="WG13" s="84"/>
      <c r="WH13" s="84"/>
      <c r="WI13" s="84"/>
      <c r="WJ13" s="84"/>
      <c r="WK13" s="84"/>
      <c r="WL13" s="84"/>
      <c r="WM13" s="84"/>
      <c r="WN13" s="84"/>
      <c r="WO13" s="84"/>
      <c r="WP13" s="84"/>
      <c r="WQ13" s="84"/>
      <c r="WR13" s="84"/>
      <c r="WS13" s="84"/>
      <c r="WT13" s="84"/>
      <c r="WU13" s="84"/>
      <c r="WV13" s="84"/>
      <c r="WW13" s="84"/>
      <c r="WX13" s="84"/>
      <c r="WY13" s="84"/>
      <c r="WZ13" s="84"/>
      <c r="XA13" s="84"/>
      <c r="XB13" s="84"/>
      <c r="XC13" s="84"/>
      <c r="XD13" s="84"/>
      <c r="XE13" s="84"/>
      <c r="XF13" s="84"/>
      <c r="XG13" s="84"/>
      <c r="XH13" s="84"/>
      <c r="XI13" s="84"/>
      <c r="XJ13" s="84"/>
      <c r="XK13" s="84"/>
      <c r="XL13" s="84"/>
      <c r="XM13" s="84"/>
      <c r="XN13" s="84"/>
      <c r="XO13" s="84"/>
      <c r="XP13" s="84"/>
      <c r="XQ13" s="84"/>
      <c r="XR13" s="84"/>
      <c r="XS13" s="84"/>
      <c r="XT13" s="84"/>
      <c r="XU13" s="84"/>
      <c r="XV13" s="84"/>
      <c r="XW13" s="84"/>
      <c r="XX13" s="84"/>
      <c r="XY13" s="84"/>
      <c r="XZ13" s="84"/>
      <c r="YA13" s="84"/>
      <c r="YB13" s="84"/>
      <c r="YC13" s="84"/>
      <c r="YD13" s="84"/>
      <c r="YE13" s="84"/>
      <c r="YF13" s="84"/>
      <c r="YG13" s="84"/>
      <c r="YH13" s="84"/>
      <c r="YI13" s="84"/>
      <c r="YJ13" s="84"/>
      <c r="YK13" s="84"/>
      <c r="YL13" s="84"/>
      <c r="YM13" s="84"/>
      <c r="YN13" s="84"/>
      <c r="YO13" s="84"/>
      <c r="YP13" s="84"/>
      <c r="YQ13" s="84"/>
      <c r="YR13" s="84"/>
      <c r="YS13" s="84"/>
      <c r="YT13" s="84"/>
      <c r="YU13" s="84"/>
      <c r="YV13" s="84"/>
      <c r="YW13" s="84"/>
      <c r="YX13" s="84"/>
      <c r="YY13" s="84"/>
      <c r="YZ13" s="84"/>
      <c r="ZA13" s="84"/>
      <c r="ZB13" s="84"/>
      <c r="ZC13" s="84"/>
      <c r="ZD13" s="84"/>
      <c r="ZE13" s="84"/>
      <c r="ZF13" s="84"/>
      <c r="ZG13" s="84"/>
      <c r="ZH13" s="84"/>
      <c r="ZI13" s="84"/>
      <c r="ZJ13" s="84"/>
      <c r="ZK13" s="84"/>
      <c r="ZL13" s="84"/>
      <c r="ZM13" s="84"/>
      <c r="ZN13" s="84"/>
      <c r="ZO13" s="84"/>
      <c r="ZP13" s="84"/>
      <c r="ZQ13" s="84"/>
      <c r="ZR13" s="84"/>
      <c r="ZS13" s="84"/>
      <c r="ZT13" s="84"/>
      <c r="ZU13" s="84"/>
      <c r="ZV13" s="84"/>
      <c r="ZW13" s="84"/>
      <c r="ZX13" s="84"/>
      <c r="ZY13" s="84"/>
      <c r="ZZ13" s="84"/>
      <c r="AAA13" s="84"/>
      <c r="AAB13" s="84"/>
      <c r="AAC13" s="84"/>
      <c r="AAD13" s="84"/>
      <c r="AAE13" s="84"/>
      <c r="AAF13" s="84"/>
      <c r="AAG13" s="84"/>
      <c r="AAH13" s="84"/>
      <c r="AAI13" s="84"/>
      <c r="AAJ13" s="84"/>
      <c r="AAK13" s="84"/>
      <c r="AAL13" s="84"/>
      <c r="AAM13" s="84"/>
      <c r="AAN13" s="84"/>
      <c r="AAO13" s="84"/>
      <c r="AAP13" s="84"/>
      <c r="AAQ13" s="84"/>
      <c r="AAR13" s="84"/>
      <c r="AAS13" s="84"/>
      <c r="AAT13" s="84"/>
      <c r="AAU13" s="84"/>
      <c r="AAV13" s="84"/>
      <c r="AAW13" s="84"/>
      <c r="AAX13" s="84"/>
      <c r="AAY13" s="84"/>
      <c r="AAZ13" s="84"/>
      <c r="ABA13" s="84"/>
      <c r="ABB13" s="84"/>
      <c r="ABC13" s="84"/>
      <c r="ABD13" s="84"/>
      <c r="ABE13" s="84"/>
      <c r="ABF13" s="84"/>
      <c r="ABG13" s="84"/>
      <c r="ABH13" s="84"/>
      <c r="ABI13" s="84"/>
      <c r="ABJ13" s="84"/>
      <c r="ABK13" s="84"/>
      <c r="ABL13" s="84"/>
      <c r="ABM13" s="84"/>
      <c r="ABN13" s="84"/>
      <c r="ABO13" s="84"/>
      <c r="ABP13" s="84"/>
      <c r="ABQ13" s="84"/>
      <c r="ABR13" s="84"/>
      <c r="ABS13" s="84"/>
      <c r="ABT13" s="84"/>
      <c r="ABU13" s="84"/>
      <c r="ABV13" s="84"/>
      <c r="ABW13" s="84"/>
      <c r="ABX13" s="84"/>
      <c r="ABY13" s="84"/>
      <c r="ABZ13" s="84"/>
      <c r="ACA13" s="84"/>
      <c r="ACB13" s="84"/>
      <c r="ACC13" s="84"/>
      <c r="ACD13" s="84"/>
      <c r="ACE13" s="84"/>
      <c r="ACF13" s="84"/>
      <c r="ACG13" s="84"/>
      <c r="ACH13" s="84"/>
      <c r="ACI13" s="84"/>
      <c r="ACJ13" s="84"/>
      <c r="ACK13" s="84"/>
      <c r="ACL13" s="84"/>
      <c r="ACM13" s="84"/>
      <c r="ACN13" s="84"/>
      <c r="ACO13" s="84"/>
      <c r="ACP13" s="84"/>
      <c r="ACQ13" s="84"/>
      <c r="ACR13" s="84"/>
      <c r="ACS13" s="84"/>
      <c r="ACT13" s="84"/>
      <c r="ACU13" s="84"/>
      <c r="ACV13" s="84"/>
      <c r="ACW13" s="84"/>
      <c r="ACX13" s="84"/>
      <c r="ACY13" s="84"/>
      <c r="ACZ13" s="84"/>
      <c r="ADA13" s="84"/>
      <c r="ADB13" s="84"/>
      <c r="ADC13" s="84"/>
      <c r="ADD13" s="84"/>
      <c r="ADE13" s="84"/>
      <c r="ADF13" s="84"/>
      <c r="ADG13" s="84"/>
      <c r="ADH13" s="84"/>
      <c r="ADI13" s="84"/>
      <c r="ADJ13" s="84"/>
      <c r="ADK13" s="84"/>
      <c r="ADL13" s="84"/>
      <c r="ADM13" s="84"/>
      <c r="ADN13" s="84"/>
      <c r="ADO13" s="84"/>
      <c r="ADP13" s="84"/>
      <c r="ADQ13" s="84"/>
      <c r="ADR13" s="84"/>
      <c r="ADS13" s="84"/>
      <c r="ADT13" s="84"/>
      <c r="ADU13" s="84"/>
      <c r="ADV13" s="84"/>
      <c r="ADW13" s="84"/>
      <c r="ADX13" s="84"/>
      <c r="ADY13" s="84"/>
      <c r="ADZ13" s="84"/>
      <c r="AEA13" s="84"/>
      <c r="AEB13" s="84"/>
      <c r="AEC13" s="84"/>
      <c r="AED13" s="84"/>
      <c r="AEE13" s="84"/>
      <c r="AEF13" s="84"/>
      <c r="AEG13" s="84"/>
      <c r="AEH13" s="84"/>
      <c r="AEI13" s="84"/>
      <c r="AEJ13" s="84"/>
      <c r="AEK13" s="84"/>
      <c r="AEL13" s="84"/>
      <c r="AEM13" s="84"/>
      <c r="AEN13" s="84"/>
      <c r="AEO13" s="84"/>
      <c r="AEP13" s="84"/>
      <c r="AEQ13" s="84"/>
      <c r="AER13" s="84"/>
      <c r="AES13" s="84"/>
      <c r="AET13" s="84"/>
      <c r="AEU13" s="84"/>
      <c r="AEV13" s="84"/>
      <c r="AEW13" s="84"/>
      <c r="AEX13" s="84"/>
      <c r="AEY13" s="84"/>
      <c r="AEZ13" s="84"/>
      <c r="AFA13" s="84"/>
      <c r="AFB13" s="84"/>
      <c r="AFC13" s="84"/>
      <c r="AFD13" s="84"/>
      <c r="AFE13" s="84"/>
      <c r="AFF13" s="84"/>
      <c r="AFG13" s="84"/>
      <c r="AFH13" s="84"/>
      <c r="AFI13" s="84"/>
      <c r="AFJ13" s="84"/>
      <c r="AFK13" s="84"/>
      <c r="AFL13" s="84"/>
      <c r="AFM13" s="84"/>
      <c r="AFN13" s="84"/>
      <c r="AFO13" s="84"/>
      <c r="AFP13" s="84"/>
      <c r="AFQ13" s="84"/>
      <c r="AFR13" s="84"/>
      <c r="AFS13" s="84"/>
      <c r="AFT13" s="84"/>
      <c r="AFU13" s="84"/>
      <c r="AFV13" s="84"/>
      <c r="AFW13" s="84"/>
      <c r="AFX13" s="84"/>
      <c r="AFY13" s="84"/>
      <c r="AFZ13" s="84"/>
      <c r="AGA13" s="84"/>
      <c r="AGB13" s="84"/>
      <c r="AGC13" s="84"/>
      <c r="AGD13" s="84"/>
      <c r="AGE13" s="84"/>
      <c r="AGF13" s="84"/>
      <c r="AGG13" s="84"/>
      <c r="AGH13" s="84"/>
      <c r="AGI13" s="84"/>
      <c r="AGJ13" s="84"/>
      <c r="AGK13" s="84"/>
      <c r="AGL13" s="84"/>
      <c r="AGM13" s="84"/>
      <c r="AGN13" s="84"/>
      <c r="AGO13" s="84"/>
      <c r="AGP13" s="84"/>
      <c r="AGQ13" s="84"/>
      <c r="AGR13" s="84"/>
      <c r="AGS13" s="84"/>
      <c r="AGT13" s="84"/>
      <c r="AGU13" s="84"/>
      <c r="AGV13" s="84"/>
      <c r="AGW13" s="84"/>
      <c r="AGX13" s="84"/>
      <c r="AGY13" s="84"/>
      <c r="AGZ13" s="84"/>
      <c r="AHA13" s="84"/>
      <c r="AHB13" s="84"/>
      <c r="AHC13" s="84"/>
      <c r="AHD13" s="84"/>
      <c r="AHE13" s="84"/>
      <c r="AHF13" s="84"/>
      <c r="AHG13" s="84"/>
      <c r="AHH13" s="84"/>
      <c r="AHI13" s="84"/>
      <c r="AHJ13" s="84"/>
      <c r="AHK13" s="84"/>
      <c r="AHL13" s="84"/>
      <c r="AHM13" s="84"/>
      <c r="AHN13" s="84"/>
      <c r="AHO13" s="84"/>
      <c r="AHP13" s="84"/>
      <c r="AHQ13" s="84"/>
      <c r="AHR13" s="84"/>
      <c r="AHS13" s="84"/>
      <c r="AHT13" s="84"/>
      <c r="AHU13" s="84"/>
      <c r="AHV13" s="84"/>
      <c r="AHW13" s="84"/>
      <c r="AHX13" s="84"/>
      <c r="AHY13" s="84"/>
      <c r="AHZ13" s="84"/>
      <c r="AIA13" s="84"/>
      <c r="AIB13" s="84"/>
      <c r="AIC13" s="84"/>
      <c r="AID13" s="84"/>
      <c r="AIE13" s="84"/>
      <c r="AIF13" s="84"/>
      <c r="AIG13" s="84"/>
      <c r="AIH13" s="84"/>
      <c r="AII13" s="84"/>
      <c r="AIJ13" s="84"/>
      <c r="AIK13" s="84"/>
      <c r="AIL13" s="84"/>
      <c r="AIM13" s="84"/>
      <c r="AIN13" s="84"/>
      <c r="AIO13" s="84"/>
      <c r="AIP13" s="84"/>
      <c r="AIQ13" s="84"/>
      <c r="AIR13" s="84"/>
      <c r="AIS13" s="84"/>
      <c r="AIT13" s="84"/>
      <c r="AIU13" s="84"/>
      <c r="AIV13" s="84"/>
      <c r="AIW13" s="84"/>
      <c r="AIX13" s="84"/>
      <c r="AIY13" s="84"/>
      <c r="AIZ13" s="84"/>
      <c r="AJA13" s="84"/>
      <c r="AJB13" s="84"/>
      <c r="AJC13" s="84"/>
      <c r="AJD13" s="84"/>
      <c r="AJE13" s="84"/>
      <c r="AJF13" s="84"/>
      <c r="AJG13" s="84"/>
      <c r="AJH13" s="84"/>
      <c r="AJI13" s="84"/>
      <c r="AJJ13" s="84"/>
      <c r="AJK13" s="84"/>
      <c r="AJL13" s="84"/>
      <c r="AJM13" s="84"/>
      <c r="AJN13" s="84"/>
      <c r="AJO13" s="84"/>
      <c r="AJP13" s="84"/>
      <c r="AJQ13" s="84"/>
      <c r="AJR13" s="84"/>
      <c r="AJS13" s="84"/>
      <c r="AJT13" s="84"/>
      <c r="AJU13" s="84"/>
      <c r="AJV13" s="84"/>
      <c r="AJW13" s="84"/>
      <c r="AJX13" s="84"/>
      <c r="AJY13" s="84"/>
      <c r="AJZ13" s="84"/>
      <c r="AKA13" s="84"/>
      <c r="AKB13" s="84"/>
      <c r="AKC13" s="84"/>
      <c r="AKD13" s="84"/>
      <c r="AKE13" s="84"/>
      <c r="AKF13" s="84"/>
      <c r="AKG13" s="84"/>
      <c r="AKH13" s="84"/>
      <c r="AKI13" s="84"/>
      <c r="AKJ13" s="84"/>
      <c r="AKK13" s="84"/>
      <c r="AKL13" s="84"/>
      <c r="AKM13" s="84"/>
      <c r="AKN13" s="84"/>
      <c r="AKO13" s="84"/>
      <c r="AKP13" s="84"/>
      <c r="AKQ13" s="84"/>
      <c r="AKR13" s="84"/>
      <c r="AKS13" s="84"/>
      <c r="AKT13" s="84"/>
      <c r="AKU13" s="84"/>
      <c r="AKV13" s="84"/>
      <c r="AKW13" s="84"/>
      <c r="AKX13" s="84"/>
      <c r="AKY13" s="84"/>
      <c r="AKZ13" s="84"/>
      <c r="ALA13" s="84"/>
      <c r="ALB13" s="84"/>
      <c r="ALC13" s="84"/>
      <c r="ALD13" s="84"/>
      <c r="ALE13" s="84"/>
      <c r="ALF13" s="84"/>
      <c r="ALG13" s="84"/>
      <c r="ALH13" s="84"/>
      <c r="ALI13" s="84"/>
      <c r="ALJ13" s="84"/>
      <c r="ALK13" s="84"/>
      <c r="ALL13" s="84"/>
      <c r="ALM13" s="84"/>
      <c r="ALN13" s="84"/>
      <c r="ALO13" s="84"/>
      <c r="ALP13" s="84"/>
      <c r="ALQ13" s="84"/>
      <c r="ALR13" s="84"/>
      <c r="ALS13" s="84"/>
      <c r="ALT13" s="84"/>
      <c r="ALU13" s="84"/>
      <c r="ALV13" s="84"/>
      <c r="ALW13" s="84"/>
      <c r="ALX13" s="84"/>
      <c r="ALY13" s="84"/>
      <c r="ALZ13" s="84"/>
      <c r="AMA13" s="84"/>
      <c r="AMB13" s="84"/>
      <c r="AMC13" s="84"/>
      <c r="AMD13" s="84"/>
      <c r="AME13" s="84"/>
      <c r="AMF13" s="84"/>
      <c r="AMG13" s="84"/>
      <c r="AMH13" s="84"/>
      <c r="AMI13" s="84"/>
      <c r="AMJ13" s="84"/>
      <c r="AMK13" s="84"/>
      <c r="AML13" s="84"/>
      <c r="AMM13" s="84"/>
      <c r="AMN13" s="84"/>
      <c r="AMO13" s="84"/>
      <c r="AMP13" s="84"/>
      <c r="AMQ13" s="84"/>
      <c r="AMR13" s="84"/>
      <c r="AMS13" s="84"/>
      <c r="AMT13" s="84"/>
      <c r="AMU13" s="84"/>
      <c r="AMV13" s="84"/>
      <c r="AMW13" s="84"/>
      <c r="AMX13" s="84"/>
      <c r="AMY13" s="84"/>
      <c r="AMZ13" s="84"/>
      <c r="ANA13" s="84"/>
      <c r="ANB13" s="84"/>
      <c r="ANC13" s="84"/>
      <c r="AND13" s="84"/>
      <c r="ANE13" s="84"/>
      <c r="ANF13" s="84"/>
      <c r="ANG13" s="84"/>
      <c r="ANH13" s="84"/>
      <c r="ANI13" s="84"/>
      <c r="ANJ13" s="84"/>
      <c r="ANK13" s="84"/>
      <c r="ANL13" s="84"/>
      <c r="ANM13" s="84"/>
      <c r="ANN13" s="84"/>
      <c r="ANO13" s="84"/>
      <c r="ANP13" s="84"/>
      <c r="ANQ13" s="84"/>
      <c r="ANR13" s="84"/>
      <c r="ANS13" s="84"/>
      <c r="ANT13" s="84"/>
      <c r="ANU13" s="84"/>
      <c r="ANV13" s="84"/>
      <c r="ANW13" s="84"/>
      <c r="ANX13" s="84"/>
      <c r="ANY13" s="84"/>
      <c r="ANZ13" s="84"/>
      <c r="AOA13" s="84"/>
      <c r="AOB13" s="84"/>
      <c r="AOC13" s="84"/>
      <c r="AOD13" s="84"/>
      <c r="AOE13" s="84"/>
      <c r="AOF13" s="84"/>
      <c r="AOG13" s="84"/>
      <c r="AOH13" s="84"/>
      <c r="AOI13" s="84"/>
      <c r="AOJ13" s="84"/>
      <c r="AOK13" s="84"/>
      <c r="AOL13" s="84"/>
      <c r="AOM13" s="84"/>
      <c r="AON13" s="84"/>
      <c r="AOO13" s="84"/>
      <c r="AOP13" s="84"/>
      <c r="AOQ13" s="84"/>
      <c r="AOR13" s="84"/>
      <c r="AOS13" s="84"/>
      <c r="AOT13" s="84"/>
      <c r="AOU13" s="84"/>
      <c r="AOV13" s="84"/>
      <c r="AOW13" s="84"/>
      <c r="AOX13" s="84"/>
      <c r="AOY13" s="84"/>
      <c r="AOZ13" s="84"/>
      <c r="APA13" s="84"/>
      <c r="APB13" s="84"/>
      <c r="APC13" s="84"/>
      <c r="APD13" s="84"/>
      <c r="APE13" s="84"/>
      <c r="APF13" s="84"/>
      <c r="APG13" s="84"/>
      <c r="APH13" s="84"/>
      <c r="API13" s="84"/>
      <c r="APJ13" s="84"/>
      <c r="APK13" s="84"/>
      <c r="APL13" s="84"/>
      <c r="APM13" s="84"/>
      <c r="APN13" s="84"/>
      <c r="APO13" s="84"/>
      <c r="APP13" s="84"/>
      <c r="APQ13" s="84"/>
      <c r="APR13" s="84"/>
      <c r="APS13" s="84"/>
      <c r="APT13" s="84"/>
      <c r="APU13" s="84"/>
      <c r="APV13" s="84"/>
      <c r="APW13" s="84"/>
      <c r="APX13" s="84"/>
      <c r="APY13" s="84"/>
      <c r="APZ13" s="84"/>
      <c r="AQA13" s="84"/>
      <c r="AQB13" s="84"/>
      <c r="AQC13" s="84"/>
      <c r="AQD13" s="84"/>
      <c r="AQE13" s="84"/>
      <c r="AQF13" s="84"/>
      <c r="AQG13" s="84"/>
      <c r="AQH13" s="84"/>
      <c r="AQI13" s="84"/>
      <c r="AQJ13" s="84"/>
      <c r="AQK13" s="84"/>
      <c r="AQL13" s="84"/>
      <c r="AQM13" s="84"/>
      <c r="AQN13" s="84"/>
      <c r="AQO13" s="84"/>
      <c r="AQP13" s="84"/>
      <c r="AQQ13" s="84"/>
      <c r="AQR13" s="84"/>
      <c r="AQS13" s="84"/>
      <c r="AQT13" s="84"/>
      <c r="AQU13" s="84"/>
      <c r="AQV13" s="84"/>
      <c r="AQW13" s="84"/>
      <c r="AQX13" s="84"/>
      <c r="AQY13" s="84"/>
      <c r="AQZ13" s="84"/>
      <c r="ARA13" s="84"/>
      <c r="ARB13" s="84"/>
      <c r="ARC13" s="84"/>
      <c r="ARD13" s="84"/>
      <c r="ARE13" s="84"/>
      <c r="ARF13" s="84"/>
      <c r="ARG13" s="84"/>
      <c r="ARH13" s="84"/>
      <c r="ARI13" s="84"/>
      <c r="ARJ13" s="84"/>
      <c r="ARK13" s="84"/>
      <c r="ARL13" s="84"/>
      <c r="ARM13" s="84"/>
      <c r="ARN13" s="84"/>
      <c r="ARO13" s="84"/>
      <c r="ARP13" s="84"/>
      <c r="ARQ13" s="84"/>
      <c r="ARR13" s="84"/>
      <c r="ARS13" s="84"/>
      <c r="ART13" s="84"/>
      <c r="ARU13" s="84"/>
      <c r="ARV13" s="84"/>
      <c r="ARW13" s="84"/>
      <c r="ARX13" s="84"/>
      <c r="ARY13" s="84"/>
      <c r="ARZ13" s="84"/>
      <c r="ASA13" s="84"/>
      <c r="ASB13" s="84"/>
      <c r="ASC13" s="84"/>
      <c r="ASD13" s="84"/>
      <c r="ASE13" s="84"/>
      <c r="ASF13" s="84"/>
      <c r="ASG13" s="84"/>
      <c r="ASH13" s="84"/>
      <c r="ASI13" s="84"/>
      <c r="ASJ13" s="84"/>
      <c r="ASK13" s="84"/>
      <c r="ASL13" s="84"/>
      <c r="ASM13" s="84"/>
      <c r="ASN13" s="84"/>
      <c r="ASO13" s="84"/>
      <c r="ASP13" s="84"/>
      <c r="ASQ13" s="84"/>
      <c r="ASR13" s="84"/>
      <c r="ASS13" s="84"/>
      <c r="AST13" s="84"/>
      <c r="ASU13" s="84"/>
      <c r="ASV13" s="84"/>
      <c r="ASW13" s="84"/>
      <c r="ASX13" s="84"/>
      <c r="ASY13" s="84"/>
      <c r="ASZ13" s="84"/>
      <c r="ATA13" s="84"/>
      <c r="ATB13" s="84"/>
      <c r="ATC13" s="84"/>
      <c r="ATD13" s="84"/>
      <c r="ATE13" s="84"/>
      <c r="ATF13" s="84"/>
      <c r="ATG13" s="84"/>
      <c r="ATH13" s="84"/>
      <c r="ATI13" s="84"/>
      <c r="ATJ13" s="84"/>
      <c r="ATK13" s="84"/>
      <c r="ATL13" s="84"/>
      <c r="ATM13" s="84"/>
      <c r="ATN13" s="84"/>
      <c r="ATO13" s="84"/>
      <c r="ATP13" s="84"/>
      <c r="ATQ13" s="84"/>
      <c r="ATR13" s="84"/>
      <c r="ATS13" s="84"/>
      <c r="ATT13" s="84"/>
      <c r="ATU13" s="84"/>
      <c r="ATV13" s="84"/>
      <c r="ATW13" s="84"/>
      <c r="ATX13" s="84"/>
      <c r="ATY13" s="84"/>
      <c r="ATZ13" s="84"/>
      <c r="AUA13" s="84"/>
      <c r="AUB13" s="84"/>
      <c r="AUC13" s="84"/>
      <c r="AUD13" s="84"/>
      <c r="AUE13" s="84"/>
      <c r="AUF13" s="84"/>
      <c r="AUG13" s="84"/>
      <c r="AUH13" s="84"/>
      <c r="AUI13" s="84"/>
      <c r="AUJ13" s="84"/>
      <c r="AUK13" s="84"/>
      <c r="AUL13" s="84"/>
      <c r="AUM13" s="84"/>
      <c r="AUN13" s="84"/>
      <c r="AUO13" s="84"/>
      <c r="AUP13" s="84"/>
      <c r="AUQ13" s="84"/>
      <c r="AUR13" s="84"/>
      <c r="AUS13" s="84"/>
      <c r="AUT13" s="84"/>
      <c r="AUU13" s="84"/>
      <c r="AUV13" s="84"/>
      <c r="AUW13" s="84"/>
      <c r="AUX13" s="84"/>
      <c r="AUY13" s="84"/>
      <c r="AUZ13" s="84"/>
      <c r="AVA13" s="84"/>
      <c r="AVB13" s="84"/>
      <c r="AVC13" s="84"/>
      <c r="AVD13" s="84"/>
      <c r="AVE13" s="84"/>
      <c r="AVF13" s="84"/>
      <c r="AVG13" s="84"/>
      <c r="AVH13" s="84"/>
      <c r="AVI13" s="84"/>
      <c r="AVJ13" s="84"/>
      <c r="AVK13" s="84"/>
      <c r="AVL13" s="84"/>
      <c r="AVM13" s="84"/>
      <c r="AVN13" s="84"/>
      <c r="AVO13" s="84"/>
      <c r="AVP13" s="84"/>
      <c r="AVQ13" s="84"/>
      <c r="AVR13" s="84"/>
      <c r="AVS13" s="84"/>
      <c r="AVT13" s="84"/>
      <c r="AVU13" s="84"/>
      <c r="AVV13" s="84"/>
      <c r="AVW13" s="84"/>
      <c r="AVX13" s="84"/>
      <c r="AVY13" s="84"/>
      <c r="AVZ13" s="84"/>
      <c r="AWA13" s="84"/>
      <c r="AWB13" s="84"/>
      <c r="AWC13" s="84"/>
      <c r="AWD13" s="84"/>
      <c r="AWE13" s="84"/>
      <c r="AWF13" s="84"/>
      <c r="AWG13" s="84"/>
      <c r="AWH13" s="84"/>
      <c r="AWI13" s="84"/>
      <c r="AWJ13" s="84"/>
      <c r="AWK13" s="84"/>
      <c r="AWL13" s="84"/>
      <c r="AWM13" s="84"/>
      <c r="AWN13" s="84"/>
      <c r="AWO13" s="84"/>
      <c r="AWP13" s="84"/>
      <c r="AWQ13" s="84"/>
      <c r="AWR13" s="84"/>
      <c r="AWS13" s="84"/>
      <c r="AWT13" s="84"/>
      <c r="AWU13" s="84"/>
      <c r="AWV13" s="84"/>
      <c r="AWW13" s="84"/>
      <c r="AWX13" s="84"/>
      <c r="AWY13" s="84"/>
      <c r="AWZ13" s="84"/>
      <c r="AXA13" s="84"/>
      <c r="AXB13" s="84"/>
      <c r="AXC13" s="84"/>
      <c r="AXD13" s="84"/>
      <c r="AXE13" s="84"/>
      <c r="AXF13" s="84"/>
      <c r="AXG13" s="84"/>
      <c r="AXH13" s="84"/>
      <c r="AXI13" s="84"/>
      <c r="AXJ13" s="84"/>
      <c r="AXK13" s="84"/>
      <c r="AXL13" s="84"/>
      <c r="AXM13" s="84"/>
      <c r="AXN13" s="84"/>
      <c r="AXO13" s="84"/>
      <c r="AXP13" s="84"/>
      <c r="AXQ13" s="84"/>
      <c r="AXR13" s="84"/>
      <c r="AXS13" s="84"/>
      <c r="AXT13" s="84"/>
      <c r="AXU13" s="84"/>
      <c r="AXV13" s="84"/>
      <c r="AXW13" s="84"/>
      <c r="AXX13" s="84"/>
      <c r="AXY13" s="84"/>
      <c r="AXZ13" s="84"/>
      <c r="AYA13" s="84"/>
      <c r="AYB13" s="84"/>
      <c r="AYC13" s="84"/>
      <c r="AYD13" s="84"/>
      <c r="AYE13" s="84"/>
      <c r="AYF13" s="84"/>
      <c r="AYG13" s="84"/>
      <c r="AYH13" s="84"/>
      <c r="AYI13" s="84"/>
      <c r="AYJ13" s="84"/>
      <c r="AYK13" s="84"/>
      <c r="AYL13" s="84"/>
      <c r="AYM13" s="84"/>
      <c r="AYN13" s="84"/>
      <c r="AYO13" s="84"/>
      <c r="AYP13" s="84"/>
      <c r="AYQ13" s="84"/>
      <c r="AYR13" s="84"/>
      <c r="AYS13" s="84"/>
      <c r="AYT13" s="84"/>
      <c r="AYU13" s="84"/>
      <c r="AYV13" s="84"/>
      <c r="AYW13" s="84"/>
      <c r="AYX13" s="84"/>
      <c r="AYY13" s="84"/>
      <c r="AYZ13" s="84"/>
      <c r="AZA13" s="84"/>
      <c r="AZB13" s="84"/>
      <c r="AZC13" s="84"/>
      <c r="AZD13" s="84"/>
      <c r="AZE13" s="84"/>
      <c r="AZF13" s="84"/>
      <c r="AZG13" s="84"/>
      <c r="AZH13" s="84"/>
      <c r="AZI13" s="84"/>
      <c r="AZJ13" s="84"/>
      <c r="AZK13" s="84"/>
      <c r="AZL13" s="84"/>
      <c r="AZM13" s="84"/>
      <c r="AZN13" s="84"/>
      <c r="AZO13" s="84"/>
      <c r="AZP13" s="84"/>
      <c r="AZQ13" s="84"/>
      <c r="AZR13" s="84"/>
      <c r="AZS13" s="84"/>
      <c r="AZT13" s="84"/>
      <c r="AZU13" s="84"/>
      <c r="AZV13" s="84"/>
      <c r="AZW13" s="84"/>
      <c r="AZX13" s="84"/>
      <c r="AZY13" s="84"/>
      <c r="AZZ13" s="84"/>
      <c r="BAA13" s="84"/>
      <c r="BAB13" s="84"/>
      <c r="BAC13" s="84"/>
      <c r="BAD13" s="84"/>
      <c r="BAE13" s="84"/>
      <c r="BAF13" s="84"/>
      <c r="BAG13" s="84"/>
      <c r="BAH13" s="84"/>
      <c r="BAI13" s="84"/>
      <c r="BAJ13" s="84"/>
      <c r="BAK13" s="84"/>
      <c r="BAL13" s="84"/>
      <c r="BAM13" s="84"/>
      <c r="BAN13" s="84"/>
      <c r="BAO13" s="84"/>
      <c r="BAP13" s="84"/>
      <c r="BAQ13" s="84"/>
      <c r="BAR13" s="84"/>
      <c r="BAS13" s="84"/>
      <c r="BAT13" s="84"/>
      <c r="BAU13" s="84"/>
      <c r="BAV13" s="84"/>
      <c r="BAW13" s="84"/>
      <c r="BAX13" s="84"/>
      <c r="BAY13" s="84"/>
      <c r="BAZ13" s="84"/>
      <c r="BBA13" s="84"/>
      <c r="BBB13" s="84"/>
      <c r="BBC13" s="84"/>
      <c r="BBD13" s="84"/>
      <c r="BBE13" s="84"/>
      <c r="BBF13" s="84"/>
      <c r="BBG13" s="84"/>
      <c r="BBH13" s="84"/>
      <c r="BBI13" s="84"/>
      <c r="BBJ13" s="84"/>
      <c r="BBK13" s="84"/>
      <c r="BBL13" s="84"/>
      <c r="BBM13" s="84"/>
      <c r="BBN13" s="84"/>
      <c r="BBO13" s="84"/>
      <c r="BBP13" s="84"/>
      <c r="BBQ13" s="84"/>
      <c r="BBR13" s="84"/>
      <c r="BBS13" s="84"/>
      <c r="BBT13" s="84"/>
      <c r="BBU13" s="84"/>
      <c r="BBV13" s="84"/>
      <c r="BBW13" s="84"/>
      <c r="BBX13" s="84"/>
      <c r="BBY13" s="84"/>
      <c r="BBZ13" s="84"/>
      <c r="BCA13" s="84"/>
      <c r="BCB13" s="84"/>
      <c r="BCC13" s="84"/>
      <c r="BCD13" s="84"/>
      <c r="BCE13" s="84"/>
      <c r="BCF13" s="84"/>
      <c r="BCG13" s="84"/>
      <c r="BCH13" s="84"/>
      <c r="BCI13" s="84"/>
      <c r="BCJ13" s="84"/>
      <c r="BCK13" s="84"/>
      <c r="BCL13" s="84"/>
      <c r="BCM13" s="84"/>
      <c r="BCN13" s="84"/>
      <c r="BCO13" s="84"/>
      <c r="BCP13" s="84"/>
      <c r="BCQ13" s="84"/>
      <c r="BCR13" s="84"/>
      <c r="BCS13" s="84"/>
      <c r="BCT13" s="84"/>
      <c r="BCU13" s="84"/>
      <c r="BCV13" s="84"/>
      <c r="BCW13" s="84"/>
      <c r="BCX13" s="84"/>
      <c r="BCY13" s="84"/>
      <c r="BCZ13" s="84"/>
      <c r="BDA13" s="84"/>
      <c r="BDB13" s="84"/>
      <c r="BDC13" s="84"/>
      <c r="BDD13" s="84"/>
      <c r="BDE13" s="84"/>
      <c r="BDF13" s="84"/>
      <c r="BDG13" s="84"/>
      <c r="BDH13" s="84"/>
      <c r="BDI13" s="84"/>
      <c r="BDJ13" s="84"/>
      <c r="BDK13" s="84"/>
      <c r="BDL13" s="84"/>
      <c r="BDM13" s="84"/>
      <c r="BDN13" s="84"/>
      <c r="BDO13" s="84"/>
      <c r="BDP13" s="84"/>
      <c r="BDQ13" s="84"/>
      <c r="BDR13" s="84"/>
      <c r="BDS13" s="84"/>
      <c r="BDT13" s="84"/>
      <c r="BDU13" s="84"/>
      <c r="BDV13" s="84"/>
      <c r="BDW13" s="84"/>
      <c r="BDX13" s="84"/>
      <c r="BDY13" s="84"/>
      <c r="BDZ13" s="84"/>
      <c r="BEA13" s="84"/>
      <c r="BEB13" s="84"/>
      <c r="BEC13" s="84"/>
      <c r="BED13" s="84"/>
      <c r="BEE13" s="84"/>
      <c r="BEF13" s="84"/>
      <c r="BEG13" s="84"/>
      <c r="BEH13" s="84"/>
      <c r="BEI13" s="84"/>
      <c r="BEJ13" s="84"/>
      <c r="BEK13" s="84"/>
      <c r="BEL13" s="84"/>
      <c r="BEM13" s="84"/>
      <c r="BEN13" s="84"/>
      <c r="BEO13" s="84"/>
      <c r="BEP13" s="84"/>
      <c r="BEQ13" s="84"/>
      <c r="BER13" s="84"/>
      <c r="BES13" s="84"/>
      <c r="BET13" s="84"/>
      <c r="BEU13" s="84"/>
      <c r="BEV13" s="84"/>
      <c r="BEW13" s="84"/>
      <c r="BEX13" s="84"/>
      <c r="BEY13" s="84"/>
      <c r="BEZ13" s="84"/>
      <c r="BFA13" s="84"/>
      <c r="BFB13" s="84"/>
      <c r="BFC13" s="84"/>
      <c r="BFD13" s="84"/>
      <c r="BFE13" s="84"/>
      <c r="BFF13" s="84"/>
      <c r="BFG13" s="84"/>
      <c r="BFH13" s="84"/>
      <c r="BFI13" s="84"/>
      <c r="BFJ13" s="84"/>
      <c r="BFK13" s="84"/>
      <c r="BFL13" s="84"/>
      <c r="BFM13" s="84"/>
      <c r="BFN13" s="84"/>
      <c r="BFO13" s="84"/>
      <c r="BFP13" s="84"/>
      <c r="BFQ13" s="84"/>
      <c r="BFR13" s="84"/>
      <c r="BFS13" s="84"/>
      <c r="BFT13" s="84"/>
      <c r="BFU13" s="84"/>
      <c r="BFV13" s="84"/>
      <c r="BFW13" s="84"/>
      <c r="BFX13" s="84"/>
      <c r="BFY13" s="84"/>
      <c r="BFZ13" s="84"/>
      <c r="BGA13" s="84"/>
      <c r="BGB13" s="84"/>
      <c r="BGC13" s="84"/>
      <c r="BGD13" s="84"/>
      <c r="BGE13" s="84"/>
      <c r="BGF13" s="84"/>
      <c r="BGG13" s="84"/>
      <c r="BGH13" s="84"/>
      <c r="BGI13" s="84"/>
      <c r="BGJ13" s="84"/>
      <c r="BGK13" s="84"/>
      <c r="BGL13" s="84"/>
      <c r="BGM13" s="84"/>
      <c r="BGN13" s="84"/>
      <c r="BGO13" s="84"/>
      <c r="BGP13" s="84"/>
      <c r="BGQ13" s="84"/>
      <c r="BGR13" s="84"/>
      <c r="BGS13" s="84"/>
      <c r="BGT13" s="84"/>
      <c r="BGU13" s="84"/>
      <c r="BGV13" s="84"/>
      <c r="BGW13" s="84"/>
      <c r="BGX13" s="84"/>
      <c r="BGY13" s="84"/>
      <c r="BGZ13" s="84"/>
      <c r="BHA13" s="84"/>
      <c r="BHB13" s="84"/>
      <c r="BHC13" s="84"/>
      <c r="BHD13" s="84"/>
      <c r="BHE13" s="84"/>
      <c r="BHF13" s="84"/>
      <c r="BHG13" s="84"/>
      <c r="BHH13" s="84"/>
      <c r="BHI13" s="84"/>
      <c r="BHJ13" s="84"/>
      <c r="BHK13" s="84"/>
      <c r="BHL13" s="84"/>
      <c r="BHM13" s="84"/>
      <c r="BHN13" s="84"/>
      <c r="BHO13" s="84"/>
      <c r="BHP13" s="84"/>
      <c r="BHQ13" s="84"/>
      <c r="BHR13" s="84"/>
      <c r="BHS13" s="84"/>
      <c r="BHT13" s="84"/>
      <c r="BHU13" s="84"/>
      <c r="BHV13" s="84"/>
      <c r="BHW13" s="84"/>
      <c r="BHX13" s="84"/>
      <c r="BHY13" s="84"/>
      <c r="BHZ13" s="84"/>
      <c r="BIA13" s="84"/>
      <c r="BIB13" s="84"/>
      <c r="BIC13" s="84"/>
      <c r="BID13" s="84"/>
      <c r="BIE13" s="84"/>
      <c r="BIF13" s="84"/>
      <c r="BIG13" s="84"/>
      <c r="BIH13" s="84"/>
      <c r="BII13" s="84"/>
      <c r="BIJ13" s="84"/>
      <c r="BIK13" s="84"/>
      <c r="BIL13" s="84"/>
      <c r="BIM13" s="84"/>
      <c r="BIN13" s="84"/>
      <c r="BIO13" s="84"/>
      <c r="BIP13" s="84"/>
      <c r="BIQ13" s="84"/>
      <c r="BIR13" s="84"/>
      <c r="BIS13" s="84"/>
      <c r="BIT13" s="84"/>
      <c r="BIU13" s="84"/>
      <c r="BIV13" s="84"/>
      <c r="BIW13" s="84"/>
      <c r="BIX13" s="84"/>
      <c r="BIY13" s="84"/>
      <c r="BIZ13" s="84"/>
      <c r="BJA13" s="84"/>
      <c r="BJB13" s="84"/>
      <c r="BJC13" s="84"/>
      <c r="BJD13" s="84"/>
      <c r="BJE13" s="84"/>
      <c r="BJF13" s="84"/>
      <c r="BJG13" s="84"/>
      <c r="BJH13" s="84"/>
      <c r="BJI13" s="84"/>
      <c r="BJJ13" s="84"/>
      <c r="BJK13" s="84"/>
      <c r="BJL13" s="84"/>
      <c r="BJM13" s="84"/>
      <c r="BJN13" s="84"/>
      <c r="BJO13" s="84"/>
      <c r="BJP13" s="84"/>
      <c r="BJQ13" s="84"/>
      <c r="BJR13" s="84"/>
      <c r="BJS13" s="84"/>
      <c r="BJT13" s="84"/>
      <c r="BJU13" s="84"/>
      <c r="BJV13" s="84"/>
      <c r="BJW13" s="84"/>
      <c r="BJX13" s="84"/>
      <c r="BJY13" s="84"/>
      <c r="BJZ13" s="84"/>
      <c r="BKA13" s="84"/>
      <c r="BKB13" s="84"/>
      <c r="BKC13" s="84"/>
      <c r="BKD13" s="84"/>
      <c r="BKE13" s="84"/>
      <c r="BKF13" s="84"/>
      <c r="BKG13" s="84"/>
      <c r="BKH13" s="84"/>
      <c r="BKI13" s="84"/>
      <c r="BKJ13" s="84"/>
      <c r="BKK13" s="84"/>
      <c r="BKL13" s="84"/>
      <c r="BKM13" s="84"/>
      <c r="BKN13" s="84"/>
      <c r="BKO13" s="84"/>
      <c r="BKP13" s="84"/>
      <c r="BKQ13" s="84"/>
      <c r="BKR13" s="84"/>
      <c r="BKS13" s="84"/>
      <c r="BKT13" s="84"/>
      <c r="BKU13" s="84"/>
      <c r="BKV13" s="84"/>
      <c r="BKW13" s="84"/>
      <c r="BKX13" s="84"/>
      <c r="BKY13" s="84"/>
      <c r="BKZ13" s="84"/>
      <c r="BLA13" s="84"/>
      <c r="BLB13" s="84"/>
      <c r="BLC13" s="84"/>
      <c r="BLD13" s="84"/>
      <c r="BLE13" s="84"/>
      <c r="BLF13" s="84"/>
      <c r="BLG13" s="84"/>
      <c r="BLH13" s="84"/>
      <c r="BLI13" s="84"/>
      <c r="BLJ13" s="84"/>
      <c r="BLK13" s="84"/>
      <c r="BLL13" s="84"/>
      <c r="BLM13" s="84"/>
      <c r="BLN13" s="84"/>
      <c r="BLO13" s="84"/>
      <c r="BLP13" s="84"/>
      <c r="BLQ13" s="84"/>
      <c r="BLR13" s="84"/>
      <c r="BLS13" s="84"/>
      <c r="BLT13" s="84"/>
      <c r="BLU13" s="84"/>
      <c r="BLV13" s="84"/>
      <c r="BLW13" s="84"/>
      <c r="BLX13" s="84"/>
      <c r="BLY13" s="84"/>
      <c r="BLZ13" s="84"/>
      <c r="BMA13" s="84"/>
      <c r="BMB13" s="84"/>
      <c r="BMC13" s="84"/>
      <c r="BMD13" s="84"/>
      <c r="BME13" s="84"/>
      <c r="BMF13" s="84"/>
      <c r="BMG13" s="84"/>
      <c r="BMH13" s="84"/>
      <c r="BMI13" s="84"/>
      <c r="BMJ13" s="84"/>
      <c r="BMK13" s="84"/>
      <c r="BML13" s="84"/>
      <c r="BMM13" s="84"/>
      <c r="BMN13" s="84"/>
      <c r="BMO13" s="84"/>
      <c r="BMP13" s="84"/>
      <c r="BMQ13" s="84"/>
      <c r="BMR13" s="84"/>
      <c r="BMS13" s="84"/>
      <c r="BMT13" s="84"/>
      <c r="BMU13" s="84"/>
      <c r="BMV13" s="84"/>
      <c r="BMW13" s="84"/>
      <c r="BMX13" s="84"/>
      <c r="BMY13" s="84"/>
      <c r="BMZ13" s="84"/>
      <c r="BNA13" s="84"/>
      <c r="BNB13" s="84"/>
      <c r="BNC13" s="84"/>
      <c r="BND13" s="84"/>
      <c r="BNE13" s="84"/>
      <c r="BNF13" s="84"/>
      <c r="BNG13" s="84"/>
      <c r="BNH13" s="84"/>
      <c r="BNI13" s="84"/>
      <c r="BNJ13" s="84"/>
      <c r="BNK13" s="84"/>
      <c r="BNL13" s="84"/>
      <c r="BNM13" s="84"/>
      <c r="BNN13" s="84"/>
      <c r="BNO13" s="84"/>
      <c r="BNP13" s="84"/>
      <c r="BNQ13" s="84"/>
      <c r="BNR13" s="84"/>
      <c r="BNS13" s="84"/>
      <c r="BNT13" s="84"/>
      <c r="BNU13" s="84"/>
      <c r="BNV13" s="84"/>
      <c r="BNW13" s="84"/>
      <c r="BNX13" s="84"/>
      <c r="BNY13" s="84"/>
      <c r="BNZ13" s="84"/>
      <c r="BOA13" s="84"/>
      <c r="BOB13" s="84"/>
      <c r="BOC13" s="84"/>
      <c r="BOD13" s="84"/>
      <c r="BOE13" s="84"/>
      <c r="BOF13" s="84"/>
      <c r="BOG13" s="84"/>
      <c r="BOH13" s="84"/>
      <c r="BOI13" s="84"/>
      <c r="BOJ13" s="84"/>
      <c r="BOK13" s="84"/>
      <c r="BOL13" s="84"/>
      <c r="BOM13" s="84"/>
      <c r="BON13" s="84"/>
      <c r="BOO13" s="84"/>
      <c r="BOP13" s="84"/>
      <c r="BOQ13" s="84"/>
      <c r="BOR13" s="84"/>
      <c r="BOS13" s="84"/>
      <c r="BOT13" s="84"/>
      <c r="BOU13" s="84"/>
      <c r="BOV13" s="84"/>
      <c r="BOW13" s="84"/>
      <c r="BOX13" s="84"/>
      <c r="BOY13" s="84"/>
      <c r="BOZ13" s="84"/>
      <c r="BPA13" s="84"/>
      <c r="BPB13" s="84"/>
      <c r="BPC13" s="84"/>
      <c r="BPD13" s="84"/>
      <c r="BPE13" s="84"/>
      <c r="BPF13" s="84"/>
      <c r="BPG13" s="84"/>
      <c r="BPH13" s="84"/>
      <c r="BPI13" s="84"/>
      <c r="BPJ13" s="84"/>
      <c r="BPK13" s="84"/>
      <c r="BPL13" s="84"/>
      <c r="BPM13" s="84"/>
      <c r="BPN13" s="84"/>
      <c r="BPO13" s="84"/>
      <c r="BPP13" s="84"/>
      <c r="BPQ13" s="84"/>
      <c r="BPR13" s="84"/>
      <c r="BPS13" s="84"/>
      <c r="BPT13" s="84"/>
      <c r="BPU13" s="84"/>
      <c r="BPV13" s="84"/>
      <c r="BPW13" s="84"/>
      <c r="BPX13" s="84"/>
      <c r="BPY13" s="84"/>
      <c r="BPZ13" s="84"/>
      <c r="BQA13" s="84"/>
      <c r="BQB13" s="84"/>
      <c r="BQC13" s="84"/>
      <c r="BQD13" s="84"/>
      <c r="BQE13" s="84"/>
      <c r="BQF13" s="84"/>
      <c r="BQG13" s="84"/>
      <c r="BQH13" s="84"/>
      <c r="BQI13" s="84"/>
      <c r="BQJ13" s="84"/>
      <c r="BQK13" s="84"/>
      <c r="BQL13" s="84"/>
      <c r="BQM13" s="84"/>
      <c r="BQN13" s="84"/>
      <c r="BQO13" s="84"/>
      <c r="BQP13" s="84"/>
      <c r="BQQ13" s="84"/>
      <c r="BQR13" s="84"/>
      <c r="BQS13" s="84"/>
      <c r="BQT13" s="84"/>
      <c r="BQU13" s="84"/>
      <c r="BQV13" s="84"/>
      <c r="BQW13" s="84"/>
      <c r="BQX13" s="84"/>
      <c r="BQY13" s="84"/>
      <c r="BQZ13" s="84"/>
      <c r="BRA13" s="84"/>
      <c r="BRB13" s="84"/>
      <c r="BRC13" s="84"/>
      <c r="BRD13" s="84"/>
      <c r="BRE13" s="84"/>
      <c r="BRF13" s="84"/>
      <c r="BRG13" s="84"/>
      <c r="BRH13" s="84"/>
      <c r="BRI13" s="84"/>
      <c r="BRJ13" s="84"/>
      <c r="BRK13" s="84"/>
      <c r="BRL13" s="84"/>
      <c r="BRM13" s="84"/>
      <c r="BRN13" s="84"/>
      <c r="BRO13" s="84"/>
      <c r="BRP13" s="84"/>
      <c r="BRQ13" s="84"/>
      <c r="BRR13" s="84"/>
      <c r="BRS13" s="84"/>
      <c r="BRT13" s="84"/>
      <c r="BRU13" s="84"/>
      <c r="BRV13" s="84"/>
      <c r="BRW13" s="84"/>
      <c r="BRX13" s="84"/>
      <c r="BRY13" s="84"/>
      <c r="BRZ13" s="84"/>
      <c r="BSA13" s="84"/>
      <c r="BSB13" s="84"/>
      <c r="BSC13" s="84"/>
      <c r="BSD13" s="84"/>
      <c r="BSE13" s="84"/>
      <c r="BSF13" s="84"/>
      <c r="BSG13" s="84"/>
      <c r="BSH13" s="84"/>
      <c r="BSI13" s="84"/>
      <c r="BSJ13" s="84"/>
      <c r="BSK13" s="84"/>
      <c r="BSL13" s="84"/>
      <c r="BSM13" s="84"/>
      <c r="BSN13" s="84"/>
      <c r="BSO13" s="84"/>
      <c r="BSP13" s="84"/>
      <c r="BSQ13" s="84"/>
      <c r="BSR13" s="84"/>
      <c r="BSS13" s="84"/>
      <c r="BST13" s="84"/>
      <c r="BSU13" s="84"/>
      <c r="BSV13" s="84"/>
      <c r="BSW13" s="84"/>
      <c r="BSX13" s="84"/>
      <c r="BSY13" s="84"/>
      <c r="BSZ13" s="84"/>
      <c r="BTA13" s="84"/>
      <c r="BTB13" s="84"/>
      <c r="BTC13" s="84"/>
      <c r="BTD13" s="84"/>
      <c r="BTE13" s="84"/>
      <c r="BTF13" s="84"/>
      <c r="BTG13" s="84"/>
      <c r="BTH13" s="84"/>
      <c r="BTI13" s="84"/>
      <c r="BTJ13" s="84"/>
      <c r="BTK13" s="84"/>
      <c r="BTL13" s="84"/>
      <c r="BTM13" s="84"/>
      <c r="BTN13" s="84"/>
      <c r="BTO13" s="84"/>
      <c r="BTP13" s="84"/>
      <c r="BTQ13" s="84"/>
      <c r="BTR13" s="84"/>
      <c r="BTS13" s="84"/>
      <c r="BTT13" s="84"/>
      <c r="BTU13" s="84"/>
      <c r="BTV13" s="84"/>
      <c r="BTW13" s="84"/>
      <c r="BTX13" s="84"/>
      <c r="BTY13" s="84"/>
      <c r="BTZ13" s="84"/>
      <c r="BUA13" s="84"/>
      <c r="BUB13" s="84"/>
      <c r="BUC13" s="84"/>
      <c r="BUD13" s="84"/>
      <c r="BUE13" s="84"/>
      <c r="BUF13" s="84"/>
      <c r="BUG13" s="84"/>
      <c r="BUH13" s="84"/>
      <c r="BUI13" s="84"/>
      <c r="BUJ13" s="84"/>
      <c r="BUK13" s="84"/>
      <c r="BUL13" s="84"/>
      <c r="BUM13" s="84"/>
      <c r="BUN13" s="84"/>
      <c r="BUO13" s="84"/>
      <c r="BUP13" s="84"/>
      <c r="BUQ13" s="84"/>
      <c r="BUR13" s="84"/>
      <c r="BUS13" s="84"/>
      <c r="BUT13" s="84"/>
      <c r="BUU13" s="84"/>
      <c r="BUV13" s="84"/>
      <c r="BUW13" s="84"/>
      <c r="BUX13" s="84"/>
      <c r="BUY13" s="84"/>
      <c r="BUZ13" s="84"/>
      <c r="BVA13" s="84"/>
      <c r="BVB13" s="84"/>
      <c r="BVC13" s="84"/>
      <c r="BVD13" s="84"/>
      <c r="BVE13" s="84"/>
      <c r="BVF13" s="84"/>
      <c r="BVG13" s="84"/>
      <c r="BVH13" s="84"/>
      <c r="BVI13" s="84"/>
      <c r="BVJ13" s="84"/>
      <c r="BVK13" s="84"/>
      <c r="BVL13" s="84"/>
      <c r="BVM13" s="84"/>
      <c r="BVN13" s="84"/>
      <c r="BVO13" s="84"/>
      <c r="BVP13" s="84"/>
      <c r="BVQ13" s="84"/>
      <c r="BVR13" s="84"/>
      <c r="BVS13" s="84"/>
      <c r="BVT13" s="84"/>
      <c r="BVU13" s="84"/>
      <c r="BVV13" s="84"/>
      <c r="BVW13" s="84"/>
      <c r="BVX13" s="84"/>
      <c r="BVY13" s="84"/>
      <c r="BVZ13" s="84"/>
      <c r="BWA13" s="84"/>
      <c r="BWB13" s="84"/>
      <c r="BWC13" s="84"/>
      <c r="BWD13" s="84"/>
      <c r="BWE13" s="84"/>
      <c r="BWF13" s="84"/>
      <c r="BWG13" s="84"/>
      <c r="BWH13" s="84"/>
      <c r="BWI13" s="84"/>
      <c r="BWJ13" s="84"/>
      <c r="BWK13" s="84"/>
      <c r="BWL13" s="84"/>
      <c r="BWM13" s="84"/>
      <c r="BWN13" s="84"/>
      <c r="BWO13" s="84"/>
      <c r="BWP13" s="84"/>
      <c r="BWQ13" s="84"/>
      <c r="BWR13" s="84"/>
      <c r="BWS13" s="84"/>
      <c r="BWT13" s="84"/>
      <c r="BWU13" s="84"/>
      <c r="BWV13" s="84"/>
      <c r="BWW13" s="84"/>
      <c r="BWX13" s="84"/>
      <c r="BWY13" s="84"/>
      <c r="BWZ13" s="84"/>
      <c r="BXA13" s="84"/>
      <c r="BXB13" s="84"/>
      <c r="BXC13" s="84"/>
      <c r="BXD13" s="84"/>
      <c r="BXE13" s="84"/>
      <c r="BXF13" s="84"/>
      <c r="BXG13" s="84"/>
      <c r="BXH13" s="84"/>
      <c r="BXI13" s="84"/>
      <c r="BXJ13" s="84"/>
      <c r="BXK13" s="84"/>
      <c r="BXL13" s="84"/>
      <c r="BXM13" s="84"/>
      <c r="BXN13" s="84"/>
      <c r="BXO13" s="84"/>
      <c r="BXP13" s="84"/>
      <c r="BXQ13" s="84"/>
      <c r="BXR13" s="84"/>
      <c r="BXS13" s="84"/>
      <c r="BXT13" s="84"/>
      <c r="BXU13" s="84"/>
      <c r="BXV13" s="84"/>
      <c r="BXW13" s="84"/>
      <c r="BXX13" s="84"/>
      <c r="BXY13" s="84"/>
      <c r="BXZ13" s="84"/>
      <c r="BYA13" s="84"/>
      <c r="BYB13" s="84"/>
      <c r="BYC13" s="84"/>
      <c r="BYD13" s="84"/>
      <c r="BYE13" s="84"/>
      <c r="BYF13" s="84"/>
      <c r="BYG13" s="84"/>
      <c r="BYH13" s="84"/>
      <c r="BYI13" s="84"/>
      <c r="BYJ13" s="84"/>
      <c r="BYK13" s="84"/>
      <c r="BYL13" s="84"/>
      <c r="BYM13" s="84"/>
      <c r="BYN13" s="84"/>
      <c r="BYO13" s="84"/>
      <c r="BYP13" s="84"/>
      <c r="BYQ13" s="84"/>
      <c r="BYR13" s="84"/>
      <c r="BYS13" s="84"/>
      <c r="BYT13" s="84"/>
      <c r="BYU13" s="84"/>
      <c r="BYV13" s="84"/>
      <c r="BYW13" s="84"/>
      <c r="BYX13" s="84"/>
      <c r="BYY13" s="84"/>
      <c r="BYZ13" s="84"/>
      <c r="BZA13" s="84"/>
      <c r="BZB13" s="84"/>
      <c r="BZC13" s="84"/>
      <c r="BZD13" s="84"/>
      <c r="BZE13" s="84"/>
      <c r="BZF13" s="84"/>
      <c r="BZG13" s="84"/>
      <c r="BZH13" s="84"/>
      <c r="BZI13" s="84"/>
      <c r="BZJ13" s="84"/>
      <c r="BZK13" s="84"/>
      <c r="BZL13" s="84"/>
      <c r="BZM13" s="84"/>
      <c r="BZN13" s="84"/>
      <c r="BZO13" s="84"/>
      <c r="BZP13" s="84"/>
      <c r="BZQ13" s="84"/>
      <c r="BZR13" s="84"/>
      <c r="BZS13" s="84"/>
      <c r="BZT13" s="84"/>
      <c r="BZU13" s="84"/>
      <c r="BZV13" s="84"/>
      <c r="BZW13" s="84"/>
      <c r="BZX13" s="84"/>
      <c r="BZY13" s="84"/>
      <c r="BZZ13" s="84"/>
      <c r="CAA13" s="84"/>
      <c r="CAB13" s="84"/>
      <c r="CAC13" s="84"/>
      <c r="CAD13" s="84"/>
      <c r="CAE13" s="84"/>
      <c r="CAF13" s="84"/>
      <c r="CAG13" s="84"/>
      <c r="CAH13" s="84"/>
      <c r="CAI13" s="84"/>
      <c r="CAJ13" s="84"/>
      <c r="CAK13" s="84"/>
      <c r="CAL13" s="84"/>
      <c r="CAM13" s="84"/>
      <c r="CAN13" s="84"/>
      <c r="CAO13" s="84"/>
      <c r="CAP13" s="84"/>
      <c r="CAQ13" s="84"/>
      <c r="CAR13" s="84"/>
      <c r="CAS13" s="84"/>
      <c r="CAT13" s="84"/>
      <c r="CAU13" s="84"/>
      <c r="CAV13" s="84"/>
      <c r="CAW13" s="84"/>
      <c r="CAX13" s="84"/>
      <c r="CAY13" s="84"/>
      <c r="CAZ13" s="84"/>
      <c r="CBA13" s="84"/>
      <c r="CBB13" s="84"/>
      <c r="CBC13" s="84"/>
      <c r="CBD13" s="84"/>
      <c r="CBE13" s="84"/>
      <c r="CBF13" s="84"/>
      <c r="CBG13" s="84"/>
      <c r="CBH13" s="84"/>
      <c r="CBI13" s="84"/>
      <c r="CBJ13" s="84"/>
      <c r="CBK13" s="84"/>
      <c r="CBL13" s="84"/>
      <c r="CBM13" s="84"/>
      <c r="CBN13" s="84"/>
      <c r="CBO13" s="84"/>
      <c r="CBP13" s="84"/>
      <c r="CBQ13" s="84"/>
      <c r="CBR13" s="84"/>
      <c r="CBS13" s="84"/>
      <c r="CBT13" s="84"/>
      <c r="CBU13" s="84"/>
      <c r="CBV13" s="84"/>
      <c r="CBW13" s="84"/>
      <c r="CBX13" s="84"/>
      <c r="CBY13" s="84"/>
      <c r="CBZ13" s="84"/>
      <c r="CCA13" s="84"/>
      <c r="CCB13" s="84"/>
      <c r="CCC13" s="84"/>
      <c r="CCD13" s="84"/>
      <c r="CCE13" s="84"/>
      <c r="CCF13" s="84"/>
      <c r="CCG13" s="84"/>
      <c r="CCH13" s="84"/>
      <c r="CCI13" s="84"/>
      <c r="CCJ13" s="84"/>
      <c r="CCK13" s="84"/>
      <c r="CCL13" s="84"/>
      <c r="CCM13" s="84"/>
      <c r="CCN13" s="84"/>
      <c r="CCO13" s="84"/>
      <c r="CCP13" s="84"/>
      <c r="CCQ13" s="84"/>
      <c r="CCR13" s="84"/>
      <c r="CCS13" s="84"/>
      <c r="CCT13" s="84"/>
      <c r="CCU13" s="84"/>
      <c r="CCV13" s="84"/>
      <c r="CCW13" s="84"/>
      <c r="CCX13" s="84"/>
      <c r="CCY13" s="84"/>
      <c r="CCZ13" s="84"/>
      <c r="CDA13" s="84"/>
      <c r="CDB13" s="84"/>
      <c r="CDC13" s="84"/>
      <c r="CDD13" s="84"/>
      <c r="CDE13" s="84"/>
      <c r="CDF13" s="84"/>
      <c r="CDG13" s="84"/>
      <c r="CDH13" s="84"/>
      <c r="CDI13" s="84"/>
      <c r="CDJ13" s="84"/>
      <c r="CDK13" s="84"/>
      <c r="CDL13" s="84"/>
      <c r="CDM13" s="84"/>
      <c r="CDN13" s="84"/>
      <c r="CDO13" s="84"/>
      <c r="CDP13" s="84"/>
      <c r="CDQ13" s="84"/>
      <c r="CDR13" s="84"/>
      <c r="CDS13" s="84"/>
      <c r="CDT13" s="84"/>
      <c r="CDU13" s="84"/>
      <c r="CDV13" s="84"/>
      <c r="CDW13" s="84"/>
      <c r="CDX13" s="84"/>
      <c r="CDY13" s="84"/>
      <c r="CDZ13" s="84"/>
      <c r="CEA13" s="84"/>
      <c r="CEB13" s="84"/>
      <c r="CEC13" s="84"/>
      <c r="CED13" s="84"/>
      <c r="CEE13" s="84"/>
      <c r="CEF13" s="84"/>
      <c r="CEG13" s="84"/>
      <c r="CEH13" s="84"/>
      <c r="CEI13" s="84"/>
      <c r="CEJ13" s="84"/>
      <c r="CEK13" s="84"/>
      <c r="CEL13" s="84"/>
      <c r="CEM13" s="84"/>
      <c r="CEN13" s="84"/>
      <c r="CEO13" s="84"/>
      <c r="CEP13" s="84"/>
      <c r="CEQ13" s="84"/>
      <c r="CER13" s="84"/>
      <c r="CES13" s="84"/>
      <c r="CET13" s="84"/>
      <c r="CEU13" s="84"/>
      <c r="CEV13" s="84"/>
      <c r="CEW13" s="84"/>
      <c r="CEX13" s="84"/>
      <c r="CEY13" s="84"/>
      <c r="CEZ13" s="84"/>
      <c r="CFA13" s="84"/>
      <c r="CFB13" s="84"/>
      <c r="CFC13" s="84"/>
      <c r="CFD13" s="84"/>
      <c r="CFE13" s="84"/>
      <c r="CFF13" s="84"/>
      <c r="CFG13" s="84"/>
      <c r="CFH13" s="84"/>
      <c r="CFI13" s="84"/>
      <c r="CFJ13" s="84"/>
      <c r="CFK13" s="84"/>
      <c r="CFL13" s="84"/>
      <c r="CFM13" s="84"/>
      <c r="CFN13" s="84"/>
      <c r="CFO13" s="84"/>
      <c r="CFP13" s="84"/>
      <c r="CFQ13" s="84"/>
      <c r="CFR13" s="84"/>
      <c r="CFS13" s="84"/>
      <c r="CFT13" s="84"/>
      <c r="CFU13" s="84"/>
      <c r="CFV13" s="84"/>
      <c r="CFW13" s="84"/>
      <c r="CFX13" s="84"/>
      <c r="CFY13" s="84"/>
      <c r="CFZ13" s="84"/>
      <c r="CGA13" s="84"/>
      <c r="CGB13" s="84"/>
      <c r="CGC13" s="84"/>
      <c r="CGD13" s="84"/>
      <c r="CGE13" s="84"/>
      <c r="CGF13" s="84"/>
      <c r="CGG13" s="84"/>
      <c r="CGH13" s="84"/>
      <c r="CGI13" s="84"/>
      <c r="CGJ13" s="84"/>
      <c r="CGK13" s="84"/>
      <c r="CGL13" s="84"/>
      <c r="CGM13" s="84"/>
      <c r="CGN13" s="84"/>
      <c r="CGO13" s="84"/>
      <c r="CGP13" s="84"/>
      <c r="CGQ13" s="84"/>
      <c r="CGR13" s="84"/>
      <c r="CGS13" s="84"/>
      <c r="CGT13" s="84"/>
      <c r="CGU13" s="84"/>
      <c r="CGV13" s="84"/>
      <c r="CGW13" s="84"/>
      <c r="CGX13" s="84"/>
      <c r="CGY13" s="84"/>
      <c r="CGZ13" s="84"/>
      <c r="CHA13" s="84"/>
      <c r="CHB13" s="84"/>
      <c r="CHC13" s="84"/>
      <c r="CHD13" s="84"/>
      <c r="CHE13" s="84"/>
      <c r="CHF13" s="84"/>
      <c r="CHG13" s="84"/>
      <c r="CHH13" s="84"/>
      <c r="CHI13" s="84"/>
      <c r="CHJ13" s="84"/>
      <c r="CHK13" s="84"/>
      <c r="CHL13" s="84"/>
      <c r="CHM13" s="84"/>
      <c r="CHN13" s="84"/>
      <c r="CHO13" s="84"/>
      <c r="CHP13" s="84"/>
      <c r="CHQ13" s="84"/>
      <c r="CHR13" s="84"/>
      <c r="CHS13" s="84"/>
      <c r="CHT13" s="84"/>
      <c r="CHU13" s="84"/>
      <c r="CHV13" s="84"/>
      <c r="CHW13" s="84"/>
      <c r="CHX13" s="84"/>
      <c r="CHY13" s="84"/>
      <c r="CHZ13" s="84"/>
      <c r="CIA13" s="84"/>
      <c r="CIB13" s="84"/>
      <c r="CIC13" s="84"/>
      <c r="CID13" s="84"/>
      <c r="CIE13" s="84"/>
      <c r="CIF13" s="84"/>
      <c r="CIG13" s="84"/>
      <c r="CIH13" s="84"/>
      <c r="CII13" s="84"/>
      <c r="CIJ13" s="84"/>
      <c r="CIK13" s="84"/>
      <c r="CIL13" s="84"/>
      <c r="CIM13" s="84"/>
      <c r="CIN13" s="84"/>
      <c r="CIO13" s="84"/>
      <c r="CIP13" s="84"/>
      <c r="CIQ13" s="84"/>
      <c r="CIR13" s="84"/>
      <c r="CIS13" s="84"/>
      <c r="CIT13" s="84"/>
      <c r="CIU13" s="84"/>
      <c r="CIV13" s="84"/>
      <c r="CIW13" s="84"/>
      <c r="CIX13" s="84"/>
      <c r="CIY13" s="84"/>
      <c r="CIZ13" s="84"/>
      <c r="CJA13" s="84"/>
      <c r="CJB13" s="84"/>
      <c r="CJC13" s="84"/>
      <c r="CJD13" s="84"/>
      <c r="CJE13" s="84"/>
      <c r="CJF13" s="84"/>
      <c r="CJG13" s="84"/>
      <c r="CJH13" s="84"/>
      <c r="CJI13" s="84"/>
      <c r="CJJ13" s="84"/>
      <c r="CJK13" s="84"/>
      <c r="CJL13" s="84"/>
      <c r="CJM13" s="84"/>
      <c r="CJN13" s="84"/>
      <c r="CJO13" s="84"/>
      <c r="CJP13" s="84"/>
      <c r="CJQ13" s="84"/>
      <c r="CJR13" s="84"/>
      <c r="CJS13" s="84"/>
      <c r="CJT13" s="84"/>
      <c r="CJU13" s="84"/>
      <c r="CJV13" s="84"/>
      <c r="CJW13" s="84"/>
      <c r="CJX13" s="84"/>
      <c r="CJY13" s="84"/>
      <c r="CJZ13" s="84"/>
      <c r="CKA13" s="84"/>
      <c r="CKB13" s="84"/>
      <c r="CKC13" s="84"/>
      <c r="CKD13" s="84"/>
      <c r="CKE13" s="84"/>
      <c r="CKF13" s="84"/>
      <c r="CKG13" s="84"/>
      <c r="CKH13" s="84"/>
      <c r="CKI13" s="84"/>
      <c r="CKJ13" s="84"/>
      <c r="CKK13" s="84"/>
      <c r="CKL13" s="84"/>
      <c r="CKM13" s="84"/>
      <c r="CKN13" s="84"/>
      <c r="CKO13" s="84"/>
      <c r="CKP13" s="84"/>
      <c r="CKQ13" s="84"/>
      <c r="CKR13" s="84"/>
      <c r="CKS13" s="84"/>
      <c r="CKT13" s="84"/>
      <c r="CKU13" s="84"/>
      <c r="CKV13" s="84"/>
      <c r="CKW13" s="84"/>
      <c r="CKX13" s="84"/>
      <c r="CKY13" s="84"/>
      <c r="CKZ13" s="84"/>
      <c r="CLA13" s="84"/>
      <c r="CLB13" s="84"/>
      <c r="CLC13" s="84"/>
      <c r="CLD13" s="84"/>
      <c r="CLE13" s="84"/>
      <c r="CLF13" s="84"/>
      <c r="CLG13" s="84"/>
      <c r="CLH13" s="84"/>
      <c r="CLI13" s="84"/>
      <c r="CLJ13" s="84"/>
      <c r="CLK13" s="84"/>
      <c r="CLL13" s="84"/>
      <c r="CLM13" s="84"/>
      <c r="CLN13" s="84"/>
      <c r="CLO13" s="84"/>
      <c r="CLP13" s="84"/>
      <c r="CLQ13" s="84"/>
      <c r="CLR13" s="84"/>
      <c r="CLS13" s="84"/>
      <c r="CLT13" s="84"/>
      <c r="CLU13" s="84"/>
      <c r="CLV13" s="84"/>
      <c r="CLW13" s="84"/>
      <c r="CLX13" s="84"/>
      <c r="CLY13" s="84"/>
      <c r="CLZ13" s="84"/>
      <c r="CMA13" s="84"/>
      <c r="CMB13" s="84"/>
      <c r="CMC13" s="84"/>
      <c r="CMD13" s="84"/>
      <c r="CME13" s="84"/>
      <c r="CMF13" s="84"/>
      <c r="CMG13" s="84"/>
      <c r="CMH13" s="84"/>
      <c r="CMI13" s="84"/>
      <c r="CMJ13" s="84"/>
      <c r="CMK13" s="84"/>
      <c r="CML13" s="84"/>
      <c r="CMM13" s="84"/>
      <c r="CMN13" s="84"/>
      <c r="CMO13" s="84"/>
      <c r="CMP13" s="84"/>
      <c r="CMQ13" s="84"/>
      <c r="CMR13" s="84"/>
      <c r="CMS13" s="84"/>
      <c r="CMT13" s="84"/>
      <c r="CMU13" s="84"/>
      <c r="CMV13" s="84"/>
      <c r="CMW13" s="84"/>
      <c r="CMX13" s="84"/>
      <c r="CMY13" s="84"/>
      <c r="CMZ13" s="84"/>
      <c r="CNA13" s="84"/>
      <c r="CNB13" s="84"/>
      <c r="CNC13" s="84"/>
      <c r="CND13" s="84"/>
      <c r="CNE13" s="84"/>
      <c r="CNF13" s="84"/>
      <c r="CNG13" s="84"/>
      <c r="CNH13" s="84"/>
      <c r="CNI13" s="84"/>
      <c r="CNJ13" s="84"/>
      <c r="CNK13" s="84"/>
      <c r="CNL13" s="84"/>
      <c r="CNM13" s="84"/>
      <c r="CNN13" s="84"/>
      <c r="CNO13" s="84"/>
      <c r="CNP13" s="84"/>
      <c r="CNQ13" s="84"/>
      <c r="CNR13" s="84"/>
      <c r="CNS13" s="84"/>
      <c r="CNT13" s="84"/>
      <c r="CNU13" s="84"/>
      <c r="CNV13" s="84"/>
      <c r="CNW13" s="84"/>
      <c r="CNX13" s="84"/>
      <c r="CNY13" s="84"/>
      <c r="CNZ13" s="84"/>
      <c r="COA13" s="84"/>
      <c r="COB13" s="84"/>
      <c r="COC13" s="84"/>
      <c r="COD13" s="84"/>
      <c r="COE13" s="84"/>
      <c r="COF13" s="84"/>
      <c r="COG13" s="84"/>
      <c r="COH13" s="84"/>
      <c r="COI13" s="84"/>
      <c r="COJ13" s="84"/>
      <c r="COK13" s="84"/>
      <c r="COL13" s="84"/>
      <c r="COM13" s="84"/>
      <c r="CON13" s="84"/>
      <c r="COO13" s="84"/>
      <c r="COP13" s="84"/>
      <c r="COQ13" s="84"/>
      <c r="COR13" s="84"/>
      <c r="COS13" s="84"/>
      <c r="COT13" s="84"/>
      <c r="COU13" s="84"/>
      <c r="COV13" s="84"/>
      <c r="COW13" s="84"/>
      <c r="COX13" s="84"/>
      <c r="COY13" s="84"/>
      <c r="COZ13" s="84"/>
      <c r="CPA13" s="84"/>
      <c r="CPB13" s="84"/>
      <c r="CPC13" s="84"/>
      <c r="CPD13" s="84"/>
      <c r="CPE13" s="84"/>
      <c r="CPF13" s="84"/>
      <c r="CPG13" s="84"/>
      <c r="CPH13" s="84"/>
      <c r="CPI13" s="84"/>
      <c r="CPJ13" s="84"/>
      <c r="CPK13" s="84"/>
      <c r="CPL13" s="84"/>
      <c r="CPM13" s="84"/>
      <c r="CPN13" s="84"/>
      <c r="CPO13" s="84"/>
      <c r="CPP13" s="84"/>
      <c r="CPQ13" s="84"/>
      <c r="CPR13" s="84"/>
      <c r="CPS13" s="84"/>
      <c r="CPT13" s="84"/>
      <c r="CPU13" s="84"/>
      <c r="CPV13" s="84"/>
      <c r="CPW13" s="84"/>
      <c r="CPX13" s="84"/>
      <c r="CPY13" s="84"/>
      <c r="CPZ13" s="84"/>
      <c r="CQA13" s="84"/>
      <c r="CQB13" s="84"/>
      <c r="CQC13" s="84"/>
      <c r="CQD13" s="84"/>
      <c r="CQE13" s="84"/>
      <c r="CQF13" s="84"/>
      <c r="CQG13" s="84"/>
      <c r="CQH13" s="84"/>
      <c r="CQI13" s="84"/>
      <c r="CQJ13" s="84"/>
      <c r="CQK13" s="84"/>
      <c r="CQL13" s="84"/>
      <c r="CQM13" s="84"/>
      <c r="CQN13" s="84"/>
      <c r="CQO13" s="84"/>
      <c r="CQP13" s="84"/>
      <c r="CQQ13" s="84"/>
      <c r="CQR13" s="84"/>
      <c r="CQS13" s="84"/>
      <c r="CQT13" s="84"/>
      <c r="CQU13" s="84"/>
      <c r="CQV13" s="84"/>
      <c r="CQW13" s="84"/>
      <c r="CQX13" s="84"/>
      <c r="CQY13" s="84"/>
      <c r="CQZ13" s="84"/>
      <c r="CRA13" s="84"/>
      <c r="CRB13" s="84"/>
      <c r="CRC13" s="84"/>
      <c r="CRD13" s="84"/>
      <c r="CRE13" s="84"/>
      <c r="CRF13" s="84"/>
      <c r="CRG13" s="84"/>
      <c r="CRH13" s="84"/>
      <c r="CRI13" s="84"/>
      <c r="CRJ13" s="84"/>
      <c r="CRK13" s="84"/>
      <c r="CRL13" s="84"/>
      <c r="CRM13" s="84"/>
      <c r="CRN13" s="84"/>
      <c r="CRO13" s="84"/>
      <c r="CRP13" s="84"/>
      <c r="CRQ13" s="84"/>
      <c r="CRR13" s="84"/>
      <c r="CRS13" s="84"/>
      <c r="CRT13" s="84"/>
      <c r="CRU13" s="84"/>
      <c r="CRV13" s="84"/>
      <c r="CRW13" s="84"/>
      <c r="CRX13" s="84"/>
      <c r="CRY13" s="84"/>
      <c r="CRZ13" s="84"/>
      <c r="CSA13" s="84"/>
      <c r="CSB13" s="84"/>
      <c r="CSC13" s="84"/>
      <c r="CSD13" s="84"/>
      <c r="CSE13" s="84"/>
      <c r="CSF13" s="84"/>
      <c r="CSG13" s="84"/>
      <c r="CSH13" s="84"/>
      <c r="CSI13" s="84"/>
      <c r="CSJ13" s="84"/>
      <c r="CSK13" s="84"/>
      <c r="CSL13" s="84"/>
      <c r="CSM13" s="84"/>
      <c r="CSN13" s="84"/>
      <c r="CSO13" s="84"/>
      <c r="CSP13" s="84"/>
      <c r="CSQ13" s="84"/>
      <c r="CSR13" s="84"/>
      <c r="CSS13" s="84"/>
      <c r="CST13" s="84"/>
      <c r="CSU13" s="84"/>
      <c r="CSV13" s="84"/>
      <c r="CSW13" s="84"/>
      <c r="CSX13" s="84"/>
      <c r="CSY13" s="84"/>
      <c r="CSZ13" s="84"/>
      <c r="CTA13" s="84"/>
      <c r="CTB13" s="84"/>
      <c r="CTC13" s="84"/>
      <c r="CTD13" s="84"/>
      <c r="CTE13" s="84"/>
      <c r="CTF13" s="84"/>
      <c r="CTG13" s="84"/>
      <c r="CTH13" s="84"/>
      <c r="CTI13" s="84"/>
      <c r="CTJ13" s="84"/>
      <c r="CTK13" s="84"/>
      <c r="CTL13" s="84"/>
      <c r="CTM13" s="84"/>
      <c r="CTN13" s="84"/>
      <c r="CTO13" s="84"/>
      <c r="CTP13" s="84"/>
      <c r="CTQ13" s="84"/>
      <c r="CTR13" s="84"/>
      <c r="CTS13" s="84"/>
      <c r="CTT13" s="84"/>
      <c r="CTU13" s="84"/>
      <c r="CTV13" s="84"/>
      <c r="CTW13" s="84"/>
      <c r="CTX13" s="84"/>
      <c r="CTY13" s="84"/>
      <c r="CTZ13" s="84"/>
      <c r="CUA13" s="84"/>
      <c r="CUB13" s="84"/>
      <c r="CUC13" s="84"/>
      <c r="CUD13" s="84"/>
      <c r="CUE13" s="84"/>
      <c r="CUF13" s="84"/>
      <c r="CUG13" s="84"/>
      <c r="CUH13" s="84"/>
      <c r="CUI13" s="84"/>
      <c r="CUJ13" s="84"/>
      <c r="CUK13" s="84"/>
      <c r="CUL13" s="84"/>
      <c r="CUM13" s="84"/>
      <c r="CUN13" s="84"/>
      <c r="CUO13" s="84"/>
      <c r="CUP13" s="84"/>
      <c r="CUQ13" s="84"/>
      <c r="CUR13" s="84"/>
      <c r="CUS13" s="84"/>
      <c r="CUT13" s="84"/>
      <c r="CUU13" s="84"/>
      <c r="CUV13" s="84"/>
      <c r="CUW13" s="84"/>
      <c r="CUX13" s="84"/>
      <c r="CUY13" s="84"/>
      <c r="CUZ13" s="84"/>
      <c r="CVA13" s="84"/>
      <c r="CVB13" s="84"/>
      <c r="CVC13" s="84"/>
      <c r="CVD13" s="84"/>
      <c r="CVE13" s="84"/>
      <c r="CVF13" s="84"/>
      <c r="CVG13" s="84"/>
      <c r="CVH13" s="84"/>
      <c r="CVI13" s="84"/>
      <c r="CVJ13" s="84"/>
      <c r="CVK13" s="84"/>
      <c r="CVL13" s="84"/>
      <c r="CVM13" s="84"/>
      <c r="CVN13" s="84"/>
      <c r="CVO13" s="84"/>
      <c r="CVP13" s="84"/>
      <c r="CVQ13" s="84"/>
      <c r="CVR13" s="84"/>
      <c r="CVS13" s="84"/>
      <c r="CVT13" s="84"/>
      <c r="CVU13" s="84"/>
      <c r="CVV13" s="84"/>
      <c r="CVW13" s="84"/>
      <c r="CVX13" s="84"/>
      <c r="CVY13" s="84"/>
      <c r="CVZ13" s="84"/>
      <c r="CWA13" s="84"/>
      <c r="CWB13" s="84"/>
      <c r="CWC13" s="84"/>
      <c r="CWD13" s="84"/>
      <c r="CWE13" s="84"/>
      <c r="CWF13" s="84"/>
      <c r="CWG13" s="84"/>
      <c r="CWH13" s="84"/>
      <c r="CWI13" s="84"/>
      <c r="CWJ13" s="84"/>
      <c r="CWK13" s="84"/>
      <c r="CWL13" s="84"/>
      <c r="CWM13" s="84"/>
      <c r="CWN13" s="84"/>
      <c r="CWO13" s="84"/>
      <c r="CWP13" s="84"/>
      <c r="CWQ13" s="84"/>
      <c r="CWR13" s="84"/>
      <c r="CWS13" s="84"/>
      <c r="CWT13" s="84"/>
      <c r="CWU13" s="84"/>
      <c r="CWV13" s="84"/>
      <c r="CWW13" s="84"/>
      <c r="CWX13" s="84"/>
      <c r="CWY13" s="84"/>
      <c r="CWZ13" s="84"/>
      <c r="CXA13" s="84"/>
      <c r="CXB13" s="84"/>
      <c r="CXC13" s="84"/>
      <c r="CXD13" s="84"/>
      <c r="CXE13" s="84"/>
      <c r="CXF13" s="84"/>
      <c r="CXG13" s="84"/>
      <c r="CXH13" s="84"/>
      <c r="CXI13" s="84"/>
      <c r="CXJ13" s="84"/>
      <c r="CXK13" s="84"/>
      <c r="CXL13" s="84"/>
      <c r="CXM13" s="84"/>
      <c r="CXN13" s="84"/>
      <c r="CXO13" s="84"/>
      <c r="CXP13" s="84"/>
      <c r="CXQ13" s="84"/>
      <c r="CXR13" s="84"/>
      <c r="CXS13" s="84"/>
      <c r="CXT13" s="84"/>
      <c r="CXU13" s="84"/>
      <c r="CXV13" s="84"/>
      <c r="CXW13" s="84"/>
      <c r="CXX13" s="84"/>
      <c r="CXY13" s="84"/>
      <c r="CXZ13" s="84"/>
      <c r="CYA13" s="84"/>
      <c r="CYB13" s="84"/>
      <c r="CYC13" s="84"/>
      <c r="CYD13" s="84"/>
      <c r="CYE13" s="84"/>
      <c r="CYF13" s="84"/>
      <c r="CYG13" s="84"/>
      <c r="CYH13" s="84"/>
      <c r="CYI13" s="84"/>
      <c r="CYJ13" s="84"/>
      <c r="CYK13" s="84"/>
      <c r="CYL13" s="84"/>
      <c r="CYM13" s="84"/>
      <c r="CYN13" s="84"/>
      <c r="CYO13" s="84"/>
      <c r="CYP13" s="84"/>
      <c r="CYQ13" s="84"/>
      <c r="CYR13" s="84"/>
      <c r="CYS13" s="84"/>
      <c r="CYT13" s="84"/>
      <c r="CYU13" s="84"/>
      <c r="CYV13" s="84"/>
      <c r="CYW13" s="84"/>
      <c r="CYX13" s="84"/>
      <c r="CYY13" s="84"/>
      <c r="CYZ13" s="84"/>
      <c r="CZA13" s="84"/>
      <c r="CZB13" s="84"/>
      <c r="CZC13" s="84"/>
      <c r="CZD13" s="84"/>
      <c r="CZE13" s="84"/>
      <c r="CZF13" s="84"/>
      <c r="CZG13" s="84"/>
      <c r="CZH13" s="84"/>
      <c r="CZI13" s="84"/>
      <c r="CZJ13" s="84"/>
      <c r="CZK13" s="84"/>
      <c r="CZL13" s="84"/>
      <c r="CZM13" s="84"/>
      <c r="CZN13" s="84"/>
      <c r="CZO13" s="84"/>
      <c r="CZP13" s="84"/>
      <c r="CZQ13" s="84"/>
      <c r="CZR13" s="84"/>
      <c r="CZS13" s="84"/>
      <c r="CZT13" s="84"/>
      <c r="CZU13" s="84"/>
      <c r="CZV13" s="84"/>
      <c r="CZW13" s="84"/>
      <c r="CZX13" s="84"/>
      <c r="CZY13" s="84"/>
      <c r="CZZ13" s="84"/>
      <c r="DAA13" s="84"/>
      <c r="DAB13" s="84"/>
      <c r="DAC13" s="84"/>
      <c r="DAD13" s="84"/>
      <c r="DAE13" s="84"/>
      <c r="DAF13" s="84"/>
      <c r="DAG13" s="84"/>
      <c r="DAH13" s="84"/>
      <c r="DAI13" s="84"/>
      <c r="DAJ13" s="84"/>
      <c r="DAK13" s="84"/>
      <c r="DAL13" s="84"/>
      <c r="DAM13" s="84"/>
      <c r="DAN13" s="84"/>
      <c r="DAO13" s="84"/>
      <c r="DAP13" s="84"/>
      <c r="DAQ13" s="84"/>
      <c r="DAR13" s="84"/>
      <c r="DAS13" s="84"/>
      <c r="DAT13" s="84"/>
      <c r="DAU13" s="84"/>
      <c r="DAV13" s="84"/>
      <c r="DAW13" s="84"/>
      <c r="DAX13" s="84"/>
      <c r="DAY13" s="84"/>
      <c r="DAZ13" s="84"/>
      <c r="DBA13" s="84"/>
      <c r="DBB13" s="84"/>
      <c r="DBC13" s="84"/>
      <c r="DBD13" s="84"/>
      <c r="DBE13" s="84"/>
      <c r="DBF13" s="84"/>
      <c r="DBG13" s="84"/>
      <c r="DBH13" s="84"/>
      <c r="DBI13" s="84"/>
      <c r="DBJ13" s="84"/>
      <c r="DBK13" s="84"/>
      <c r="DBL13" s="84"/>
      <c r="DBM13" s="84"/>
      <c r="DBN13" s="84"/>
      <c r="DBO13" s="84"/>
      <c r="DBP13" s="84"/>
      <c r="DBQ13" s="84"/>
      <c r="DBR13" s="84"/>
      <c r="DBS13" s="84"/>
      <c r="DBT13" s="84"/>
      <c r="DBU13" s="84"/>
      <c r="DBV13" s="84"/>
      <c r="DBW13" s="84"/>
      <c r="DBX13" s="84"/>
      <c r="DBY13" s="84"/>
      <c r="DBZ13" s="84"/>
      <c r="DCA13" s="84"/>
      <c r="DCB13" s="84"/>
      <c r="DCC13" s="84"/>
      <c r="DCD13" s="84"/>
      <c r="DCE13" s="84"/>
      <c r="DCF13" s="84"/>
      <c r="DCG13" s="84"/>
      <c r="DCH13" s="84"/>
      <c r="DCI13" s="84"/>
      <c r="DCJ13" s="84"/>
      <c r="DCK13" s="84"/>
      <c r="DCL13" s="84"/>
      <c r="DCM13" s="84"/>
      <c r="DCN13" s="84"/>
      <c r="DCO13" s="84"/>
      <c r="DCP13" s="84"/>
      <c r="DCQ13" s="84"/>
      <c r="DCR13" s="84"/>
      <c r="DCS13" s="84"/>
      <c r="DCT13" s="84"/>
      <c r="DCU13" s="84"/>
      <c r="DCV13" s="84"/>
      <c r="DCW13" s="84"/>
      <c r="DCX13" s="84"/>
      <c r="DCY13" s="84"/>
      <c r="DCZ13" s="84"/>
      <c r="DDA13" s="84"/>
      <c r="DDB13" s="84"/>
      <c r="DDC13" s="84"/>
      <c r="DDD13" s="84"/>
      <c r="DDE13" s="84"/>
      <c r="DDF13" s="84"/>
      <c r="DDG13" s="84"/>
      <c r="DDH13" s="84"/>
      <c r="DDI13" s="84"/>
      <c r="DDJ13" s="84"/>
      <c r="DDK13" s="84"/>
      <c r="DDL13" s="84"/>
      <c r="DDM13" s="84"/>
      <c r="DDN13" s="84"/>
      <c r="DDO13" s="84"/>
      <c r="DDP13" s="84"/>
      <c r="DDQ13" s="84"/>
      <c r="DDR13" s="84"/>
      <c r="DDS13" s="84"/>
      <c r="DDT13" s="84"/>
      <c r="DDU13" s="84"/>
      <c r="DDV13" s="84"/>
      <c r="DDW13" s="84"/>
      <c r="DDX13" s="84"/>
      <c r="DDY13" s="84"/>
      <c r="DDZ13" s="84"/>
      <c r="DEA13" s="84"/>
      <c r="DEB13" s="84"/>
      <c r="DEC13" s="84"/>
      <c r="DED13" s="84"/>
      <c r="DEE13" s="84"/>
      <c r="DEF13" s="84"/>
      <c r="DEG13" s="84"/>
      <c r="DEH13" s="84"/>
      <c r="DEI13" s="84"/>
      <c r="DEJ13" s="84"/>
      <c r="DEK13" s="84"/>
      <c r="DEL13" s="84"/>
      <c r="DEM13" s="84"/>
      <c r="DEN13" s="84"/>
      <c r="DEO13" s="84"/>
      <c r="DEP13" s="84"/>
      <c r="DEQ13" s="84"/>
      <c r="DER13" s="84"/>
      <c r="DES13" s="84"/>
      <c r="DET13" s="84"/>
      <c r="DEU13" s="84"/>
      <c r="DEV13" s="84"/>
      <c r="DEW13" s="84"/>
      <c r="DEX13" s="84"/>
      <c r="DEY13" s="84"/>
      <c r="DEZ13" s="84"/>
      <c r="DFA13" s="84"/>
      <c r="DFB13" s="84"/>
      <c r="DFC13" s="84"/>
      <c r="DFD13" s="84"/>
      <c r="DFE13" s="84"/>
      <c r="DFF13" s="84"/>
      <c r="DFG13" s="84"/>
      <c r="DFH13" s="84"/>
      <c r="DFI13" s="84"/>
      <c r="DFJ13" s="84"/>
      <c r="DFK13" s="84"/>
      <c r="DFL13" s="84"/>
      <c r="DFM13" s="84"/>
      <c r="DFN13" s="84"/>
      <c r="DFO13" s="84"/>
      <c r="DFP13" s="84"/>
      <c r="DFQ13" s="84"/>
      <c r="DFR13" s="84"/>
      <c r="DFS13" s="84"/>
      <c r="DFT13" s="84"/>
      <c r="DFU13" s="84"/>
      <c r="DFV13" s="84"/>
      <c r="DFW13" s="84"/>
      <c r="DFX13" s="84"/>
      <c r="DFY13" s="84"/>
      <c r="DFZ13" s="84"/>
      <c r="DGA13" s="84"/>
      <c r="DGB13" s="84"/>
      <c r="DGC13" s="84"/>
      <c r="DGD13" s="84"/>
      <c r="DGE13" s="84"/>
      <c r="DGF13" s="84"/>
      <c r="DGG13" s="84"/>
      <c r="DGH13" s="84"/>
      <c r="DGI13" s="84"/>
      <c r="DGJ13" s="84"/>
      <c r="DGK13" s="84"/>
      <c r="DGL13" s="84"/>
      <c r="DGM13" s="84"/>
      <c r="DGN13" s="84"/>
      <c r="DGO13" s="84"/>
      <c r="DGP13" s="84"/>
      <c r="DGQ13" s="84"/>
      <c r="DGR13" s="84"/>
      <c r="DGS13" s="84"/>
      <c r="DGT13" s="84"/>
      <c r="DGU13" s="84"/>
      <c r="DGV13" s="84"/>
      <c r="DGW13" s="84"/>
      <c r="DGX13" s="84"/>
      <c r="DGY13" s="84"/>
      <c r="DGZ13" s="84"/>
      <c r="DHA13" s="84"/>
      <c r="DHB13" s="84"/>
      <c r="DHC13" s="84"/>
      <c r="DHD13" s="84"/>
      <c r="DHE13" s="84"/>
      <c r="DHF13" s="84"/>
      <c r="DHG13" s="84"/>
      <c r="DHH13" s="84"/>
      <c r="DHI13" s="84"/>
      <c r="DHJ13" s="84"/>
      <c r="DHK13" s="84"/>
      <c r="DHL13" s="84"/>
      <c r="DHM13" s="84"/>
      <c r="DHN13" s="84"/>
      <c r="DHO13" s="84"/>
      <c r="DHP13" s="84"/>
      <c r="DHQ13" s="84"/>
      <c r="DHR13" s="84"/>
      <c r="DHS13" s="84"/>
      <c r="DHT13" s="84"/>
      <c r="DHU13" s="84"/>
      <c r="DHV13" s="84"/>
      <c r="DHW13" s="84"/>
      <c r="DHX13" s="84"/>
      <c r="DHY13" s="84"/>
      <c r="DHZ13" s="84"/>
      <c r="DIA13" s="84"/>
      <c r="DIB13" s="84"/>
      <c r="DIC13" s="84"/>
      <c r="DID13" s="84"/>
      <c r="DIE13" s="84"/>
      <c r="DIF13" s="84"/>
      <c r="DIG13" s="84"/>
      <c r="DIH13" s="84"/>
      <c r="DII13" s="84"/>
      <c r="DIJ13" s="84"/>
      <c r="DIK13" s="84"/>
      <c r="DIL13" s="84"/>
      <c r="DIM13" s="84"/>
      <c r="DIN13" s="84"/>
      <c r="DIO13" s="84"/>
      <c r="DIP13" s="84"/>
      <c r="DIQ13" s="84"/>
      <c r="DIR13" s="84"/>
      <c r="DIS13" s="84"/>
      <c r="DIT13" s="84"/>
      <c r="DIU13" s="84"/>
      <c r="DIV13" s="84"/>
      <c r="DIW13" s="84"/>
      <c r="DIX13" s="84"/>
      <c r="DIY13" s="84"/>
      <c r="DIZ13" s="84"/>
      <c r="DJA13" s="84"/>
      <c r="DJB13" s="84"/>
      <c r="DJC13" s="84"/>
      <c r="DJD13" s="84"/>
      <c r="DJE13" s="84"/>
      <c r="DJF13" s="84"/>
      <c r="DJG13" s="84"/>
      <c r="DJH13" s="84"/>
      <c r="DJI13" s="84"/>
      <c r="DJJ13" s="84"/>
      <c r="DJK13" s="84"/>
      <c r="DJL13" s="84"/>
      <c r="DJM13" s="84"/>
      <c r="DJN13" s="84"/>
      <c r="DJO13" s="84"/>
      <c r="DJP13" s="84"/>
      <c r="DJQ13" s="84"/>
      <c r="DJR13" s="84"/>
      <c r="DJS13" s="84"/>
      <c r="DJT13" s="84"/>
      <c r="DJU13" s="84"/>
      <c r="DJV13" s="84"/>
      <c r="DJW13" s="84"/>
      <c r="DJX13" s="84"/>
      <c r="DJY13" s="84"/>
      <c r="DJZ13" s="84"/>
      <c r="DKA13" s="84"/>
      <c r="DKB13" s="84"/>
      <c r="DKC13" s="84"/>
      <c r="DKD13" s="84"/>
      <c r="DKE13" s="84"/>
      <c r="DKF13" s="84"/>
      <c r="DKG13" s="84"/>
      <c r="DKH13" s="84"/>
      <c r="DKI13" s="84"/>
      <c r="DKJ13" s="84"/>
      <c r="DKK13" s="84"/>
      <c r="DKL13" s="84"/>
      <c r="DKM13" s="84"/>
      <c r="DKN13" s="84"/>
      <c r="DKO13" s="84"/>
      <c r="DKP13" s="84"/>
      <c r="DKQ13" s="84"/>
      <c r="DKR13" s="84"/>
      <c r="DKS13" s="84"/>
      <c r="DKT13" s="84"/>
      <c r="DKU13" s="84"/>
      <c r="DKV13" s="84"/>
      <c r="DKW13" s="84"/>
      <c r="DKX13" s="84"/>
      <c r="DKY13" s="84"/>
      <c r="DKZ13" s="84"/>
      <c r="DLA13" s="84"/>
      <c r="DLB13" s="84"/>
      <c r="DLC13" s="84"/>
      <c r="DLD13" s="84"/>
      <c r="DLE13" s="84"/>
      <c r="DLF13" s="84"/>
      <c r="DLG13" s="84"/>
      <c r="DLH13" s="84"/>
      <c r="DLI13" s="84"/>
      <c r="DLJ13" s="84"/>
      <c r="DLK13" s="84"/>
      <c r="DLL13" s="84"/>
      <c r="DLM13" s="84"/>
      <c r="DLN13" s="84"/>
      <c r="DLO13" s="84"/>
      <c r="DLP13" s="84"/>
      <c r="DLQ13" s="84"/>
      <c r="DLR13" s="84"/>
      <c r="DLS13" s="84"/>
      <c r="DLT13" s="84"/>
      <c r="DLU13" s="84"/>
      <c r="DLV13" s="84"/>
      <c r="DLW13" s="84"/>
      <c r="DLX13" s="84"/>
      <c r="DLY13" s="84"/>
      <c r="DLZ13" s="84"/>
      <c r="DMA13" s="84"/>
      <c r="DMB13" s="84"/>
      <c r="DMC13" s="84"/>
      <c r="DMD13" s="84"/>
      <c r="DME13" s="84"/>
      <c r="DMF13" s="84"/>
      <c r="DMG13" s="84"/>
      <c r="DMH13" s="84"/>
      <c r="DMI13" s="84"/>
      <c r="DMJ13" s="84"/>
      <c r="DMK13" s="84"/>
      <c r="DML13" s="84"/>
      <c r="DMM13" s="84"/>
      <c r="DMN13" s="84"/>
      <c r="DMO13" s="84"/>
      <c r="DMP13" s="84"/>
      <c r="DMQ13" s="84"/>
      <c r="DMR13" s="84"/>
      <c r="DMS13" s="84"/>
      <c r="DMT13" s="84"/>
      <c r="DMU13" s="84"/>
      <c r="DMV13" s="84"/>
      <c r="DMW13" s="84"/>
      <c r="DMX13" s="84"/>
      <c r="DMY13" s="84"/>
      <c r="DMZ13" s="84"/>
      <c r="DNA13" s="84"/>
      <c r="DNB13" s="84"/>
      <c r="DNC13" s="84"/>
      <c r="DND13" s="84"/>
      <c r="DNE13" s="84"/>
      <c r="DNF13" s="84"/>
      <c r="DNG13" s="84"/>
      <c r="DNH13" s="84"/>
      <c r="DNI13" s="84"/>
      <c r="DNJ13" s="84"/>
      <c r="DNK13" s="84"/>
      <c r="DNL13" s="84"/>
      <c r="DNM13" s="84"/>
      <c r="DNN13" s="84"/>
      <c r="DNO13" s="84"/>
      <c r="DNP13" s="84"/>
      <c r="DNQ13" s="84"/>
      <c r="DNR13" s="84"/>
      <c r="DNS13" s="84"/>
      <c r="DNT13" s="84"/>
      <c r="DNU13" s="84"/>
      <c r="DNV13" s="84"/>
      <c r="DNW13" s="84"/>
      <c r="DNX13" s="84"/>
      <c r="DNY13" s="84"/>
      <c r="DNZ13" s="84"/>
      <c r="DOA13" s="84"/>
      <c r="DOB13" s="84"/>
      <c r="DOC13" s="84"/>
      <c r="DOD13" s="84"/>
      <c r="DOE13" s="84"/>
      <c r="DOF13" s="84"/>
      <c r="DOG13" s="84"/>
      <c r="DOH13" s="84"/>
      <c r="DOI13" s="84"/>
      <c r="DOJ13" s="84"/>
      <c r="DOK13" s="84"/>
      <c r="DOL13" s="84"/>
      <c r="DOM13" s="84"/>
      <c r="DON13" s="84"/>
      <c r="DOO13" s="84"/>
      <c r="DOP13" s="84"/>
      <c r="DOQ13" s="84"/>
      <c r="DOR13" s="84"/>
      <c r="DOS13" s="84"/>
      <c r="DOT13" s="84"/>
      <c r="DOU13" s="84"/>
      <c r="DOV13" s="84"/>
      <c r="DOW13" s="84"/>
      <c r="DOX13" s="84"/>
      <c r="DOY13" s="84"/>
      <c r="DOZ13" s="84"/>
      <c r="DPA13" s="84"/>
      <c r="DPB13" s="84"/>
      <c r="DPC13" s="84"/>
      <c r="DPD13" s="84"/>
      <c r="DPE13" s="84"/>
      <c r="DPF13" s="84"/>
      <c r="DPG13" s="84"/>
      <c r="DPH13" s="84"/>
      <c r="DPI13" s="84"/>
      <c r="DPJ13" s="84"/>
      <c r="DPK13" s="84"/>
      <c r="DPL13" s="84"/>
      <c r="DPM13" s="84"/>
      <c r="DPN13" s="84"/>
      <c r="DPO13" s="84"/>
      <c r="DPP13" s="84"/>
      <c r="DPQ13" s="84"/>
      <c r="DPR13" s="84"/>
      <c r="DPS13" s="84"/>
      <c r="DPT13" s="84"/>
      <c r="DPU13" s="84"/>
      <c r="DPV13" s="84"/>
      <c r="DPW13" s="84"/>
      <c r="DPX13" s="84"/>
      <c r="DPY13" s="84"/>
      <c r="DPZ13" s="84"/>
      <c r="DQA13" s="84"/>
      <c r="DQB13" s="84"/>
      <c r="DQC13" s="84"/>
      <c r="DQD13" s="84"/>
      <c r="DQE13" s="84"/>
      <c r="DQF13" s="84"/>
      <c r="DQG13" s="84"/>
      <c r="DQH13" s="84"/>
      <c r="DQI13" s="84"/>
      <c r="DQJ13" s="84"/>
      <c r="DQK13" s="84"/>
      <c r="DQL13" s="84"/>
      <c r="DQM13" s="84"/>
      <c r="DQN13" s="84"/>
      <c r="DQO13" s="84"/>
      <c r="DQP13" s="84"/>
      <c r="DQQ13" s="84"/>
      <c r="DQR13" s="84"/>
      <c r="DQS13" s="84"/>
      <c r="DQT13" s="84"/>
      <c r="DQU13" s="84"/>
      <c r="DQV13" s="84"/>
      <c r="DQW13" s="84"/>
      <c r="DQX13" s="84"/>
      <c r="DQY13" s="84"/>
      <c r="DQZ13" s="84"/>
      <c r="DRA13" s="84"/>
      <c r="DRB13" s="84"/>
      <c r="DRC13" s="84"/>
      <c r="DRD13" s="84"/>
      <c r="DRE13" s="84"/>
      <c r="DRF13" s="84"/>
      <c r="DRG13" s="84"/>
      <c r="DRH13" s="84"/>
      <c r="DRI13" s="84"/>
      <c r="DRJ13" s="84"/>
      <c r="DRK13" s="84"/>
      <c r="DRL13" s="84"/>
      <c r="DRM13" s="84"/>
      <c r="DRN13" s="84"/>
      <c r="DRO13" s="84"/>
      <c r="DRP13" s="84"/>
      <c r="DRQ13" s="84"/>
      <c r="DRR13" s="84"/>
      <c r="DRS13" s="84"/>
      <c r="DRT13" s="84"/>
      <c r="DRU13" s="84"/>
      <c r="DRV13" s="84"/>
      <c r="DRW13" s="84"/>
      <c r="DRX13" s="84"/>
      <c r="DRY13" s="84"/>
      <c r="DRZ13" s="84"/>
      <c r="DSA13" s="84"/>
      <c r="DSB13" s="84"/>
      <c r="DSC13" s="84"/>
      <c r="DSD13" s="84"/>
      <c r="DSE13" s="84"/>
      <c r="DSF13" s="84"/>
      <c r="DSG13" s="84"/>
      <c r="DSH13" s="84"/>
      <c r="DSI13" s="84"/>
      <c r="DSJ13" s="84"/>
      <c r="DSK13" s="84"/>
      <c r="DSL13" s="84"/>
      <c r="DSM13" s="84"/>
      <c r="DSN13" s="84"/>
      <c r="DSO13" s="84"/>
      <c r="DSP13" s="84"/>
      <c r="DSQ13" s="84"/>
      <c r="DSR13" s="84"/>
      <c r="DSS13" s="84"/>
      <c r="DST13" s="84"/>
      <c r="DSU13" s="84"/>
      <c r="DSV13" s="84"/>
      <c r="DSW13" s="84"/>
      <c r="DSX13" s="84"/>
      <c r="DSY13" s="84"/>
      <c r="DSZ13" s="84"/>
      <c r="DTA13" s="84"/>
      <c r="DTB13" s="84"/>
      <c r="DTC13" s="84"/>
      <c r="DTD13" s="84"/>
      <c r="DTE13" s="84"/>
      <c r="DTF13" s="84"/>
      <c r="DTG13" s="84"/>
      <c r="DTH13" s="84"/>
      <c r="DTI13" s="84"/>
      <c r="DTJ13" s="84"/>
      <c r="DTK13" s="84"/>
      <c r="DTL13" s="84"/>
      <c r="DTM13" s="84"/>
      <c r="DTN13" s="84"/>
      <c r="DTO13" s="84"/>
      <c r="DTP13" s="84"/>
      <c r="DTQ13" s="84"/>
      <c r="DTR13" s="84"/>
      <c r="DTS13" s="84"/>
      <c r="DTT13" s="84"/>
      <c r="DTU13" s="84"/>
      <c r="DTV13" s="84"/>
      <c r="DTW13" s="84"/>
      <c r="DTX13" s="84"/>
      <c r="DTY13" s="84"/>
      <c r="DTZ13" s="84"/>
      <c r="DUA13" s="84"/>
      <c r="DUB13" s="84"/>
      <c r="DUC13" s="84"/>
      <c r="DUD13" s="84"/>
      <c r="DUE13" s="84"/>
      <c r="DUF13" s="84"/>
      <c r="DUG13" s="84"/>
      <c r="DUH13" s="84"/>
      <c r="DUI13" s="84"/>
      <c r="DUJ13" s="84"/>
      <c r="DUK13" s="84"/>
      <c r="DUL13" s="84"/>
      <c r="DUM13" s="84"/>
      <c r="DUN13" s="84"/>
      <c r="DUO13" s="84"/>
      <c r="DUP13" s="84"/>
      <c r="DUQ13" s="84"/>
      <c r="DUR13" s="84"/>
      <c r="DUS13" s="84"/>
      <c r="DUT13" s="84"/>
      <c r="DUU13" s="84"/>
      <c r="DUV13" s="84"/>
      <c r="DUW13" s="84"/>
      <c r="DUX13" s="84"/>
      <c r="DUY13" s="84"/>
      <c r="DUZ13" s="84"/>
      <c r="DVA13" s="84"/>
      <c r="DVB13" s="84"/>
      <c r="DVC13" s="84"/>
      <c r="DVD13" s="84"/>
      <c r="DVE13" s="84"/>
      <c r="DVF13" s="84"/>
      <c r="DVG13" s="84"/>
      <c r="DVH13" s="84"/>
      <c r="DVI13" s="84"/>
      <c r="DVJ13" s="84"/>
      <c r="DVK13" s="84"/>
      <c r="DVL13" s="84"/>
      <c r="DVM13" s="84"/>
      <c r="DVN13" s="84"/>
      <c r="DVO13" s="84"/>
      <c r="DVP13" s="84"/>
      <c r="DVQ13" s="84"/>
      <c r="DVR13" s="84"/>
      <c r="DVS13" s="84"/>
      <c r="DVT13" s="84"/>
      <c r="DVU13" s="84"/>
      <c r="DVV13" s="84"/>
      <c r="DVW13" s="84"/>
      <c r="DVX13" s="84"/>
      <c r="DVY13" s="84"/>
      <c r="DVZ13" s="84"/>
      <c r="DWA13" s="84"/>
      <c r="DWB13" s="84"/>
      <c r="DWC13" s="84"/>
      <c r="DWD13" s="84"/>
      <c r="DWE13" s="84"/>
      <c r="DWF13" s="84"/>
      <c r="DWG13" s="84"/>
      <c r="DWH13" s="84"/>
      <c r="DWI13" s="84"/>
      <c r="DWJ13" s="84"/>
      <c r="DWK13" s="84"/>
      <c r="DWL13" s="84"/>
      <c r="DWM13" s="84"/>
      <c r="DWN13" s="84"/>
      <c r="DWO13" s="84"/>
      <c r="DWP13" s="84"/>
      <c r="DWQ13" s="84"/>
      <c r="DWR13" s="84"/>
      <c r="DWS13" s="84"/>
      <c r="DWT13" s="84"/>
      <c r="DWU13" s="84"/>
      <c r="DWV13" s="84"/>
      <c r="DWW13" s="84"/>
      <c r="DWX13" s="84"/>
      <c r="DWY13" s="84"/>
      <c r="DWZ13" s="84"/>
      <c r="DXA13" s="84"/>
      <c r="DXB13" s="84"/>
      <c r="DXC13" s="84"/>
      <c r="DXD13" s="84"/>
      <c r="DXE13" s="84"/>
      <c r="DXF13" s="84"/>
      <c r="DXG13" s="84"/>
      <c r="DXH13" s="84"/>
      <c r="DXI13" s="84"/>
      <c r="DXJ13" s="84"/>
      <c r="DXK13" s="84"/>
      <c r="DXL13" s="84"/>
      <c r="DXM13" s="84"/>
      <c r="DXN13" s="84"/>
      <c r="DXO13" s="84"/>
      <c r="DXP13" s="84"/>
      <c r="DXQ13" s="84"/>
      <c r="DXR13" s="84"/>
      <c r="DXS13" s="84"/>
      <c r="DXT13" s="84"/>
      <c r="DXU13" s="84"/>
      <c r="DXV13" s="84"/>
      <c r="DXW13" s="84"/>
      <c r="DXX13" s="84"/>
      <c r="DXY13" s="84"/>
      <c r="DXZ13" s="84"/>
      <c r="DYA13" s="84"/>
      <c r="DYB13" s="84"/>
      <c r="DYC13" s="84"/>
      <c r="DYD13" s="84"/>
      <c r="DYE13" s="84"/>
      <c r="DYF13" s="84"/>
      <c r="DYG13" s="84"/>
      <c r="DYH13" s="84"/>
      <c r="DYI13" s="84"/>
      <c r="DYJ13" s="84"/>
      <c r="DYK13" s="84"/>
      <c r="DYL13" s="84"/>
      <c r="DYM13" s="84"/>
      <c r="DYN13" s="84"/>
      <c r="DYO13" s="84"/>
      <c r="DYP13" s="84"/>
      <c r="DYQ13" s="84"/>
      <c r="DYR13" s="84"/>
      <c r="DYS13" s="84"/>
      <c r="DYT13" s="84"/>
      <c r="DYU13" s="84"/>
      <c r="DYV13" s="84"/>
      <c r="DYW13" s="84"/>
      <c r="DYX13" s="84"/>
      <c r="DYY13" s="84"/>
      <c r="DYZ13" s="84"/>
      <c r="DZA13" s="84"/>
      <c r="DZB13" s="84"/>
      <c r="DZC13" s="84"/>
      <c r="DZD13" s="84"/>
      <c r="DZE13" s="84"/>
      <c r="DZF13" s="84"/>
      <c r="DZG13" s="84"/>
      <c r="DZH13" s="84"/>
      <c r="DZI13" s="84"/>
      <c r="DZJ13" s="84"/>
      <c r="DZK13" s="84"/>
      <c r="DZL13" s="84"/>
      <c r="DZM13" s="84"/>
      <c r="DZN13" s="84"/>
      <c r="DZO13" s="84"/>
      <c r="DZP13" s="84"/>
      <c r="DZQ13" s="84"/>
      <c r="DZR13" s="84"/>
      <c r="DZS13" s="84"/>
      <c r="DZT13" s="84"/>
      <c r="DZU13" s="84"/>
      <c r="DZV13" s="84"/>
      <c r="DZW13" s="84"/>
      <c r="DZX13" s="84"/>
      <c r="DZY13" s="84"/>
      <c r="DZZ13" s="84"/>
      <c r="EAA13" s="84"/>
      <c r="EAB13" s="84"/>
      <c r="EAC13" s="84"/>
      <c r="EAD13" s="84"/>
      <c r="EAE13" s="84"/>
      <c r="EAF13" s="84"/>
      <c r="EAG13" s="84"/>
      <c r="EAH13" s="84"/>
      <c r="EAI13" s="84"/>
      <c r="EAJ13" s="84"/>
      <c r="EAK13" s="84"/>
      <c r="EAL13" s="84"/>
      <c r="EAM13" s="84"/>
      <c r="EAN13" s="84"/>
      <c r="EAO13" s="84"/>
      <c r="EAP13" s="84"/>
      <c r="EAQ13" s="84"/>
      <c r="EAR13" s="84"/>
      <c r="EAS13" s="84"/>
      <c r="EAT13" s="84"/>
      <c r="EAU13" s="84"/>
      <c r="EAV13" s="84"/>
      <c r="EAW13" s="84"/>
      <c r="EAX13" s="84"/>
      <c r="EAY13" s="84"/>
      <c r="EAZ13" s="84"/>
      <c r="EBA13" s="84"/>
      <c r="EBB13" s="84"/>
      <c r="EBC13" s="84"/>
      <c r="EBD13" s="84"/>
      <c r="EBE13" s="84"/>
      <c r="EBF13" s="84"/>
      <c r="EBG13" s="84"/>
      <c r="EBH13" s="84"/>
      <c r="EBI13" s="84"/>
      <c r="EBJ13" s="84"/>
      <c r="EBK13" s="84"/>
      <c r="EBL13" s="84"/>
      <c r="EBM13" s="84"/>
      <c r="EBN13" s="84"/>
      <c r="EBO13" s="84"/>
      <c r="EBP13" s="84"/>
      <c r="EBQ13" s="84"/>
      <c r="EBR13" s="84"/>
      <c r="EBS13" s="84"/>
      <c r="EBT13" s="84"/>
      <c r="EBU13" s="84"/>
      <c r="EBV13" s="84"/>
      <c r="EBW13" s="84"/>
      <c r="EBX13" s="84"/>
      <c r="EBY13" s="84"/>
      <c r="EBZ13" s="84"/>
      <c r="ECA13" s="84"/>
      <c r="ECB13" s="84"/>
      <c r="ECC13" s="84"/>
      <c r="ECD13" s="84"/>
      <c r="ECE13" s="84"/>
      <c r="ECF13" s="84"/>
      <c r="ECG13" s="84"/>
      <c r="ECH13" s="84"/>
      <c r="ECI13" s="84"/>
      <c r="ECJ13" s="84"/>
      <c r="ECK13" s="84"/>
      <c r="ECL13" s="84"/>
      <c r="ECM13" s="84"/>
      <c r="ECN13" s="84"/>
      <c r="ECO13" s="84"/>
      <c r="ECP13" s="84"/>
      <c r="ECQ13" s="84"/>
      <c r="ECR13" s="84"/>
      <c r="ECS13" s="84"/>
      <c r="ECT13" s="84"/>
      <c r="ECU13" s="84"/>
      <c r="ECV13" s="84"/>
      <c r="ECW13" s="84"/>
      <c r="ECX13" s="84"/>
      <c r="ECY13" s="84"/>
      <c r="ECZ13" s="84"/>
      <c r="EDA13" s="84"/>
      <c r="EDB13" s="84"/>
      <c r="EDC13" s="84"/>
      <c r="EDD13" s="84"/>
      <c r="EDE13" s="84"/>
      <c r="EDF13" s="84"/>
      <c r="EDG13" s="84"/>
      <c r="EDH13" s="84"/>
      <c r="EDI13" s="84"/>
      <c r="EDJ13" s="84"/>
      <c r="EDK13" s="84"/>
      <c r="EDL13" s="84"/>
      <c r="EDM13" s="84"/>
      <c r="EDN13" s="84"/>
      <c r="EDO13" s="84"/>
      <c r="EDP13" s="84"/>
      <c r="EDQ13" s="84"/>
      <c r="EDR13" s="84"/>
      <c r="EDS13" s="84"/>
      <c r="EDT13" s="84"/>
      <c r="EDU13" s="84"/>
      <c r="EDV13" s="84"/>
      <c r="EDW13" s="84"/>
      <c r="EDX13" s="84"/>
      <c r="EDY13" s="84"/>
      <c r="EDZ13" s="84"/>
      <c r="EEA13" s="84"/>
      <c r="EEB13" s="84"/>
      <c r="EEC13" s="84"/>
      <c r="EED13" s="84"/>
      <c r="EEE13" s="84"/>
      <c r="EEF13" s="84"/>
      <c r="EEG13" s="84"/>
      <c r="EEH13" s="84"/>
      <c r="EEI13" s="84"/>
      <c r="EEJ13" s="84"/>
      <c r="EEK13" s="84"/>
      <c r="EEL13" s="84"/>
      <c r="EEM13" s="84"/>
      <c r="EEN13" s="84"/>
      <c r="EEO13" s="84"/>
      <c r="EEP13" s="84"/>
      <c r="EEQ13" s="84"/>
      <c r="EER13" s="84"/>
      <c r="EES13" s="84"/>
      <c r="EET13" s="84"/>
      <c r="EEU13" s="84"/>
      <c r="EEV13" s="84"/>
      <c r="EEW13" s="84"/>
      <c r="EEX13" s="84"/>
      <c r="EEY13" s="84"/>
      <c r="EEZ13" s="84"/>
      <c r="EFA13" s="84"/>
      <c r="EFB13" s="84"/>
      <c r="EFC13" s="84"/>
      <c r="EFD13" s="84"/>
      <c r="EFE13" s="84"/>
      <c r="EFF13" s="84"/>
      <c r="EFG13" s="84"/>
      <c r="EFH13" s="84"/>
      <c r="EFI13" s="84"/>
      <c r="EFJ13" s="84"/>
      <c r="EFK13" s="84"/>
      <c r="EFL13" s="84"/>
      <c r="EFM13" s="84"/>
      <c r="EFN13" s="84"/>
      <c r="EFO13" s="84"/>
      <c r="EFP13" s="84"/>
      <c r="EFQ13" s="84"/>
      <c r="EFR13" s="84"/>
      <c r="EFS13" s="84"/>
      <c r="EFT13" s="84"/>
      <c r="EFU13" s="84"/>
      <c r="EFV13" s="84"/>
      <c r="EFW13" s="84"/>
      <c r="EFX13" s="84"/>
      <c r="EFY13" s="84"/>
      <c r="EFZ13" s="84"/>
      <c r="EGA13" s="84"/>
      <c r="EGB13" s="84"/>
      <c r="EGC13" s="84"/>
      <c r="EGD13" s="84"/>
      <c r="EGE13" s="84"/>
      <c r="EGF13" s="84"/>
      <c r="EGG13" s="84"/>
      <c r="EGH13" s="84"/>
      <c r="EGI13" s="84"/>
      <c r="EGJ13" s="84"/>
      <c r="EGK13" s="84"/>
      <c r="EGL13" s="84"/>
      <c r="EGM13" s="84"/>
      <c r="EGN13" s="84"/>
      <c r="EGO13" s="84"/>
      <c r="EGP13" s="84"/>
      <c r="EGQ13" s="84"/>
      <c r="EGR13" s="84"/>
      <c r="EGS13" s="84"/>
      <c r="EGT13" s="84"/>
      <c r="EGU13" s="84"/>
      <c r="EGV13" s="84"/>
      <c r="EGW13" s="84"/>
      <c r="EGX13" s="84"/>
      <c r="EGY13" s="84"/>
      <c r="EGZ13" s="84"/>
      <c r="EHA13" s="84"/>
      <c r="EHB13" s="84"/>
      <c r="EHC13" s="84"/>
      <c r="EHD13" s="84"/>
      <c r="EHE13" s="84"/>
      <c r="EHF13" s="84"/>
      <c r="EHG13" s="84"/>
      <c r="EHH13" s="84"/>
      <c r="EHI13" s="84"/>
      <c r="EHJ13" s="84"/>
      <c r="EHK13" s="84"/>
      <c r="EHL13" s="84"/>
      <c r="EHM13" s="84"/>
      <c r="EHN13" s="84"/>
      <c r="EHO13" s="84"/>
      <c r="EHP13" s="84"/>
      <c r="EHQ13" s="84"/>
      <c r="EHR13" s="84"/>
      <c r="EHS13" s="84"/>
      <c r="EHT13" s="84"/>
      <c r="EHU13" s="84"/>
      <c r="EHV13" s="84"/>
      <c r="EHW13" s="84"/>
      <c r="EHX13" s="84"/>
      <c r="EHY13" s="84"/>
      <c r="EHZ13" s="84"/>
      <c r="EIA13" s="84"/>
      <c r="EIB13" s="84"/>
      <c r="EIC13" s="84"/>
      <c r="EID13" s="84"/>
      <c r="EIE13" s="84"/>
      <c r="EIF13" s="84"/>
      <c r="EIG13" s="84"/>
      <c r="EIH13" s="84"/>
      <c r="EII13" s="84"/>
      <c r="EIJ13" s="84"/>
      <c r="EIK13" s="84"/>
      <c r="EIL13" s="84"/>
      <c r="EIM13" s="84"/>
      <c r="EIN13" s="84"/>
      <c r="EIO13" s="84"/>
      <c r="EIP13" s="84"/>
      <c r="EIQ13" s="84"/>
      <c r="EIR13" s="84"/>
      <c r="EIS13" s="84"/>
      <c r="EIT13" s="84"/>
      <c r="EIU13" s="84"/>
      <c r="EIV13" s="84"/>
      <c r="EIW13" s="84"/>
      <c r="EIX13" s="84"/>
      <c r="EIY13" s="84"/>
      <c r="EIZ13" s="84"/>
      <c r="EJA13" s="84"/>
      <c r="EJB13" s="84"/>
      <c r="EJC13" s="84"/>
      <c r="EJD13" s="84"/>
      <c r="EJE13" s="84"/>
      <c r="EJF13" s="84"/>
      <c r="EJG13" s="84"/>
      <c r="EJH13" s="84"/>
      <c r="EJI13" s="84"/>
      <c r="EJJ13" s="84"/>
      <c r="EJK13" s="84"/>
      <c r="EJL13" s="84"/>
      <c r="EJM13" s="84"/>
      <c r="EJN13" s="84"/>
      <c r="EJO13" s="84"/>
      <c r="EJP13" s="84"/>
      <c r="EJQ13" s="84"/>
      <c r="EJR13" s="84"/>
      <c r="EJS13" s="84"/>
      <c r="EJT13" s="84"/>
      <c r="EJU13" s="84"/>
      <c r="EJV13" s="84"/>
      <c r="EJW13" s="84"/>
      <c r="EJX13" s="84"/>
      <c r="EJY13" s="84"/>
      <c r="EJZ13" s="84"/>
      <c r="EKA13" s="84"/>
      <c r="EKB13" s="84"/>
      <c r="EKC13" s="84"/>
      <c r="EKD13" s="84"/>
      <c r="EKE13" s="84"/>
      <c r="EKF13" s="84"/>
      <c r="EKG13" s="84"/>
      <c r="EKH13" s="84"/>
      <c r="EKI13" s="84"/>
      <c r="EKJ13" s="84"/>
      <c r="EKK13" s="84"/>
      <c r="EKL13" s="84"/>
      <c r="EKM13" s="84"/>
      <c r="EKN13" s="84"/>
      <c r="EKO13" s="84"/>
      <c r="EKP13" s="84"/>
      <c r="EKQ13" s="84"/>
      <c r="EKR13" s="84"/>
      <c r="EKS13" s="84"/>
      <c r="EKT13" s="84"/>
      <c r="EKU13" s="84"/>
      <c r="EKV13" s="84"/>
      <c r="EKW13" s="84"/>
      <c r="EKX13" s="84"/>
      <c r="EKY13" s="84"/>
      <c r="EKZ13" s="84"/>
      <c r="ELA13" s="84"/>
      <c r="ELB13" s="84"/>
      <c r="ELC13" s="84"/>
      <c r="ELD13" s="84"/>
      <c r="ELE13" s="84"/>
      <c r="ELF13" s="84"/>
      <c r="ELG13" s="84"/>
      <c r="ELH13" s="84"/>
      <c r="ELI13" s="84"/>
      <c r="ELJ13" s="84"/>
      <c r="ELK13" s="84"/>
      <c r="ELL13" s="84"/>
      <c r="ELM13" s="84"/>
      <c r="ELN13" s="84"/>
      <c r="ELO13" s="84"/>
      <c r="ELP13" s="84"/>
      <c r="ELQ13" s="84"/>
      <c r="ELR13" s="84"/>
      <c r="ELS13" s="84"/>
      <c r="ELT13" s="84"/>
      <c r="ELU13" s="84"/>
      <c r="ELV13" s="84"/>
      <c r="ELW13" s="84"/>
      <c r="ELX13" s="84"/>
      <c r="ELY13" s="84"/>
      <c r="ELZ13" s="84"/>
      <c r="EMA13" s="84"/>
      <c r="EMB13" s="84"/>
      <c r="EMC13" s="84"/>
      <c r="EMD13" s="84"/>
      <c r="EME13" s="84"/>
      <c r="EMF13" s="84"/>
      <c r="EMG13" s="84"/>
      <c r="EMH13" s="84"/>
      <c r="EMI13" s="84"/>
      <c r="EMJ13" s="84"/>
      <c r="EMK13" s="84"/>
      <c r="EML13" s="84"/>
      <c r="EMM13" s="84"/>
      <c r="EMN13" s="84"/>
      <c r="EMO13" s="84"/>
      <c r="EMP13" s="84"/>
      <c r="EMQ13" s="84"/>
      <c r="EMR13" s="84"/>
      <c r="EMS13" s="84"/>
      <c r="EMT13" s="84"/>
      <c r="EMU13" s="84"/>
      <c r="EMV13" s="84"/>
      <c r="EMW13" s="84"/>
      <c r="EMX13" s="84"/>
      <c r="EMY13" s="84"/>
      <c r="EMZ13" s="84"/>
      <c r="ENA13" s="84"/>
      <c r="ENB13" s="84"/>
      <c r="ENC13" s="84"/>
      <c r="END13" s="84"/>
      <c r="ENE13" s="84"/>
      <c r="ENF13" s="84"/>
      <c r="ENG13" s="84"/>
      <c r="ENH13" s="84"/>
      <c r="ENI13" s="84"/>
      <c r="ENJ13" s="84"/>
      <c r="ENK13" s="84"/>
      <c r="ENL13" s="84"/>
      <c r="ENM13" s="84"/>
      <c r="ENN13" s="84"/>
      <c r="ENO13" s="84"/>
      <c r="ENP13" s="84"/>
      <c r="ENQ13" s="84"/>
      <c r="ENR13" s="84"/>
      <c r="ENS13" s="84"/>
      <c r="ENT13" s="84"/>
      <c r="ENU13" s="84"/>
      <c r="ENV13" s="84"/>
      <c r="ENW13" s="84"/>
      <c r="ENX13" s="84"/>
      <c r="ENY13" s="84"/>
      <c r="ENZ13" s="84"/>
      <c r="EOA13" s="84"/>
      <c r="EOB13" s="84"/>
      <c r="EOC13" s="84"/>
      <c r="EOD13" s="84"/>
      <c r="EOE13" s="84"/>
      <c r="EOF13" s="84"/>
      <c r="EOG13" s="84"/>
      <c r="EOH13" s="84"/>
      <c r="EOI13" s="84"/>
      <c r="EOJ13" s="84"/>
      <c r="EOK13" s="84"/>
      <c r="EOL13" s="84"/>
      <c r="EOM13" s="84"/>
      <c r="EON13" s="84"/>
      <c r="EOO13" s="84"/>
      <c r="EOP13" s="84"/>
      <c r="EOQ13" s="84"/>
      <c r="EOR13" s="84"/>
      <c r="EOS13" s="84"/>
      <c r="EOT13" s="84"/>
      <c r="EOU13" s="84"/>
      <c r="EOV13" s="84"/>
      <c r="EOW13" s="84"/>
      <c r="EOX13" s="84"/>
      <c r="EOY13" s="84"/>
      <c r="EOZ13" s="84"/>
      <c r="EPA13" s="84"/>
      <c r="EPB13" s="84"/>
      <c r="EPC13" s="84"/>
      <c r="EPD13" s="84"/>
      <c r="EPE13" s="84"/>
      <c r="EPF13" s="84"/>
      <c r="EPG13" s="84"/>
      <c r="EPH13" s="84"/>
      <c r="EPI13" s="84"/>
      <c r="EPJ13" s="84"/>
      <c r="EPK13" s="84"/>
      <c r="EPL13" s="84"/>
      <c r="EPM13" s="84"/>
      <c r="EPN13" s="84"/>
      <c r="EPO13" s="84"/>
      <c r="EPP13" s="84"/>
      <c r="EPQ13" s="84"/>
      <c r="EPR13" s="84"/>
      <c r="EPS13" s="84"/>
      <c r="EPT13" s="84"/>
      <c r="EPU13" s="84"/>
      <c r="EPV13" s="84"/>
      <c r="EPW13" s="84"/>
      <c r="EPX13" s="84"/>
      <c r="EPY13" s="84"/>
      <c r="EPZ13" s="84"/>
      <c r="EQA13" s="84"/>
      <c r="EQB13" s="84"/>
      <c r="EQC13" s="84"/>
      <c r="EQD13" s="84"/>
      <c r="EQE13" s="84"/>
      <c r="EQF13" s="84"/>
      <c r="EQG13" s="84"/>
      <c r="EQH13" s="84"/>
      <c r="EQI13" s="84"/>
      <c r="EQJ13" s="84"/>
      <c r="EQK13" s="84"/>
      <c r="EQL13" s="84"/>
      <c r="EQM13" s="84"/>
      <c r="EQN13" s="84"/>
      <c r="EQO13" s="84"/>
      <c r="EQP13" s="84"/>
      <c r="EQQ13" s="84"/>
      <c r="EQR13" s="84"/>
      <c r="EQS13" s="84"/>
      <c r="EQT13" s="84"/>
      <c r="EQU13" s="84"/>
      <c r="EQV13" s="84"/>
      <c r="EQW13" s="84"/>
      <c r="EQX13" s="84"/>
      <c r="EQY13" s="84"/>
      <c r="EQZ13" s="84"/>
      <c r="ERA13" s="84"/>
      <c r="ERB13" s="84"/>
      <c r="ERC13" s="84"/>
      <c r="ERD13" s="84"/>
      <c r="ERE13" s="84"/>
      <c r="ERF13" s="84"/>
      <c r="ERG13" s="84"/>
      <c r="ERH13" s="84"/>
      <c r="ERI13" s="84"/>
      <c r="ERJ13" s="84"/>
      <c r="ERK13" s="84"/>
      <c r="ERL13" s="84"/>
      <c r="ERM13" s="84"/>
      <c r="ERN13" s="84"/>
      <c r="ERO13" s="84"/>
      <c r="ERP13" s="84"/>
      <c r="ERQ13" s="84"/>
      <c r="ERR13" s="84"/>
      <c r="ERS13" s="84"/>
      <c r="ERT13" s="84"/>
      <c r="ERU13" s="84"/>
      <c r="ERV13" s="84"/>
      <c r="ERW13" s="84"/>
      <c r="ERX13" s="84"/>
      <c r="ERY13" s="84"/>
      <c r="ERZ13" s="84"/>
      <c r="ESA13" s="84"/>
      <c r="ESB13" s="84"/>
      <c r="ESC13" s="84"/>
      <c r="ESD13" s="84"/>
      <c r="ESE13" s="84"/>
      <c r="ESF13" s="84"/>
      <c r="ESG13" s="84"/>
      <c r="ESH13" s="84"/>
      <c r="ESI13" s="84"/>
      <c r="ESJ13" s="84"/>
      <c r="ESK13" s="84"/>
      <c r="ESL13" s="84"/>
      <c r="ESM13" s="84"/>
      <c r="ESN13" s="84"/>
      <c r="ESO13" s="84"/>
      <c r="ESP13" s="84"/>
      <c r="ESQ13" s="84"/>
      <c r="ESR13" s="84"/>
      <c r="ESS13" s="84"/>
      <c r="EST13" s="84"/>
      <c r="ESU13" s="84"/>
      <c r="ESV13" s="84"/>
      <c r="ESW13" s="84"/>
      <c r="ESX13" s="84"/>
      <c r="ESY13" s="84"/>
      <c r="ESZ13" s="84"/>
      <c r="ETA13" s="84"/>
      <c r="ETB13" s="84"/>
      <c r="ETC13" s="84"/>
      <c r="ETD13" s="84"/>
      <c r="ETE13" s="84"/>
      <c r="ETF13" s="84"/>
      <c r="ETG13" s="84"/>
      <c r="ETH13" s="84"/>
      <c r="ETI13" s="84"/>
      <c r="ETJ13" s="84"/>
      <c r="ETK13" s="84"/>
      <c r="ETL13" s="84"/>
      <c r="ETM13" s="84"/>
      <c r="ETN13" s="84"/>
      <c r="ETO13" s="84"/>
      <c r="ETP13" s="84"/>
      <c r="ETQ13" s="84"/>
      <c r="ETR13" s="84"/>
      <c r="ETS13" s="84"/>
      <c r="ETT13" s="84"/>
      <c r="ETU13" s="84"/>
      <c r="ETV13" s="84"/>
      <c r="ETW13" s="84"/>
      <c r="ETX13" s="84"/>
      <c r="ETY13" s="84"/>
      <c r="ETZ13" s="84"/>
      <c r="EUA13" s="84"/>
      <c r="EUB13" s="84"/>
      <c r="EUC13" s="84"/>
      <c r="EUD13" s="84"/>
      <c r="EUE13" s="84"/>
      <c r="EUF13" s="84"/>
      <c r="EUG13" s="84"/>
      <c r="EUH13" s="84"/>
      <c r="EUI13" s="84"/>
      <c r="EUJ13" s="84"/>
      <c r="EUK13" s="84"/>
      <c r="EUL13" s="84"/>
      <c r="EUM13" s="84"/>
      <c r="EUN13" s="84"/>
      <c r="EUO13" s="84"/>
      <c r="EUP13" s="84"/>
      <c r="EUQ13" s="84"/>
      <c r="EUR13" s="84"/>
      <c r="EUS13" s="84"/>
      <c r="EUT13" s="84"/>
      <c r="EUU13" s="84"/>
      <c r="EUV13" s="84"/>
      <c r="EUW13" s="84"/>
      <c r="EUX13" s="84"/>
      <c r="EUY13" s="84"/>
      <c r="EUZ13" s="84"/>
      <c r="EVA13" s="84"/>
      <c r="EVB13" s="84"/>
      <c r="EVC13" s="84"/>
      <c r="EVD13" s="84"/>
      <c r="EVE13" s="84"/>
      <c r="EVF13" s="84"/>
      <c r="EVG13" s="84"/>
      <c r="EVH13" s="84"/>
      <c r="EVI13" s="84"/>
      <c r="EVJ13" s="84"/>
      <c r="EVK13" s="84"/>
      <c r="EVL13" s="84"/>
      <c r="EVM13" s="84"/>
      <c r="EVN13" s="84"/>
      <c r="EVO13" s="84"/>
      <c r="EVP13" s="84"/>
      <c r="EVQ13" s="84"/>
      <c r="EVR13" s="84"/>
      <c r="EVS13" s="84"/>
      <c r="EVT13" s="84"/>
      <c r="EVU13" s="84"/>
      <c r="EVV13" s="84"/>
      <c r="EVW13" s="84"/>
      <c r="EVX13" s="84"/>
      <c r="EVY13" s="84"/>
      <c r="EVZ13" s="84"/>
      <c r="EWA13" s="84"/>
      <c r="EWB13" s="84"/>
      <c r="EWC13" s="84"/>
      <c r="EWD13" s="84"/>
      <c r="EWE13" s="84"/>
      <c r="EWF13" s="84"/>
      <c r="EWG13" s="84"/>
      <c r="EWH13" s="84"/>
      <c r="EWI13" s="84"/>
      <c r="EWJ13" s="84"/>
      <c r="EWK13" s="84"/>
      <c r="EWL13" s="84"/>
      <c r="EWM13" s="84"/>
      <c r="EWN13" s="84"/>
      <c r="EWO13" s="84"/>
      <c r="EWP13" s="84"/>
      <c r="EWQ13" s="84"/>
      <c r="EWR13" s="84"/>
      <c r="EWS13" s="84"/>
      <c r="EWT13" s="84"/>
      <c r="EWU13" s="84"/>
      <c r="EWV13" s="84"/>
      <c r="EWW13" s="84"/>
      <c r="EWX13" s="84"/>
      <c r="EWY13" s="84"/>
      <c r="EWZ13" s="84"/>
      <c r="EXA13" s="84"/>
      <c r="EXB13" s="84"/>
      <c r="EXC13" s="84"/>
      <c r="EXD13" s="84"/>
      <c r="EXE13" s="84"/>
      <c r="EXF13" s="84"/>
      <c r="EXG13" s="84"/>
      <c r="EXH13" s="84"/>
      <c r="EXI13" s="84"/>
      <c r="EXJ13" s="84"/>
      <c r="EXK13" s="84"/>
      <c r="EXL13" s="84"/>
      <c r="EXM13" s="84"/>
      <c r="EXN13" s="84"/>
      <c r="EXO13" s="84"/>
      <c r="EXP13" s="84"/>
      <c r="EXQ13" s="84"/>
      <c r="EXR13" s="84"/>
      <c r="EXS13" s="84"/>
      <c r="EXT13" s="84"/>
      <c r="EXU13" s="84"/>
      <c r="EXV13" s="84"/>
      <c r="EXW13" s="84"/>
      <c r="EXX13" s="84"/>
      <c r="EXY13" s="84"/>
      <c r="EXZ13" s="84"/>
      <c r="EYA13" s="84"/>
      <c r="EYB13" s="84"/>
      <c r="EYC13" s="84"/>
      <c r="EYD13" s="84"/>
      <c r="EYE13" s="84"/>
      <c r="EYF13" s="84"/>
      <c r="EYG13" s="84"/>
      <c r="EYH13" s="84"/>
      <c r="EYI13" s="84"/>
      <c r="EYJ13" s="84"/>
      <c r="EYK13" s="84"/>
      <c r="EYL13" s="84"/>
      <c r="EYM13" s="84"/>
      <c r="EYN13" s="84"/>
      <c r="EYO13" s="84"/>
      <c r="EYP13" s="84"/>
      <c r="EYQ13" s="84"/>
      <c r="EYR13" s="84"/>
      <c r="EYS13" s="84"/>
      <c r="EYT13" s="84"/>
      <c r="EYU13" s="84"/>
      <c r="EYV13" s="84"/>
      <c r="EYW13" s="84"/>
      <c r="EYX13" s="84"/>
      <c r="EYY13" s="84"/>
      <c r="EYZ13" s="84"/>
      <c r="EZA13" s="84"/>
      <c r="EZB13" s="84"/>
      <c r="EZC13" s="84"/>
      <c r="EZD13" s="84"/>
      <c r="EZE13" s="84"/>
      <c r="EZF13" s="84"/>
      <c r="EZG13" s="84"/>
      <c r="EZH13" s="84"/>
      <c r="EZI13" s="84"/>
      <c r="EZJ13" s="84"/>
      <c r="EZK13" s="84"/>
      <c r="EZL13" s="84"/>
      <c r="EZM13" s="84"/>
      <c r="EZN13" s="84"/>
      <c r="EZO13" s="84"/>
      <c r="EZP13" s="84"/>
      <c r="EZQ13" s="84"/>
      <c r="EZR13" s="84"/>
      <c r="EZS13" s="84"/>
      <c r="EZT13" s="84"/>
      <c r="EZU13" s="84"/>
      <c r="EZV13" s="84"/>
      <c r="EZW13" s="84"/>
      <c r="EZX13" s="84"/>
      <c r="EZY13" s="84"/>
      <c r="EZZ13" s="84"/>
      <c r="FAA13" s="84"/>
      <c r="FAB13" s="84"/>
      <c r="FAC13" s="84"/>
      <c r="FAD13" s="84"/>
      <c r="FAE13" s="84"/>
      <c r="FAF13" s="84"/>
      <c r="FAG13" s="84"/>
      <c r="FAH13" s="84"/>
      <c r="FAI13" s="84"/>
      <c r="FAJ13" s="84"/>
      <c r="FAK13" s="84"/>
      <c r="FAL13" s="84"/>
      <c r="FAM13" s="84"/>
      <c r="FAN13" s="84"/>
      <c r="FAO13" s="84"/>
      <c r="FAP13" s="84"/>
      <c r="FAQ13" s="84"/>
      <c r="FAR13" s="84"/>
      <c r="FAS13" s="84"/>
      <c r="FAT13" s="84"/>
      <c r="FAU13" s="84"/>
      <c r="FAV13" s="84"/>
      <c r="FAW13" s="84"/>
      <c r="FAX13" s="84"/>
      <c r="FAY13" s="84"/>
      <c r="FAZ13" s="84"/>
      <c r="FBA13" s="84"/>
      <c r="FBB13" s="84"/>
      <c r="FBC13" s="84"/>
      <c r="FBD13" s="84"/>
      <c r="FBE13" s="84"/>
      <c r="FBF13" s="84"/>
      <c r="FBG13" s="84"/>
      <c r="FBH13" s="84"/>
      <c r="FBI13" s="84"/>
      <c r="FBJ13" s="84"/>
      <c r="FBK13" s="84"/>
      <c r="FBL13" s="84"/>
      <c r="FBM13" s="84"/>
      <c r="FBN13" s="84"/>
      <c r="FBO13" s="84"/>
      <c r="FBP13" s="84"/>
      <c r="FBQ13" s="84"/>
      <c r="FBR13" s="84"/>
      <c r="FBS13" s="84"/>
      <c r="FBT13" s="84"/>
      <c r="FBU13" s="84"/>
      <c r="FBV13" s="84"/>
      <c r="FBW13" s="84"/>
      <c r="FBX13" s="84"/>
      <c r="FBY13" s="84"/>
      <c r="FBZ13" s="84"/>
      <c r="FCA13" s="84"/>
      <c r="FCB13" s="84"/>
      <c r="FCC13" s="84"/>
      <c r="FCD13" s="84"/>
      <c r="FCE13" s="84"/>
      <c r="FCF13" s="84"/>
      <c r="FCG13" s="84"/>
      <c r="FCH13" s="84"/>
      <c r="FCI13" s="84"/>
      <c r="FCJ13" s="84"/>
      <c r="FCK13" s="84"/>
      <c r="FCL13" s="84"/>
      <c r="FCM13" s="84"/>
      <c r="FCN13" s="84"/>
      <c r="FCO13" s="84"/>
      <c r="FCP13" s="84"/>
      <c r="FCQ13" s="84"/>
      <c r="FCR13" s="84"/>
      <c r="FCS13" s="84"/>
      <c r="FCT13" s="84"/>
      <c r="FCU13" s="84"/>
      <c r="FCV13" s="84"/>
      <c r="FCW13" s="84"/>
      <c r="FCX13" s="84"/>
      <c r="FCY13" s="84"/>
      <c r="FCZ13" s="84"/>
      <c r="FDA13" s="84"/>
      <c r="FDB13" s="84"/>
      <c r="FDC13" s="84"/>
      <c r="FDD13" s="84"/>
      <c r="FDE13" s="84"/>
      <c r="FDF13" s="84"/>
      <c r="FDG13" s="84"/>
      <c r="FDH13" s="84"/>
      <c r="FDI13" s="84"/>
      <c r="FDJ13" s="84"/>
      <c r="FDK13" s="84"/>
      <c r="FDL13" s="84"/>
      <c r="FDM13" s="84"/>
      <c r="FDN13" s="84"/>
      <c r="FDO13" s="84"/>
      <c r="FDP13" s="84"/>
      <c r="FDQ13" s="84"/>
      <c r="FDR13" s="84"/>
      <c r="FDS13" s="84"/>
      <c r="FDT13" s="84"/>
      <c r="FDU13" s="84"/>
      <c r="FDV13" s="84"/>
      <c r="FDW13" s="84"/>
      <c r="FDX13" s="84"/>
      <c r="FDY13" s="84"/>
      <c r="FDZ13" s="84"/>
      <c r="FEA13" s="84"/>
      <c r="FEB13" s="84"/>
      <c r="FEC13" s="84"/>
      <c r="FED13" s="84"/>
      <c r="FEE13" s="84"/>
      <c r="FEF13" s="84"/>
      <c r="FEG13" s="84"/>
      <c r="FEH13" s="84"/>
      <c r="FEI13" s="84"/>
      <c r="FEJ13" s="84"/>
      <c r="FEK13" s="84"/>
      <c r="FEL13" s="84"/>
      <c r="FEM13" s="84"/>
      <c r="FEN13" s="84"/>
      <c r="FEO13" s="84"/>
      <c r="FEP13" s="84"/>
      <c r="FEQ13" s="84"/>
      <c r="FER13" s="84"/>
      <c r="FES13" s="84"/>
      <c r="FET13" s="84"/>
      <c r="FEU13" s="84"/>
      <c r="FEV13" s="84"/>
      <c r="FEW13" s="84"/>
      <c r="FEX13" s="84"/>
      <c r="FEY13" s="84"/>
      <c r="FEZ13" s="84"/>
      <c r="FFA13" s="84"/>
      <c r="FFB13" s="84"/>
      <c r="FFC13" s="84"/>
      <c r="FFD13" s="84"/>
      <c r="FFE13" s="84"/>
      <c r="FFF13" s="84"/>
      <c r="FFG13" s="84"/>
      <c r="FFH13" s="84"/>
      <c r="FFI13" s="84"/>
      <c r="FFJ13" s="84"/>
      <c r="FFK13" s="84"/>
      <c r="FFL13" s="84"/>
      <c r="FFM13" s="84"/>
      <c r="FFN13" s="84"/>
      <c r="FFO13" s="84"/>
      <c r="FFP13" s="84"/>
      <c r="FFQ13" s="84"/>
      <c r="FFR13" s="84"/>
      <c r="FFS13" s="84"/>
      <c r="FFT13" s="84"/>
      <c r="FFU13" s="84"/>
      <c r="FFV13" s="84"/>
      <c r="FFW13" s="84"/>
      <c r="FFX13" s="84"/>
      <c r="FFY13" s="84"/>
      <c r="FFZ13" s="84"/>
      <c r="FGA13" s="84"/>
      <c r="FGB13" s="84"/>
      <c r="FGC13" s="84"/>
      <c r="FGD13" s="84"/>
      <c r="FGE13" s="84"/>
      <c r="FGF13" s="84"/>
      <c r="FGG13" s="84"/>
      <c r="FGH13" s="84"/>
      <c r="FGI13" s="84"/>
      <c r="FGJ13" s="84"/>
      <c r="FGK13" s="84"/>
      <c r="FGL13" s="84"/>
      <c r="FGM13" s="84"/>
      <c r="FGN13" s="84"/>
      <c r="FGO13" s="84"/>
      <c r="FGP13" s="84"/>
      <c r="FGQ13" s="84"/>
      <c r="FGR13" s="84"/>
      <c r="FGS13" s="84"/>
      <c r="FGT13" s="84"/>
      <c r="FGU13" s="84"/>
      <c r="FGV13" s="84"/>
      <c r="FGW13" s="84"/>
      <c r="FGX13" s="84"/>
      <c r="FGY13" s="84"/>
      <c r="FGZ13" s="84"/>
      <c r="FHA13" s="84"/>
      <c r="FHB13" s="84"/>
      <c r="FHC13" s="84"/>
      <c r="FHD13" s="84"/>
      <c r="FHE13" s="84"/>
      <c r="FHF13" s="84"/>
      <c r="FHG13" s="84"/>
      <c r="FHH13" s="84"/>
      <c r="FHI13" s="84"/>
      <c r="FHJ13" s="84"/>
      <c r="FHK13" s="84"/>
      <c r="FHL13" s="84"/>
      <c r="FHM13" s="84"/>
      <c r="FHN13" s="84"/>
      <c r="FHO13" s="84"/>
      <c r="FHP13" s="84"/>
      <c r="FHQ13" s="84"/>
      <c r="FHR13" s="84"/>
      <c r="FHS13" s="84"/>
      <c r="FHT13" s="84"/>
      <c r="FHU13" s="84"/>
      <c r="FHV13" s="84"/>
      <c r="FHW13" s="84"/>
      <c r="FHX13" s="84"/>
      <c r="FHY13" s="84"/>
      <c r="FHZ13" s="84"/>
      <c r="FIA13" s="84"/>
      <c r="FIB13" s="84"/>
      <c r="FIC13" s="84"/>
      <c r="FID13" s="84"/>
      <c r="FIE13" s="84"/>
      <c r="FIF13" s="84"/>
      <c r="FIG13" s="84"/>
      <c r="FIH13" s="84"/>
      <c r="FII13" s="84"/>
      <c r="FIJ13" s="84"/>
      <c r="FIK13" s="84"/>
      <c r="FIL13" s="84"/>
      <c r="FIM13" s="84"/>
      <c r="FIN13" s="84"/>
      <c r="FIO13" s="84"/>
      <c r="FIP13" s="84"/>
      <c r="FIQ13" s="84"/>
      <c r="FIR13" s="84"/>
      <c r="FIS13" s="84"/>
      <c r="FIT13" s="84"/>
      <c r="FIU13" s="84"/>
      <c r="FIV13" s="84"/>
      <c r="FIW13" s="84"/>
      <c r="FIX13" s="84"/>
      <c r="FIY13" s="84"/>
      <c r="FIZ13" s="84"/>
      <c r="FJA13" s="84"/>
      <c r="FJB13" s="84"/>
      <c r="FJC13" s="84"/>
      <c r="FJD13" s="84"/>
      <c r="FJE13" s="84"/>
      <c r="FJF13" s="84"/>
      <c r="FJG13" s="84"/>
      <c r="FJH13" s="84"/>
      <c r="FJI13" s="84"/>
      <c r="FJJ13" s="84"/>
      <c r="FJK13" s="84"/>
      <c r="FJL13" s="84"/>
      <c r="FJM13" s="84"/>
      <c r="FJN13" s="84"/>
      <c r="FJO13" s="84"/>
      <c r="FJP13" s="84"/>
      <c r="FJQ13" s="84"/>
      <c r="FJR13" s="84"/>
      <c r="FJS13" s="84"/>
      <c r="FJT13" s="84"/>
      <c r="FJU13" s="84"/>
      <c r="FJV13" s="84"/>
      <c r="FJW13" s="84"/>
      <c r="FJX13" s="84"/>
      <c r="FJY13" s="84"/>
      <c r="FJZ13" s="84"/>
      <c r="FKA13" s="84"/>
      <c r="FKB13" s="84"/>
      <c r="FKC13" s="84"/>
      <c r="FKD13" s="84"/>
      <c r="FKE13" s="84"/>
      <c r="FKF13" s="84"/>
      <c r="FKG13" s="84"/>
      <c r="FKH13" s="84"/>
      <c r="FKI13" s="84"/>
      <c r="FKJ13" s="84"/>
      <c r="FKK13" s="84"/>
      <c r="FKL13" s="84"/>
      <c r="FKM13" s="84"/>
      <c r="FKN13" s="84"/>
      <c r="FKO13" s="84"/>
      <c r="FKP13" s="84"/>
      <c r="FKQ13" s="84"/>
      <c r="FKR13" s="84"/>
      <c r="FKS13" s="84"/>
      <c r="FKT13" s="84"/>
      <c r="FKU13" s="84"/>
      <c r="FKV13" s="84"/>
      <c r="FKW13" s="84"/>
      <c r="FKX13" s="84"/>
      <c r="FKY13" s="84"/>
      <c r="FKZ13" s="84"/>
      <c r="FLA13" s="84"/>
      <c r="FLB13" s="84"/>
      <c r="FLC13" s="84"/>
      <c r="FLD13" s="84"/>
      <c r="FLE13" s="84"/>
      <c r="FLF13" s="84"/>
      <c r="FLG13" s="84"/>
      <c r="FLH13" s="84"/>
      <c r="FLI13" s="84"/>
      <c r="FLJ13" s="84"/>
      <c r="FLK13" s="84"/>
      <c r="FLL13" s="84"/>
      <c r="FLM13" s="84"/>
      <c r="FLN13" s="84"/>
      <c r="FLO13" s="84"/>
      <c r="FLP13" s="84"/>
      <c r="FLQ13" s="84"/>
      <c r="FLR13" s="84"/>
      <c r="FLS13" s="84"/>
      <c r="FLT13" s="84"/>
      <c r="FLU13" s="84"/>
      <c r="FLV13" s="84"/>
      <c r="FLW13" s="84"/>
      <c r="FLX13" s="84"/>
      <c r="FLY13" s="84"/>
      <c r="FLZ13" s="84"/>
      <c r="FMA13" s="84"/>
      <c r="FMB13" s="84"/>
      <c r="FMC13" s="84"/>
      <c r="FMD13" s="84"/>
      <c r="FME13" s="84"/>
      <c r="FMF13" s="84"/>
      <c r="FMG13" s="84"/>
      <c r="FMH13" s="84"/>
      <c r="FMI13" s="84"/>
      <c r="FMJ13" s="84"/>
      <c r="FMK13" s="84"/>
      <c r="FML13" s="84"/>
      <c r="FMM13" s="84"/>
      <c r="FMN13" s="84"/>
      <c r="FMO13" s="84"/>
      <c r="FMP13" s="84"/>
      <c r="FMQ13" s="84"/>
      <c r="FMR13" s="84"/>
      <c r="FMS13" s="84"/>
      <c r="FMT13" s="84"/>
      <c r="FMU13" s="84"/>
      <c r="FMV13" s="84"/>
      <c r="FMW13" s="84"/>
      <c r="FMX13" s="84"/>
      <c r="FMY13" s="84"/>
      <c r="FMZ13" s="84"/>
      <c r="FNA13" s="84"/>
      <c r="FNB13" s="84"/>
      <c r="FNC13" s="84"/>
      <c r="FND13" s="84"/>
      <c r="FNE13" s="84"/>
      <c r="FNF13" s="84"/>
      <c r="FNG13" s="84"/>
      <c r="FNH13" s="84"/>
      <c r="FNI13" s="84"/>
      <c r="FNJ13" s="84"/>
      <c r="FNK13" s="84"/>
      <c r="FNL13" s="84"/>
      <c r="FNM13" s="84"/>
      <c r="FNN13" s="84"/>
      <c r="FNO13" s="84"/>
      <c r="FNP13" s="84"/>
      <c r="FNQ13" s="84"/>
      <c r="FNR13" s="84"/>
      <c r="FNS13" s="84"/>
      <c r="FNT13" s="84"/>
      <c r="FNU13" s="84"/>
      <c r="FNV13" s="84"/>
      <c r="FNW13" s="84"/>
      <c r="FNX13" s="84"/>
      <c r="FNY13" s="84"/>
      <c r="FNZ13" s="84"/>
      <c r="FOA13" s="84"/>
      <c r="FOB13" s="84"/>
      <c r="FOC13" s="84"/>
      <c r="FOD13" s="84"/>
      <c r="FOE13" s="84"/>
      <c r="FOF13" s="84"/>
      <c r="FOG13" s="84"/>
      <c r="FOH13" s="84"/>
      <c r="FOI13" s="84"/>
      <c r="FOJ13" s="84"/>
      <c r="FOK13" s="84"/>
      <c r="FOL13" s="84"/>
      <c r="FOM13" s="84"/>
      <c r="FON13" s="84"/>
      <c r="FOO13" s="84"/>
      <c r="FOP13" s="84"/>
      <c r="FOQ13" s="84"/>
      <c r="FOR13" s="84"/>
      <c r="FOS13" s="84"/>
      <c r="FOT13" s="84"/>
      <c r="FOU13" s="84"/>
      <c r="FOV13" s="84"/>
      <c r="FOW13" s="84"/>
      <c r="FOX13" s="84"/>
      <c r="FOY13" s="84"/>
      <c r="FOZ13" s="84"/>
      <c r="FPA13" s="84"/>
      <c r="FPB13" s="84"/>
      <c r="FPC13" s="84"/>
      <c r="FPD13" s="84"/>
      <c r="FPE13" s="84"/>
      <c r="FPF13" s="84"/>
      <c r="FPG13" s="84"/>
      <c r="FPH13" s="84"/>
      <c r="FPI13" s="84"/>
      <c r="FPJ13" s="84"/>
      <c r="FPK13" s="84"/>
      <c r="FPL13" s="84"/>
      <c r="FPM13" s="84"/>
      <c r="FPN13" s="84"/>
      <c r="FPO13" s="84"/>
      <c r="FPP13" s="84"/>
      <c r="FPQ13" s="84"/>
      <c r="FPR13" s="84"/>
      <c r="FPS13" s="84"/>
      <c r="FPT13" s="84"/>
      <c r="FPU13" s="84"/>
      <c r="FPV13" s="84"/>
      <c r="FPW13" s="84"/>
      <c r="FPX13" s="84"/>
      <c r="FPY13" s="84"/>
      <c r="FPZ13" s="84"/>
      <c r="FQA13" s="84"/>
      <c r="FQB13" s="84"/>
      <c r="FQC13" s="84"/>
      <c r="FQD13" s="84"/>
      <c r="FQE13" s="84"/>
      <c r="FQF13" s="84"/>
      <c r="FQG13" s="84"/>
      <c r="FQH13" s="84"/>
      <c r="FQI13" s="84"/>
      <c r="FQJ13" s="84"/>
      <c r="FQK13" s="84"/>
      <c r="FQL13" s="84"/>
      <c r="FQM13" s="84"/>
      <c r="FQN13" s="84"/>
      <c r="FQO13" s="84"/>
      <c r="FQP13" s="84"/>
      <c r="FQQ13" s="84"/>
      <c r="FQR13" s="84"/>
      <c r="FQS13" s="84"/>
      <c r="FQT13" s="84"/>
      <c r="FQU13" s="84"/>
      <c r="FQV13" s="84"/>
      <c r="FQW13" s="84"/>
      <c r="FQX13" s="84"/>
      <c r="FQY13" s="84"/>
      <c r="FQZ13" s="84"/>
      <c r="FRA13" s="84"/>
      <c r="FRB13" s="84"/>
      <c r="FRC13" s="84"/>
      <c r="FRD13" s="84"/>
      <c r="FRE13" s="84"/>
      <c r="FRF13" s="84"/>
      <c r="FRG13" s="84"/>
      <c r="FRH13" s="84"/>
      <c r="FRI13" s="84"/>
      <c r="FRJ13" s="84"/>
      <c r="FRK13" s="84"/>
      <c r="FRL13" s="84"/>
      <c r="FRM13" s="84"/>
      <c r="FRN13" s="84"/>
      <c r="FRO13" s="84"/>
      <c r="FRP13" s="84"/>
      <c r="FRQ13" s="84"/>
      <c r="FRR13" s="84"/>
      <c r="FRS13" s="84"/>
      <c r="FRT13" s="84"/>
      <c r="FRU13" s="84"/>
      <c r="FRV13" s="84"/>
      <c r="FRW13" s="84"/>
      <c r="FRX13" s="84"/>
      <c r="FRY13" s="84"/>
      <c r="FRZ13" s="84"/>
      <c r="FSA13" s="84"/>
      <c r="FSB13" s="84"/>
      <c r="FSC13" s="84"/>
      <c r="FSD13" s="84"/>
      <c r="FSE13" s="84"/>
      <c r="FSF13" s="84"/>
      <c r="FSG13" s="84"/>
      <c r="FSH13" s="84"/>
      <c r="FSI13" s="84"/>
      <c r="FSJ13" s="84"/>
      <c r="FSK13" s="84"/>
      <c r="FSL13" s="84"/>
      <c r="FSM13" s="84"/>
      <c r="FSN13" s="84"/>
      <c r="FSO13" s="84"/>
      <c r="FSP13" s="84"/>
      <c r="FSQ13" s="84"/>
      <c r="FSR13" s="84"/>
      <c r="FSS13" s="84"/>
      <c r="FST13" s="84"/>
      <c r="FSU13" s="84"/>
      <c r="FSV13" s="84"/>
      <c r="FSW13" s="84"/>
      <c r="FSX13" s="84"/>
      <c r="FSY13" s="84"/>
      <c r="FSZ13" s="84"/>
      <c r="FTA13" s="84"/>
      <c r="FTB13" s="84"/>
      <c r="FTC13" s="84"/>
      <c r="FTD13" s="84"/>
      <c r="FTE13" s="84"/>
      <c r="FTF13" s="84"/>
      <c r="FTG13" s="84"/>
      <c r="FTH13" s="84"/>
      <c r="FTI13" s="84"/>
      <c r="FTJ13" s="84"/>
      <c r="FTK13" s="84"/>
      <c r="FTL13" s="84"/>
      <c r="FTM13" s="84"/>
      <c r="FTN13" s="84"/>
      <c r="FTO13" s="84"/>
      <c r="FTP13" s="84"/>
      <c r="FTQ13" s="84"/>
      <c r="FTR13" s="84"/>
      <c r="FTS13" s="84"/>
      <c r="FTT13" s="84"/>
      <c r="FTU13" s="84"/>
      <c r="FTV13" s="84"/>
      <c r="FTW13" s="84"/>
      <c r="FTX13" s="84"/>
      <c r="FTY13" s="84"/>
      <c r="FTZ13" s="84"/>
      <c r="FUA13" s="84"/>
      <c r="FUB13" s="84"/>
      <c r="FUC13" s="84"/>
      <c r="FUD13" s="84"/>
      <c r="FUE13" s="84"/>
      <c r="FUF13" s="84"/>
      <c r="FUG13" s="84"/>
      <c r="FUH13" s="84"/>
      <c r="FUI13" s="84"/>
      <c r="FUJ13" s="84"/>
      <c r="FUK13" s="84"/>
      <c r="FUL13" s="84"/>
      <c r="FUM13" s="84"/>
      <c r="FUN13" s="84"/>
      <c r="FUO13" s="84"/>
      <c r="FUP13" s="84"/>
      <c r="FUQ13" s="84"/>
      <c r="FUR13" s="84"/>
      <c r="FUS13" s="84"/>
      <c r="FUT13" s="84"/>
      <c r="FUU13" s="84"/>
      <c r="FUV13" s="84"/>
      <c r="FUW13" s="84"/>
      <c r="FUX13" s="84"/>
      <c r="FUY13" s="84"/>
      <c r="FUZ13" s="84"/>
      <c r="FVA13" s="84"/>
      <c r="FVB13" s="84"/>
      <c r="FVC13" s="84"/>
      <c r="FVD13" s="84"/>
      <c r="FVE13" s="84"/>
      <c r="FVF13" s="84"/>
      <c r="FVG13" s="84"/>
      <c r="FVH13" s="84"/>
      <c r="FVI13" s="84"/>
      <c r="FVJ13" s="84"/>
      <c r="FVK13" s="84"/>
      <c r="FVL13" s="84"/>
      <c r="FVM13" s="84"/>
      <c r="FVN13" s="84"/>
      <c r="FVO13" s="84"/>
      <c r="FVP13" s="84"/>
      <c r="FVQ13" s="84"/>
      <c r="FVR13" s="84"/>
      <c r="FVS13" s="84"/>
      <c r="FVT13" s="84"/>
      <c r="FVU13" s="84"/>
      <c r="FVV13" s="84"/>
      <c r="FVW13" s="84"/>
      <c r="FVX13" s="84"/>
      <c r="FVY13" s="84"/>
      <c r="FVZ13" s="84"/>
      <c r="FWA13" s="84"/>
      <c r="FWB13" s="84"/>
      <c r="FWC13" s="84"/>
      <c r="FWD13" s="84"/>
      <c r="FWE13" s="84"/>
      <c r="FWF13" s="84"/>
      <c r="FWG13" s="84"/>
      <c r="FWH13" s="84"/>
      <c r="FWI13" s="84"/>
      <c r="FWJ13" s="84"/>
      <c r="FWK13" s="84"/>
      <c r="FWL13" s="84"/>
      <c r="FWM13" s="84"/>
      <c r="FWN13" s="84"/>
      <c r="FWO13" s="84"/>
      <c r="FWP13" s="84"/>
      <c r="FWQ13" s="84"/>
      <c r="FWR13" s="84"/>
      <c r="FWS13" s="84"/>
      <c r="FWT13" s="84"/>
      <c r="FWU13" s="84"/>
      <c r="FWV13" s="84"/>
      <c r="FWW13" s="84"/>
      <c r="FWX13" s="84"/>
      <c r="FWY13" s="84"/>
      <c r="FWZ13" s="84"/>
      <c r="FXA13" s="84"/>
      <c r="FXB13" s="84"/>
      <c r="FXC13" s="84"/>
      <c r="FXD13" s="84"/>
      <c r="FXE13" s="84"/>
      <c r="FXF13" s="84"/>
      <c r="FXG13" s="84"/>
      <c r="FXH13" s="84"/>
      <c r="FXI13" s="84"/>
      <c r="FXJ13" s="84"/>
      <c r="FXK13" s="84"/>
      <c r="FXL13" s="84"/>
      <c r="FXM13" s="84"/>
      <c r="FXN13" s="84"/>
      <c r="FXO13" s="84"/>
      <c r="FXP13" s="84"/>
      <c r="FXQ13" s="84"/>
      <c r="FXR13" s="84"/>
      <c r="FXS13" s="84"/>
      <c r="FXT13" s="84"/>
      <c r="FXU13" s="84"/>
      <c r="FXV13" s="84"/>
      <c r="FXW13" s="84"/>
      <c r="FXX13" s="84"/>
      <c r="FXY13" s="84"/>
      <c r="FXZ13" s="84"/>
      <c r="FYA13" s="84"/>
      <c r="FYB13" s="84"/>
      <c r="FYC13" s="84"/>
      <c r="FYD13" s="84"/>
      <c r="FYE13" s="84"/>
      <c r="FYF13" s="84"/>
      <c r="FYG13" s="84"/>
      <c r="FYH13" s="84"/>
      <c r="FYI13" s="84"/>
      <c r="FYJ13" s="84"/>
      <c r="FYK13" s="84"/>
      <c r="FYL13" s="84"/>
      <c r="FYM13" s="84"/>
      <c r="FYN13" s="84"/>
      <c r="FYO13" s="84"/>
      <c r="FYP13" s="84"/>
      <c r="FYQ13" s="84"/>
      <c r="FYR13" s="84"/>
      <c r="FYS13" s="84"/>
      <c r="FYT13" s="84"/>
      <c r="FYU13" s="84"/>
      <c r="FYV13" s="84"/>
      <c r="FYW13" s="84"/>
      <c r="FYX13" s="84"/>
      <c r="FYY13" s="84"/>
      <c r="FYZ13" s="84"/>
      <c r="FZA13" s="84"/>
      <c r="FZB13" s="84"/>
      <c r="FZC13" s="84"/>
      <c r="FZD13" s="84"/>
      <c r="FZE13" s="84"/>
      <c r="FZF13" s="84"/>
      <c r="FZG13" s="84"/>
      <c r="FZH13" s="84"/>
      <c r="FZI13" s="84"/>
      <c r="FZJ13" s="84"/>
      <c r="FZK13" s="84"/>
      <c r="FZL13" s="84"/>
      <c r="FZM13" s="84"/>
      <c r="FZN13" s="84"/>
      <c r="FZO13" s="84"/>
      <c r="FZP13" s="84"/>
      <c r="FZQ13" s="84"/>
      <c r="FZR13" s="84"/>
      <c r="FZS13" s="84"/>
      <c r="FZT13" s="84"/>
      <c r="FZU13" s="84"/>
      <c r="FZV13" s="84"/>
      <c r="FZW13" s="84"/>
      <c r="FZX13" s="84"/>
      <c r="FZY13" s="84"/>
      <c r="FZZ13" s="84"/>
      <c r="GAA13" s="84"/>
      <c r="GAB13" s="84"/>
      <c r="GAC13" s="84"/>
      <c r="GAD13" s="84"/>
      <c r="GAE13" s="84"/>
      <c r="GAF13" s="84"/>
      <c r="GAG13" s="84"/>
      <c r="GAH13" s="84"/>
      <c r="GAI13" s="84"/>
      <c r="GAJ13" s="84"/>
      <c r="GAK13" s="84"/>
      <c r="GAL13" s="84"/>
      <c r="GAM13" s="84"/>
      <c r="GAN13" s="84"/>
      <c r="GAO13" s="84"/>
      <c r="GAP13" s="84"/>
      <c r="GAQ13" s="84"/>
      <c r="GAR13" s="84"/>
      <c r="GAS13" s="84"/>
      <c r="GAT13" s="84"/>
      <c r="GAU13" s="84"/>
      <c r="GAV13" s="84"/>
      <c r="GAW13" s="84"/>
      <c r="GAX13" s="84"/>
      <c r="GAY13" s="84"/>
      <c r="GAZ13" s="84"/>
      <c r="GBA13" s="84"/>
      <c r="GBB13" s="84"/>
      <c r="GBC13" s="84"/>
      <c r="GBD13" s="84"/>
      <c r="GBE13" s="84"/>
      <c r="GBF13" s="84"/>
      <c r="GBG13" s="84"/>
      <c r="GBH13" s="84"/>
      <c r="GBI13" s="84"/>
      <c r="GBJ13" s="84"/>
      <c r="GBK13" s="84"/>
      <c r="GBL13" s="84"/>
      <c r="GBM13" s="84"/>
      <c r="GBN13" s="84"/>
      <c r="GBO13" s="84"/>
      <c r="GBP13" s="84"/>
      <c r="GBQ13" s="84"/>
      <c r="GBR13" s="84"/>
      <c r="GBS13" s="84"/>
      <c r="GBT13" s="84"/>
      <c r="GBU13" s="84"/>
      <c r="GBV13" s="84"/>
      <c r="GBW13" s="84"/>
      <c r="GBX13" s="84"/>
      <c r="GBY13" s="84"/>
      <c r="GBZ13" s="84"/>
      <c r="GCA13" s="84"/>
      <c r="GCB13" s="84"/>
      <c r="GCC13" s="84"/>
      <c r="GCD13" s="84"/>
      <c r="GCE13" s="84"/>
      <c r="GCF13" s="84"/>
      <c r="GCG13" s="84"/>
      <c r="GCH13" s="84"/>
      <c r="GCI13" s="84"/>
      <c r="GCJ13" s="84"/>
      <c r="GCK13" s="84"/>
      <c r="GCL13" s="84"/>
      <c r="GCM13" s="84"/>
      <c r="GCN13" s="84"/>
      <c r="GCO13" s="84"/>
      <c r="GCP13" s="84"/>
      <c r="GCQ13" s="84"/>
      <c r="GCR13" s="84"/>
      <c r="GCS13" s="84"/>
      <c r="GCT13" s="84"/>
      <c r="GCU13" s="84"/>
      <c r="GCV13" s="84"/>
      <c r="GCW13" s="84"/>
      <c r="GCX13" s="84"/>
      <c r="GCY13" s="84"/>
      <c r="GCZ13" s="84"/>
      <c r="GDA13" s="84"/>
      <c r="GDB13" s="84"/>
      <c r="GDC13" s="84"/>
      <c r="GDD13" s="84"/>
      <c r="GDE13" s="84"/>
      <c r="GDF13" s="84"/>
      <c r="GDG13" s="84"/>
      <c r="GDH13" s="84"/>
      <c r="GDI13" s="84"/>
      <c r="GDJ13" s="84"/>
      <c r="GDK13" s="84"/>
      <c r="GDL13" s="84"/>
      <c r="GDM13" s="84"/>
      <c r="GDN13" s="84"/>
      <c r="GDO13" s="84"/>
      <c r="GDP13" s="84"/>
      <c r="GDQ13" s="84"/>
      <c r="GDR13" s="84"/>
      <c r="GDS13" s="84"/>
      <c r="GDT13" s="84"/>
      <c r="GDU13" s="84"/>
      <c r="GDV13" s="84"/>
      <c r="GDW13" s="84"/>
      <c r="GDX13" s="84"/>
      <c r="GDY13" s="84"/>
      <c r="GDZ13" s="84"/>
      <c r="GEA13" s="84"/>
      <c r="GEB13" s="84"/>
      <c r="GEC13" s="84"/>
      <c r="GED13" s="84"/>
      <c r="GEE13" s="84"/>
      <c r="GEF13" s="84"/>
      <c r="GEG13" s="84"/>
      <c r="GEH13" s="84"/>
      <c r="GEI13" s="84"/>
      <c r="GEJ13" s="84"/>
      <c r="GEK13" s="84"/>
      <c r="GEL13" s="84"/>
      <c r="GEM13" s="84"/>
      <c r="GEN13" s="84"/>
      <c r="GEO13" s="84"/>
      <c r="GEP13" s="84"/>
      <c r="GEQ13" s="84"/>
      <c r="GER13" s="84"/>
      <c r="GES13" s="84"/>
      <c r="GET13" s="84"/>
      <c r="GEU13" s="84"/>
      <c r="GEV13" s="84"/>
      <c r="GEW13" s="84"/>
      <c r="GEX13" s="84"/>
      <c r="GEY13" s="84"/>
      <c r="GEZ13" s="84"/>
      <c r="GFA13" s="84"/>
      <c r="GFB13" s="84"/>
      <c r="GFC13" s="84"/>
      <c r="GFD13" s="84"/>
      <c r="GFE13" s="84"/>
      <c r="GFF13" s="84"/>
      <c r="GFG13" s="84"/>
      <c r="GFH13" s="84"/>
      <c r="GFI13" s="84"/>
      <c r="GFJ13" s="84"/>
      <c r="GFK13" s="84"/>
      <c r="GFL13" s="84"/>
      <c r="GFM13" s="84"/>
      <c r="GFN13" s="84"/>
      <c r="GFO13" s="84"/>
      <c r="GFP13" s="84"/>
      <c r="GFQ13" s="84"/>
      <c r="GFR13" s="84"/>
      <c r="GFS13" s="84"/>
      <c r="GFT13" s="84"/>
      <c r="GFU13" s="84"/>
      <c r="GFV13" s="84"/>
      <c r="GFW13" s="84"/>
      <c r="GFX13" s="84"/>
      <c r="GFY13" s="84"/>
      <c r="GFZ13" s="84"/>
      <c r="GGA13" s="84"/>
      <c r="GGB13" s="84"/>
      <c r="GGC13" s="84"/>
      <c r="GGD13" s="84"/>
      <c r="GGE13" s="84"/>
      <c r="GGF13" s="84"/>
      <c r="GGG13" s="84"/>
      <c r="GGH13" s="84"/>
      <c r="GGI13" s="84"/>
      <c r="GGJ13" s="84"/>
      <c r="GGK13" s="84"/>
      <c r="GGL13" s="84"/>
      <c r="GGM13" s="84"/>
      <c r="GGN13" s="84"/>
      <c r="GGO13" s="84"/>
      <c r="GGP13" s="84"/>
      <c r="GGQ13" s="84"/>
      <c r="GGR13" s="84"/>
      <c r="GGS13" s="84"/>
      <c r="GGT13" s="84"/>
      <c r="GGU13" s="84"/>
      <c r="GGV13" s="84"/>
      <c r="GGW13" s="84"/>
      <c r="GGX13" s="84"/>
      <c r="GGY13" s="84"/>
      <c r="GGZ13" s="84"/>
      <c r="GHA13" s="84"/>
      <c r="GHB13" s="84"/>
      <c r="GHC13" s="84"/>
      <c r="GHD13" s="84"/>
      <c r="GHE13" s="84"/>
      <c r="GHF13" s="84"/>
      <c r="GHG13" s="84"/>
      <c r="GHH13" s="84"/>
      <c r="GHI13" s="84"/>
      <c r="GHJ13" s="84"/>
      <c r="GHK13" s="84"/>
      <c r="GHL13" s="84"/>
      <c r="GHM13" s="84"/>
      <c r="GHN13" s="84"/>
      <c r="GHO13" s="84"/>
      <c r="GHP13" s="84"/>
      <c r="GHQ13" s="84"/>
      <c r="GHR13" s="84"/>
      <c r="GHS13" s="84"/>
      <c r="GHT13" s="84"/>
      <c r="GHU13" s="84"/>
      <c r="GHV13" s="84"/>
      <c r="GHW13" s="84"/>
      <c r="GHX13" s="84"/>
      <c r="GHY13" s="84"/>
      <c r="GHZ13" s="84"/>
      <c r="GIA13" s="84"/>
      <c r="GIB13" s="84"/>
      <c r="GIC13" s="84"/>
      <c r="GID13" s="84"/>
      <c r="GIE13" s="84"/>
      <c r="GIF13" s="84"/>
      <c r="GIG13" s="84"/>
      <c r="GIH13" s="84"/>
      <c r="GII13" s="84"/>
      <c r="GIJ13" s="84"/>
      <c r="GIK13" s="84"/>
      <c r="GIL13" s="84"/>
      <c r="GIM13" s="84"/>
      <c r="GIN13" s="84"/>
      <c r="GIO13" s="84"/>
      <c r="GIP13" s="84"/>
      <c r="GIQ13" s="84"/>
      <c r="GIR13" s="84"/>
      <c r="GIS13" s="84"/>
      <c r="GIT13" s="84"/>
      <c r="GIU13" s="84"/>
      <c r="GIV13" s="84"/>
      <c r="GIW13" s="84"/>
      <c r="GIX13" s="84"/>
      <c r="GIY13" s="84"/>
      <c r="GIZ13" s="84"/>
      <c r="GJA13" s="84"/>
      <c r="GJB13" s="84"/>
      <c r="GJC13" s="84"/>
      <c r="GJD13" s="84"/>
      <c r="GJE13" s="84"/>
      <c r="GJF13" s="84"/>
      <c r="GJG13" s="84"/>
      <c r="GJH13" s="84"/>
      <c r="GJI13" s="84"/>
      <c r="GJJ13" s="84"/>
      <c r="GJK13" s="84"/>
      <c r="GJL13" s="84"/>
      <c r="GJM13" s="84"/>
      <c r="GJN13" s="84"/>
      <c r="GJO13" s="84"/>
      <c r="GJP13" s="84"/>
      <c r="GJQ13" s="84"/>
      <c r="GJR13" s="84"/>
      <c r="GJS13" s="84"/>
      <c r="GJT13" s="84"/>
      <c r="GJU13" s="84"/>
      <c r="GJV13" s="84"/>
      <c r="GJW13" s="84"/>
      <c r="GJX13" s="84"/>
      <c r="GJY13" s="84"/>
      <c r="GJZ13" s="84"/>
      <c r="GKA13" s="84"/>
      <c r="GKB13" s="84"/>
      <c r="GKC13" s="84"/>
      <c r="GKD13" s="84"/>
      <c r="GKE13" s="84"/>
      <c r="GKF13" s="84"/>
      <c r="GKG13" s="84"/>
      <c r="GKH13" s="84"/>
      <c r="GKI13" s="84"/>
      <c r="GKJ13" s="84"/>
      <c r="GKK13" s="84"/>
      <c r="GKL13" s="84"/>
      <c r="GKM13" s="84"/>
      <c r="GKN13" s="84"/>
      <c r="GKO13" s="84"/>
      <c r="GKP13" s="84"/>
      <c r="GKQ13" s="84"/>
      <c r="GKR13" s="84"/>
      <c r="GKS13" s="84"/>
      <c r="GKT13" s="84"/>
      <c r="GKU13" s="84"/>
      <c r="GKV13" s="84"/>
      <c r="GKW13" s="84"/>
      <c r="GKX13" s="84"/>
      <c r="GKY13" s="84"/>
      <c r="GKZ13" s="84"/>
      <c r="GLA13" s="84"/>
      <c r="GLB13" s="84"/>
      <c r="GLC13" s="84"/>
      <c r="GLD13" s="84"/>
      <c r="GLE13" s="84"/>
      <c r="GLF13" s="84"/>
      <c r="GLG13" s="84"/>
      <c r="GLH13" s="84"/>
      <c r="GLI13" s="84"/>
      <c r="GLJ13" s="84"/>
      <c r="GLK13" s="84"/>
      <c r="GLL13" s="84"/>
      <c r="GLM13" s="84"/>
      <c r="GLN13" s="84"/>
      <c r="GLO13" s="84"/>
      <c r="GLP13" s="84"/>
      <c r="GLQ13" s="84"/>
      <c r="GLR13" s="84"/>
      <c r="GLS13" s="84"/>
      <c r="GLT13" s="84"/>
      <c r="GLU13" s="84"/>
      <c r="GLV13" s="84"/>
      <c r="GLW13" s="84"/>
      <c r="GLX13" s="84"/>
      <c r="GLY13" s="84"/>
      <c r="GLZ13" s="84"/>
      <c r="GMA13" s="84"/>
      <c r="GMB13" s="84"/>
      <c r="GMC13" s="84"/>
      <c r="GMD13" s="84"/>
      <c r="GME13" s="84"/>
      <c r="GMF13" s="84"/>
      <c r="GMG13" s="84"/>
      <c r="GMH13" s="84"/>
      <c r="GMI13" s="84"/>
      <c r="GMJ13" s="84"/>
      <c r="GMK13" s="84"/>
      <c r="GML13" s="84"/>
      <c r="GMM13" s="84"/>
      <c r="GMN13" s="84"/>
      <c r="GMO13" s="84"/>
      <c r="GMP13" s="84"/>
      <c r="GMQ13" s="84"/>
      <c r="GMR13" s="84"/>
      <c r="GMS13" s="84"/>
      <c r="GMT13" s="84"/>
      <c r="GMU13" s="84"/>
      <c r="GMV13" s="84"/>
      <c r="GMW13" s="84"/>
      <c r="GMX13" s="84"/>
      <c r="GMY13" s="84"/>
      <c r="GMZ13" s="84"/>
      <c r="GNA13" s="84"/>
      <c r="GNB13" s="84"/>
      <c r="GNC13" s="84"/>
      <c r="GND13" s="84"/>
      <c r="GNE13" s="84"/>
      <c r="GNF13" s="84"/>
      <c r="GNG13" s="84"/>
      <c r="GNH13" s="84"/>
      <c r="GNI13" s="84"/>
      <c r="GNJ13" s="84"/>
      <c r="GNK13" s="84"/>
      <c r="GNL13" s="84"/>
      <c r="GNM13" s="84"/>
      <c r="GNN13" s="84"/>
      <c r="GNO13" s="84"/>
      <c r="GNP13" s="84"/>
      <c r="GNQ13" s="84"/>
      <c r="GNR13" s="84"/>
      <c r="GNS13" s="84"/>
      <c r="GNT13" s="84"/>
      <c r="GNU13" s="84"/>
      <c r="GNV13" s="84"/>
      <c r="GNW13" s="84"/>
      <c r="GNX13" s="84"/>
      <c r="GNY13" s="84"/>
      <c r="GNZ13" s="84"/>
      <c r="GOA13" s="84"/>
      <c r="GOB13" s="84"/>
      <c r="GOC13" s="84"/>
      <c r="GOD13" s="84"/>
      <c r="GOE13" s="84"/>
      <c r="GOF13" s="84"/>
      <c r="GOG13" s="84"/>
      <c r="GOH13" s="84"/>
      <c r="GOI13" s="84"/>
      <c r="GOJ13" s="84"/>
      <c r="GOK13" s="84"/>
      <c r="GOL13" s="84"/>
      <c r="GOM13" s="84"/>
      <c r="GON13" s="84"/>
      <c r="GOO13" s="84"/>
      <c r="GOP13" s="84"/>
      <c r="GOQ13" s="84"/>
      <c r="GOR13" s="84"/>
      <c r="GOS13" s="84"/>
      <c r="GOT13" s="84"/>
      <c r="GOU13" s="84"/>
      <c r="GOV13" s="84"/>
      <c r="GOW13" s="84"/>
      <c r="GOX13" s="84"/>
      <c r="GOY13" s="84"/>
      <c r="GOZ13" s="84"/>
      <c r="GPA13" s="84"/>
      <c r="GPB13" s="84"/>
      <c r="GPC13" s="84"/>
      <c r="GPD13" s="84"/>
      <c r="GPE13" s="84"/>
      <c r="GPF13" s="84"/>
      <c r="GPG13" s="84"/>
      <c r="GPH13" s="84"/>
      <c r="GPI13" s="84"/>
      <c r="GPJ13" s="84"/>
      <c r="GPK13" s="84"/>
      <c r="GPL13" s="84"/>
      <c r="GPM13" s="84"/>
      <c r="GPN13" s="84"/>
      <c r="GPO13" s="84"/>
      <c r="GPP13" s="84"/>
      <c r="GPQ13" s="84"/>
      <c r="GPR13" s="84"/>
      <c r="GPS13" s="84"/>
      <c r="GPT13" s="84"/>
      <c r="GPU13" s="84"/>
      <c r="GPV13" s="84"/>
      <c r="GPW13" s="84"/>
      <c r="GPX13" s="84"/>
      <c r="GPY13" s="84"/>
      <c r="GPZ13" s="84"/>
      <c r="GQA13" s="84"/>
      <c r="GQB13" s="84"/>
      <c r="GQC13" s="84"/>
      <c r="GQD13" s="84"/>
      <c r="GQE13" s="84"/>
      <c r="GQF13" s="84"/>
      <c r="GQG13" s="84"/>
      <c r="GQH13" s="84"/>
      <c r="GQI13" s="84"/>
      <c r="GQJ13" s="84"/>
      <c r="GQK13" s="84"/>
      <c r="GQL13" s="84"/>
      <c r="GQM13" s="84"/>
      <c r="GQN13" s="84"/>
      <c r="GQO13" s="84"/>
      <c r="GQP13" s="84"/>
      <c r="GQQ13" s="84"/>
      <c r="GQR13" s="84"/>
      <c r="GQS13" s="84"/>
      <c r="GQT13" s="84"/>
      <c r="GQU13" s="84"/>
      <c r="GQV13" s="84"/>
      <c r="GQW13" s="84"/>
      <c r="GQX13" s="84"/>
      <c r="GQY13" s="84"/>
      <c r="GQZ13" s="84"/>
      <c r="GRA13" s="84"/>
      <c r="GRB13" s="84"/>
      <c r="GRC13" s="84"/>
      <c r="GRD13" s="84"/>
      <c r="GRE13" s="84"/>
      <c r="GRF13" s="84"/>
      <c r="GRG13" s="84"/>
      <c r="GRH13" s="84"/>
      <c r="GRI13" s="84"/>
      <c r="GRJ13" s="84"/>
      <c r="GRK13" s="84"/>
      <c r="GRL13" s="84"/>
      <c r="GRM13" s="84"/>
      <c r="GRN13" s="84"/>
      <c r="GRO13" s="84"/>
      <c r="GRP13" s="84"/>
      <c r="GRQ13" s="84"/>
      <c r="GRR13" s="84"/>
      <c r="GRS13" s="84"/>
      <c r="GRT13" s="84"/>
      <c r="GRU13" s="84"/>
      <c r="GRV13" s="84"/>
      <c r="GRW13" s="84"/>
      <c r="GRX13" s="84"/>
      <c r="GRY13" s="84"/>
      <c r="GRZ13" s="84"/>
      <c r="GSA13" s="84"/>
      <c r="GSB13" s="84"/>
      <c r="GSC13" s="84"/>
      <c r="GSD13" s="84"/>
      <c r="GSE13" s="84"/>
      <c r="GSF13" s="84"/>
      <c r="GSG13" s="84"/>
      <c r="GSH13" s="84"/>
      <c r="GSI13" s="84"/>
      <c r="GSJ13" s="84"/>
      <c r="GSK13" s="84"/>
      <c r="GSL13" s="84"/>
      <c r="GSM13" s="84"/>
      <c r="GSN13" s="84"/>
      <c r="GSO13" s="84"/>
      <c r="GSP13" s="84"/>
      <c r="GSQ13" s="84"/>
      <c r="GSR13" s="84"/>
      <c r="GSS13" s="84"/>
      <c r="GST13" s="84"/>
      <c r="GSU13" s="84"/>
      <c r="GSV13" s="84"/>
      <c r="GSW13" s="84"/>
      <c r="GSX13" s="84"/>
      <c r="GSY13" s="84"/>
      <c r="GSZ13" s="84"/>
      <c r="GTA13" s="84"/>
      <c r="GTB13" s="84"/>
      <c r="GTC13" s="84"/>
      <c r="GTD13" s="84"/>
      <c r="GTE13" s="84"/>
      <c r="GTF13" s="84"/>
      <c r="GTG13" s="84"/>
      <c r="GTH13" s="84"/>
      <c r="GTI13" s="84"/>
      <c r="GTJ13" s="84"/>
      <c r="GTK13" s="84"/>
      <c r="GTL13" s="84"/>
      <c r="GTM13" s="84"/>
      <c r="GTN13" s="84"/>
      <c r="GTO13" s="84"/>
      <c r="GTP13" s="84"/>
      <c r="GTQ13" s="84"/>
      <c r="GTR13" s="84"/>
      <c r="GTS13" s="84"/>
      <c r="GTT13" s="84"/>
      <c r="GTU13" s="84"/>
      <c r="GTV13" s="84"/>
      <c r="GTW13" s="84"/>
      <c r="GTX13" s="84"/>
      <c r="GTY13" s="84"/>
      <c r="GTZ13" s="84"/>
      <c r="GUA13" s="84"/>
      <c r="GUB13" s="84"/>
      <c r="GUC13" s="84"/>
      <c r="GUD13" s="84"/>
      <c r="GUE13" s="84"/>
      <c r="GUF13" s="84"/>
      <c r="GUG13" s="84"/>
      <c r="GUH13" s="84"/>
      <c r="GUI13" s="84"/>
      <c r="GUJ13" s="84"/>
      <c r="GUK13" s="84"/>
      <c r="GUL13" s="84"/>
      <c r="GUM13" s="84"/>
      <c r="GUN13" s="84"/>
      <c r="GUO13" s="84"/>
      <c r="GUP13" s="84"/>
      <c r="GUQ13" s="84"/>
      <c r="GUR13" s="84"/>
      <c r="GUS13" s="84"/>
      <c r="GUT13" s="84"/>
      <c r="GUU13" s="84"/>
      <c r="GUV13" s="84"/>
      <c r="GUW13" s="84"/>
      <c r="GUX13" s="84"/>
      <c r="GUY13" s="84"/>
      <c r="GUZ13" s="84"/>
      <c r="GVA13" s="84"/>
      <c r="GVB13" s="84"/>
      <c r="GVC13" s="84"/>
      <c r="GVD13" s="84"/>
      <c r="GVE13" s="84"/>
      <c r="GVF13" s="84"/>
      <c r="GVG13" s="84"/>
      <c r="GVH13" s="84"/>
      <c r="GVI13" s="84"/>
      <c r="GVJ13" s="84"/>
      <c r="GVK13" s="84"/>
      <c r="GVL13" s="84"/>
      <c r="GVM13" s="84"/>
      <c r="GVN13" s="84"/>
      <c r="GVO13" s="84"/>
      <c r="GVP13" s="84"/>
      <c r="GVQ13" s="84"/>
      <c r="GVR13" s="84"/>
      <c r="GVS13" s="84"/>
      <c r="GVT13" s="84"/>
      <c r="GVU13" s="84"/>
      <c r="GVV13" s="84"/>
      <c r="GVW13" s="84"/>
      <c r="GVX13" s="84"/>
      <c r="GVY13" s="84"/>
      <c r="GVZ13" s="84"/>
      <c r="GWA13" s="84"/>
      <c r="GWB13" s="84"/>
      <c r="GWC13" s="84"/>
      <c r="GWD13" s="84"/>
      <c r="GWE13" s="84"/>
      <c r="GWF13" s="84"/>
      <c r="GWG13" s="84"/>
      <c r="GWH13" s="84"/>
      <c r="GWI13" s="84"/>
      <c r="GWJ13" s="84"/>
      <c r="GWK13" s="84"/>
      <c r="GWL13" s="84"/>
      <c r="GWM13" s="84"/>
      <c r="GWN13" s="84"/>
      <c r="GWO13" s="84"/>
      <c r="GWP13" s="84"/>
      <c r="GWQ13" s="84"/>
      <c r="GWR13" s="84"/>
      <c r="GWS13" s="84"/>
      <c r="GWT13" s="84"/>
      <c r="GWU13" s="84"/>
      <c r="GWV13" s="84"/>
      <c r="GWW13" s="84"/>
      <c r="GWX13" s="84"/>
      <c r="GWY13" s="84"/>
      <c r="GWZ13" s="84"/>
      <c r="GXA13" s="84"/>
      <c r="GXB13" s="84"/>
      <c r="GXC13" s="84"/>
      <c r="GXD13" s="84"/>
      <c r="GXE13" s="84"/>
      <c r="GXF13" s="84"/>
      <c r="GXG13" s="84"/>
      <c r="GXH13" s="84"/>
      <c r="GXI13" s="84"/>
      <c r="GXJ13" s="84"/>
      <c r="GXK13" s="84"/>
      <c r="GXL13" s="84"/>
      <c r="GXM13" s="84"/>
      <c r="GXN13" s="84"/>
      <c r="GXO13" s="84"/>
      <c r="GXP13" s="84"/>
      <c r="GXQ13" s="84"/>
      <c r="GXR13" s="84"/>
      <c r="GXS13" s="84"/>
      <c r="GXT13" s="84"/>
      <c r="GXU13" s="84"/>
      <c r="GXV13" s="84"/>
      <c r="GXW13" s="84"/>
      <c r="GXX13" s="84"/>
      <c r="GXY13" s="84"/>
      <c r="GXZ13" s="84"/>
      <c r="GYA13" s="84"/>
      <c r="GYB13" s="84"/>
      <c r="GYC13" s="84"/>
      <c r="GYD13" s="84"/>
      <c r="GYE13" s="84"/>
      <c r="GYF13" s="84"/>
      <c r="GYG13" s="84"/>
      <c r="GYH13" s="84"/>
      <c r="GYI13" s="84"/>
      <c r="GYJ13" s="84"/>
      <c r="GYK13" s="84"/>
      <c r="GYL13" s="84"/>
      <c r="GYM13" s="84"/>
      <c r="GYN13" s="84"/>
      <c r="GYO13" s="84"/>
      <c r="GYP13" s="84"/>
      <c r="GYQ13" s="84"/>
      <c r="GYR13" s="84"/>
      <c r="GYS13" s="84"/>
      <c r="GYT13" s="84"/>
      <c r="GYU13" s="84"/>
      <c r="GYV13" s="84"/>
      <c r="GYW13" s="84"/>
      <c r="GYX13" s="84"/>
      <c r="GYY13" s="84"/>
      <c r="GYZ13" s="84"/>
      <c r="GZA13" s="84"/>
      <c r="GZB13" s="84"/>
      <c r="GZC13" s="84"/>
      <c r="GZD13" s="84"/>
      <c r="GZE13" s="84"/>
      <c r="GZF13" s="84"/>
      <c r="GZG13" s="84"/>
      <c r="GZH13" s="84"/>
      <c r="GZI13" s="84"/>
      <c r="GZJ13" s="84"/>
      <c r="GZK13" s="84"/>
      <c r="GZL13" s="84"/>
      <c r="GZM13" s="84"/>
      <c r="GZN13" s="84"/>
      <c r="GZO13" s="84"/>
      <c r="GZP13" s="84"/>
      <c r="GZQ13" s="84"/>
      <c r="GZR13" s="84"/>
      <c r="GZS13" s="84"/>
      <c r="GZT13" s="84"/>
      <c r="GZU13" s="84"/>
      <c r="GZV13" s="84"/>
      <c r="GZW13" s="84"/>
      <c r="GZX13" s="84"/>
      <c r="GZY13" s="84"/>
      <c r="GZZ13" s="84"/>
      <c r="HAA13" s="84"/>
      <c r="HAB13" s="84"/>
      <c r="HAC13" s="84"/>
      <c r="HAD13" s="84"/>
      <c r="HAE13" s="84"/>
      <c r="HAF13" s="84"/>
      <c r="HAG13" s="84"/>
      <c r="HAH13" s="84"/>
      <c r="HAI13" s="84"/>
      <c r="HAJ13" s="84"/>
      <c r="HAK13" s="84"/>
      <c r="HAL13" s="84"/>
      <c r="HAM13" s="84"/>
      <c r="HAN13" s="84"/>
      <c r="HAO13" s="84"/>
      <c r="HAP13" s="84"/>
      <c r="HAQ13" s="84"/>
      <c r="HAR13" s="84"/>
      <c r="HAS13" s="84"/>
      <c r="HAT13" s="84"/>
      <c r="HAU13" s="84"/>
      <c r="HAV13" s="84"/>
      <c r="HAW13" s="84"/>
      <c r="HAX13" s="84"/>
      <c r="HAY13" s="84"/>
      <c r="HAZ13" s="84"/>
      <c r="HBA13" s="84"/>
      <c r="HBB13" s="84"/>
      <c r="HBC13" s="84"/>
      <c r="HBD13" s="84"/>
      <c r="HBE13" s="84"/>
      <c r="HBF13" s="84"/>
      <c r="HBG13" s="84"/>
      <c r="HBH13" s="84"/>
      <c r="HBI13" s="84"/>
      <c r="HBJ13" s="84"/>
      <c r="HBK13" s="84"/>
      <c r="HBL13" s="84"/>
      <c r="HBM13" s="386"/>
    </row>
    <row r="14" spans="1:5473" s="83" customFormat="1" x14ac:dyDescent="0.3">
      <c r="A14" s="11">
        <v>9</v>
      </c>
      <c r="B14" s="40" t="s">
        <v>1071</v>
      </c>
      <c r="C14" s="12" t="s">
        <v>1770</v>
      </c>
      <c r="D14" s="299">
        <v>910522035036</v>
      </c>
      <c r="E14" s="299" t="s">
        <v>1500</v>
      </c>
      <c r="F14" s="12" t="s">
        <v>7</v>
      </c>
      <c r="G14" s="11" t="s">
        <v>1528</v>
      </c>
      <c r="H14" s="86" t="s">
        <v>1498</v>
      </c>
      <c r="I14" s="550">
        <v>10000</v>
      </c>
      <c r="J14" s="122"/>
      <c r="K14" s="75">
        <v>10000</v>
      </c>
      <c r="L14" s="122">
        <v>9500</v>
      </c>
      <c r="M14" s="122">
        <f t="shared" si="0"/>
        <v>500</v>
      </c>
      <c r="N14" s="93"/>
      <c r="O14" s="93"/>
      <c r="P14" s="76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4"/>
      <c r="DF14" s="84"/>
      <c r="DG14" s="84"/>
      <c r="DH14" s="84"/>
      <c r="DI14" s="84"/>
      <c r="DJ14" s="84"/>
      <c r="DK14" s="84"/>
      <c r="DL14" s="84"/>
      <c r="DM14" s="84"/>
      <c r="DN14" s="84"/>
      <c r="DO14" s="84"/>
      <c r="DP14" s="84"/>
      <c r="DQ14" s="84"/>
      <c r="DR14" s="84"/>
      <c r="DS14" s="84"/>
      <c r="DT14" s="84"/>
      <c r="DU14" s="84"/>
      <c r="DV14" s="84"/>
      <c r="DW14" s="84"/>
      <c r="DX14" s="84"/>
      <c r="DY14" s="84"/>
      <c r="DZ14" s="84"/>
      <c r="EA14" s="84"/>
      <c r="EB14" s="84"/>
      <c r="EC14" s="84"/>
      <c r="ED14" s="84"/>
      <c r="EE14" s="84"/>
      <c r="EF14" s="84"/>
      <c r="EG14" s="84"/>
      <c r="EH14" s="84"/>
      <c r="EI14" s="84"/>
      <c r="EJ14" s="84"/>
      <c r="EK14" s="84"/>
      <c r="EL14" s="84"/>
      <c r="EM14" s="84"/>
      <c r="EN14" s="84"/>
      <c r="EO14" s="84"/>
      <c r="EP14" s="84"/>
      <c r="EQ14" s="84"/>
      <c r="ER14" s="84"/>
      <c r="ES14" s="84"/>
      <c r="ET14" s="84"/>
      <c r="EU14" s="84"/>
      <c r="EV14" s="84"/>
      <c r="EW14" s="84"/>
      <c r="EX14" s="84"/>
      <c r="EY14" s="84"/>
      <c r="EZ14" s="84"/>
      <c r="FA14" s="84"/>
      <c r="FB14" s="84"/>
      <c r="FC14" s="84"/>
      <c r="FD14" s="84"/>
      <c r="FE14" s="84"/>
      <c r="FF14" s="84"/>
      <c r="FG14" s="84"/>
      <c r="FH14" s="84"/>
      <c r="FI14" s="84"/>
      <c r="FJ14" s="84"/>
      <c r="FK14" s="84"/>
      <c r="FL14" s="84"/>
      <c r="FM14" s="84"/>
      <c r="FN14" s="84"/>
      <c r="FO14" s="84"/>
      <c r="FP14" s="84"/>
      <c r="FQ14" s="84"/>
      <c r="FR14" s="84"/>
      <c r="FS14" s="84"/>
      <c r="FT14" s="84"/>
      <c r="FU14" s="84"/>
      <c r="FV14" s="84"/>
      <c r="FW14" s="84"/>
      <c r="FX14" s="84"/>
      <c r="FY14" s="84"/>
      <c r="FZ14" s="84"/>
      <c r="GA14" s="84"/>
      <c r="GB14" s="84"/>
      <c r="GC14" s="84"/>
      <c r="GD14" s="84"/>
      <c r="GE14" s="84"/>
      <c r="GF14" s="84"/>
      <c r="GG14" s="84"/>
      <c r="GH14" s="84"/>
      <c r="GI14" s="84"/>
      <c r="GJ14" s="84"/>
      <c r="GK14" s="84"/>
      <c r="GL14" s="84"/>
      <c r="GM14" s="84"/>
      <c r="GN14" s="84"/>
      <c r="GO14" s="84"/>
      <c r="GP14" s="84"/>
      <c r="GQ14" s="84"/>
      <c r="GR14" s="84"/>
      <c r="GS14" s="84"/>
      <c r="GT14" s="84"/>
      <c r="GU14" s="84"/>
      <c r="GV14" s="84"/>
      <c r="GW14" s="84"/>
      <c r="GX14" s="84"/>
      <c r="GY14" s="84"/>
      <c r="GZ14" s="84"/>
      <c r="HA14" s="84"/>
      <c r="HB14" s="84"/>
      <c r="HC14" s="84"/>
      <c r="HD14" s="84"/>
      <c r="HE14" s="84"/>
      <c r="HF14" s="84"/>
      <c r="HG14" s="84"/>
      <c r="HH14" s="84"/>
      <c r="HI14" s="84"/>
      <c r="HJ14" s="84"/>
      <c r="HK14" s="84"/>
      <c r="HL14" s="84"/>
      <c r="HM14" s="84"/>
      <c r="HN14" s="84"/>
      <c r="HO14" s="84"/>
      <c r="HP14" s="84"/>
      <c r="HQ14" s="84"/>
      <c r="HR14" s="84"/>
      <c r="HS14" s="84"/>
      <c r="HT14" s="84"/>
      <c r="HU14" s="84"/>
      <c r="HV14" s="84"/>
      <c r="HW14" s="84"/>
      <c r="HX14" s="84"/>
      <c r="HY14" s="84"/>
      <c r="HZ14" s="84"/>
      <c r="IA14" s="84"/>
      <c r="IB14" s="84"/>
      <c r="IC14" s="84"/>
      <c r="ID14" s="84"/>
      <c r="IE14" s="84"/>
      <c r="IF14" s="84"/>
      <c r="IG14" s="84"/>
      <c r="IH14" s="84"/>
      <c r="II14" s="84"/>
      <c r="IJ14" s="84"/>
      <c r="IK14" s="84"/>
      <c r="IL14" s="84"/>
      <c r="IM14" s="84"/>
      <c r="IN14" s="84"/>
      <c r="IO14" s="84"/>
      <c r="IP14" s="84"/>
      <c r="IQ14" s="84"/>
      <c r="IR14" s="84"/>
      <c r="IS14" s="84"/>
      <c r="IT14" s="84"/>
      <c r="IU14" s="84"/>
      <c r="IV14" s="84"/>
      <c r="IW14" s="84"/>
      <c r="IX14" s="84"/>
      <c r="IY14" s="84"/>
      <c r="IZ14" s="84"/>
      <c r="JA14" s="84"/>
      <c r="JB14" s="84"/>
      <c r="JC14" s="84"/>
      <c r="JD14" s="84"/>
      <c r="JE14" s="84"/>
      <c r="JF14" s="84"/>
      <c r="JG14" s="84"/>
      <c r="JH14" s="84"/>
      <c r="JI14" s="84"/>
      <c r="JJ14" s="84"/>
      <c r="JK14" s="84"/>
      <c r="JL14" s="84"/>
      <c r="JM14" s="84"/>
      <c r="JN14" s="84"/>
      <c r="JO14" s="84"/>
      <c r="JP14" s="84"/>
      <c r="JQ14" s="84"/>
      <c r="JR14" s="84"/>
      <c r="JS14" s="84"/>
      <c r="JT14" s="84"/>
      <c r="JU14" s="84"/>
      <c r="JV14" s="84"/>
      <c r="JW14" s="84"/>
      <c r="JX14" s="84"/>
      <c r="JY14" s="84"/>
      <c r="JZ14" s="84"/>
      <c r="KA14" s="84"/>
      <c r="KB14" s="84"/>
      <c r="KC14" s="84"/>
      <c r="KD14" s="84"/>
      <c r="KE14" s="84"/>
      <c r="KF14" s="84"/>
      <c r="KG14" s="84"/>
      <c r="KH14" s="84"/>
      <c r="KI14" s="84"/>
      <c r="KJ14" s="84"/>
      <c r="KK14" s="84"/>
      <c r="KL14" s="84"/>
      <c r="KM14" s="84"/>
      <c r="KN14" s="84"/>
      <c r="KO14" s="84"/>
      <c r="KP14" s="84"/>
      <c r="KQ14" s="84"/>
      <c r="KR14" s="84"/>
      <c r="KS14" s="84"/>
      <c r="KT14" s="84"/>
      <c r="KU14" s="84"/>
      <c r="KV14" s="84"/>
      <c r="KW14" s="84"/>
      <c r="KX14" s="84"/>
      <c r="KY14" s="84"/>
      <c r="KZ14" s="84"/>
      <c r="LA14" s="84"/>
      <c r="LB14" s="84"/>
      <c r="LC14" s="84"/>
      <c r="LD14" s="84"/>
      <c r="LE14" s="84"/>
      <c r="LF14" s="84"/>
      <c r="LG14" s="84"/>
      <c r="LH14" s="84"/>
      <c r="LI14" s="84"/>
      <c r="LJ14" s="84"/>
      <c r="LK14" s="84"/>
      <c r="LL14" s="84"/>
      <c r="LM14" s="84"/>
      <c r="LN14" s="84"/>
      <c r="LO14" s="84"/>
      <c r="LP14" s="84"/>
      <c r="LQ14" s="84"/>
      <c r="LR14" s="84"/>
      <c r="LS14" s="84"/>
      <c r="LT14" s="84"/>
      <c r="LU14" s="84"/>
      <c r="LV14" s="84"/>
      <c r="LW14" s="84"/>
      <c r="LX14" s="84"/>
      <c r="LY14" s="84"/>
      <c r="LZ14" s="84"/>
      <c r="MA14" s="84"/>
      <c r="MB14" s="84"/>
      <c r="MC14" s="84"/>
      <c r="MD14" s="84"/>
      <c r="ME14" s="84"/>
      <c r="MF14" s="84"/>
      <c r="MG14" s="84"/>
      <c r="MH14" s="84"/>
      <c r="MI14" s="84"/>
      <c r="MJ14" s="84"/>
      <c r="MK14" s="84"/>
      <c r="ML14" s="84"/>
      <c r="MM14" s="84"/>
      <c r="MN14" s="84"/>
      <c r="MO14" s="84"/>
      <c r="MP14" s="84"/>
      <c r="MQ14" s="84"/>
      <c r="MR14" s="84"/>
      <c r="MS14" s="84"/>
      <c r="MT14" s="84"/>
      <c r="MU14" s="84"/>
      <c r="MV14" s="84"/>
      <c r="MW14" s="84"/>
      <c r="MX14" s="84"/>
      <c r="MY14" s="84"/>
      <c r="MZ14" s="84"/>
      <c r="NA14" s="84"/>
      <c r="NB14" s="84"/>
      <c r="NC14" s="84"/>
      <c r="ND14" s="84"/>
      <c r="NE14" s="84"/>
      <c r="NF14" s="84"/>
      <c r="NG14" s="84"/>
      <c r="NH14" s="84"/>
      <c r="NI14" s="84"/>
      <c r="NJ14" s="84"/>
      <c r="NK14" s="84"/>
      <c r="NL14" s="84"/>
      <c r="NM14" s="84"/>
      <c r="NN14" s="84"/>
      <c r="NO14" s="84"/>
      <c r="NP14" s="84"/>
      <c r="NQ14" s="84"/>
      <c r="NR14" s="84"/>
      <c r="NS14" s="84"/>
      <c r="NT14" s="84"/>
      <c r="NU14" s="84"/>
      <c r="NV14" s="84"/>
      <c r="NW14" s="84"/>
      <c r="NX14" s="84"/>
      <c r="NY14" s="84"/>
      <c r="NZ14" s="84"/>
      <c r="OA14" s="84"/>
      <c r="OB14" s="84"/>
      <c r="OC14" s="84"/>
      <c r="OD14" s="84"/>
      <c r="OE14" s="84"/>
      <c r="OF14" s="84"/>
      <c r="OG14" s="84"/>
      <c r="OH14" s="84"/>
      <c r="OI14" s="84"/>
      <c r="OJ14" s="84"/>
      <c r="OK14" s="84"/>
      <c r="OL14" s="84"/>
      <c r="OM14" s="84"/>
      <c r="ON14" s="84"/>
      <c r="OO14" s="84"/>
      <c r="OP14" s="84"/>
      <c r="OQ14" s="84"/>
      <c r="OR14" s="84"/>
      <c r="OS14" s="84"/>
      <c r="OT14" s="84"/>
      <c r="OU14" s="84"/>
      <c r="OV14" s="84"/>
      <c r="OW14" s="84"/>
      <c r="OX14" s="84"/>
      <c r="OY14" s="84"/>
      <c r="OZ14" s="84"/>
      <c r="PA14" s="84"/>
      <c r="PB14" s="84"/>
      <c r="PC14" s="84"/>
      <c r="PD14" s="84"/>
      <c r="PE14" s="84"/>
      <c r="PF14" s="84"/>
      <c r="PG14" s="84"/>
      <c r="PH14" s="84"/>
      <c r="PI14" s="84"/>
      <c r="PJ14" s="84"/>
      <c r="PK14" s="84"/>
      <c r="PL14" s="84"/>
      <c r="PM14" s="84"/>
      <c r="PN14" s="84"/>
      <c r="PO14" s="84"/>
      <c r="PP14" s="84"/>
      <c r="PQ14" s="84"/>
      <c r="PR14" s="84"/>
      <c r="PS14" s="84"/>
      <c r="PT14" s="84"/>
      <c r="PU14" s="84"/>
      <c r="PV14" s="84"/>
      <c r="PW14" s="84"/>
      <c r="PX14" s="84"/>
      <c r="PY14" s="84"/>
      <c r="PZ14" s="84"/>
      <c r="QA14" s="84"/>
      <c r="QB14" s="84"/>
      <c r="QC14" s="84"/>
      <c r="QD14" s="84"/>
      <c r="QE14" s="84"/>
      <c r="QF14" s="84"/>
      <c r="QG14" s="84"/>
      <c r="QH14" s="84"/>
      <c r="QI14" s="84"/>
      <c r="QJ14" s="84"/>
      <c r="QK14" s="84"/>
      <c r="QL14" s="84"/>
      <c r="QM14" s="84"/>
      <c r="QN14" s="84"/>
      <c r="QO14" s="84"/>
      <c r="QP14" s="84"/>
      <c r="QQ14" s="84"/>
      <c r="QR14" s="84"/>
      <c r="QS14" s="84"/>
      <c r="QT14" s="84"/>
      <c r="QU14" s="84"/>
      <c r="QV14" s="84"/>
      <c r="QW14" s="84"/>
      <c r="QX14" s="84"/>
      <c r="QY14" s="84"/>
      <c r="QZ14" s="84"/>
      <c r="RA14" s="84"/>
      <c r="RB14" s="84"/>
      <c r="RC14" s="84"/>
      <c r="RD14" s="84"/>
      <c r="RE14" s="84"/>
      <c r="RF14" s="84"/>
      <c r="RG14" s="84"/>
      <c r="RH14" s="84"/>
      <c r="RI14" s="84"/>
      <c r="RJ14" s="84"/>
      <c r="RK14" s="84"/>
      <c r="RL14" s="84"/>
      <c r="RM14" s="84"/>
      <c r="RN14" s="84"/>
      <c r="RO14" s="84"/>
      <c r="RP14" s="84"/>
      <c r="RQ14" s="84"/>
      <c r="RR14" s="84"/>
      <c r="RS14" s="84"/>
      <c r="RT14" s="84"/>
      <c r="RU14" s="84"/>
      <c r="RV14" s="84"/>
      <c r="RW14" s="84"/>
      <c r="RX14" s="84"/>
      <c r="RY14" s="84"/>
      <c r="RZ14" s="84"/>
      <c r="SA14" s="84"/>
      <c r="SB14" s="84"/>
      <c r="SC14" s="84"/>
      <c r="SD14" s="84"/>
      <c r="SE14" s="84"/>
      <c r="SF14" s="84"/>
      <c r="SG14" s="84"/>
      <c r="SH14" s="84"/>
      <c r="SI14" s="84"/>
      <c r="SJ14" s="84"/>
      <c r="SK14" s="84"/>
      <c r="SL14" s="84"/>
      <c r="SM14" s="84"/>
      <c r="SN14" s="84"/>
      <c r="SO14" s="84"/>
      <c r="SP14" s="84"/>
      <c r="SQ14" s="84"/>
      <c r="SR14" s="84"/>
      <c r="SS14" s="84"/>
      <c r="ST14" s="84"/>
      <c r="SU14" s="84"/>
      <c r="SV14" s="84"/>
      <c r="SW14" s="84"/>
      <c r="SX14" s="84"/>
      <c r="SY14" s="84"/>
      <c r="SZ14" s="84"/>
      <c r="TA14" s="84"/>
      <c r="TB14" s="84"/>
      <c r="TC14" s="84"/>
      <c r="TD14" s="84"/>
      <c r="TE14" s="84"/>
      <c r="TF14" s="84"/>
      <c r="TG14" s="84"/>
      <c r="TH14" s="84"/>
      <c r="TI14" s="84"/>
      <c r="TJ14" s="84"/>
      <c r="TK14" s="84"/>
      <c r="TL14" s="84"/>
      <c r="TM14" s="84"/>
      <c r="TN14" s="84"/>
      <c r="TO14" s="84"/>
      <c r="TP14" s="84"/>
      <c r="TQ14" s="84"/>
      <c r="TR14" s="84"/>
      <c r="TS14" s="84"/>
      <c r="TT14" s="84"/>
      <c r="TU14" s="84"/>
      <c r="TV14" s="84"/>
      <c r="TW14" s="84"/>
      <c r="TX14" s="84"/>
      <c r="TY14" s="84"/>
      <c r="TZ14" s="84"/>
      <c r="UA14" s="84"/>
      <c r="UB14" s="84"/>
      <c r="UC14" s="84"/>
      <c r="UD14" s="84"/>
      <c r="UE14" s="84"/>
      <c r="UF14" s="84"/>
      <c r="UG14" s="84"/>
      <c r="UH14" s="84"/>
      <c r="UI14" s="84"/>
      <c r="UJ14" s="84"/>
      <c r="UK14" s="84"/>
      <c r="UL14" s="84"/>
      <c r="UM14" s="84"/>
      <c r="UN14" s="84"/>
      <c r="UO14" s="84"/>
      <c r="UP14" s="84"/>
      <c r="UQ14" s="84"/>
      <c r="UR14" s="84"/>
      <c r="US14" s="84"/>
      <c r="UT14" s="84"/>
      <c r="UU14" s="84"/>
      <c r="UV14" s="84"/>
      <c r="UW14" s="84"/>
      <c r="UX14" s="84"/>
      <c r="UY14" s="84"/>
      <c r="UZ14" s="84"/>
      <c r="VA14" s="84"/>
      <c r="VB14" s="84"/>
      <c r="VC14" s="84"/>
      <c r="VD14" s="84"/>
      <c r="VE14" s="84"/>
      <c r="VF14" s="84"/>
      <c r="VG14" s="84"/>
      <c r="VH14" s="84"/>
      <c r="VI14" s="84"/>
      <c r="VJ14" s="84"/>
      <c r="VK14" s="84"/>
      <c r="VL14" s="84"/>
      <c r="VM14" s="84"/>
      <c r="VN14" s="84"/>
      <c r="VO14" s="84"/>
      <c r="VP14" s="84"/>
      <c r="VQ14" s="84"/>
      <c r="VR14" s="84"/>
      <c r="VS14" s="84"/>
      <c r="VT14" s="84"/>
      <c r="VU14" s="84"/>
      <c r="VV14" s="84"/>
      <c r="VW14" s="84"/>
      <c r="VX14" s="84"/>
      <c r="VY14" s="84"/>
      <c r="VZ14" s="84"/>
      <c r="WA14" s="84"/>
      <c r="WB14" s="84"/>
      <c r="WC14" s="84"/>
      <c r="WD14" s="84"/>
      <c r="WE14" s="84"/>
      <c r="WF14" s="84"/>
      <c r="WG14" s="84"/>
      <c r="WH14" s="84"/>
      <c r="WI14" s="84"/>
      <c r="WJ14" s="84"/>
      <c r="WK14" s="84"/>
      <c r="WL14" s="84"/>
      <c r="WM14" s="84"/>
      <c r="WN14" s="84"/>
      <c r="WO14" s="84"/>
      <c r="WP14" s="84"/>
      <c r="WQ14" s="84"/>
      <c r="WR14" s="84"/>
      <c r="WS14" s="84"/>
      <c r="WT14" s="84"/>
      <c r="WU14" s="84"/>
      <c r="WV14" s="84"/>
      <c r="WW14" s="84"/>
      <c r="WX14" s="84"/>
      <c r="WY14" s="84"/>
      <c r="WZ14" s="84"/>
      <c r="XA14" s="84"/>
      <c r="XB14" s="84"/>
      <c r="XC14" s="84"/>
      <c r="XD14" s="84"/>
      <c r="XE14" s="84"/>
      <c r="XF14" s="84"/>
      <c r="XG14" s="84"/>
      <c r="XH14" s="84"/>
      <c r="XI14" s="84"/>
      <c r="XJ14" s="84"/>
      <c r="XK14" s="84"/>
      <c r="XL14" s="84"/>
      <c r="XM14" s="84"/>
      <c r="XN14" s="84"/>
      <c r="XO14" s="84"/>
      <c r="XP14" s="84"/>
      <c r="XQ14" s="84"/>
      <c r="XR14" s="84"/>
      <c r="XS14" s="84"/>
      <c r="XT14" s="84"/>
      <c r="XU14" s="84"/>
      <c r="XV14" s="84"/>
      <c r="XW14" s="84"/>
      <c r="XX14" s="84"/>
      <c r="XY14" s="84"/>
      <c r="XZ14" s="84"/>
      <c r="YA14" s="84"/>
      <c r="YB14" s="84"/>
      <c r="YC14" s="84"/>
      <c r="YD14" s="84"/>
      <c r="YE14" s="84"/>
      <c r="YF14" s="84"/>
      <c r="YG14" s="84"/>
      <c r="YH14" s="84"/>
      <c r="YI14" s="84"/>
      <c r="YJ14" s="84"/>
      <c r="YK14" s="84"/>
      <c r="YL14" s="84"/>
      <c r="YM14" s="84"/>
      <c r="YN14" s="84"/>
      <c r="YO14" s="84"/>
      <c r="YP14" s="84"/>
      <c r="YQ14" s="84"/>
      <c r="YR14" s="84"/>
      <c r="YS14" s="84"/>
      <c r="YT14" s="84"/>
      <c r="YU14" s="84"/>
      <c r="YV14" s="84"/>
      <c r="YW14" s="84"/>
      <c r="YX14" s="84"/>
      <c r="YY14" s="84"/>
      <c r="YZ14" s="84"/>
      <c r="ZA14" s="84"/>
      <c r="ZB14" s="84"/>
      <c r="ZC14" s="84"/>
      <c r="ZD14" s="84"/>
      <c r="ZE14" s="84"/>
      <c r="ZF14" s="84"/>
      <c r="ZG14" s="84"/>
      <c r="ZH14" s="84"/>
      <c r="ZI14" s="84"/>
      <c r="ZJ14" s="84"/>
      <c r="ZK14" s="84"/>
      <c r="ZL14" s="84"/>
      <c r="ZM14" s="84"/>
      <c r="ZN14" s="84"/>
      <c r="ZO14" s="84"/>
      <c r="ZP14" s="84"/>
      <c r="ZQ14" s="84"/>
      <c r="ZR14" s="84"/>
      <c r="ZS14" s="84"/>
      <c r="ZT14" s="84"/>
      <c r="ZU14" s="84"/>
      <c r="ZV14" s="84"/>
      <c r="ZW14" s="84"/>
      <c r="ZX14" s="84"/>
      <c r="ZY14" s="84"/>
      <c r="ZZ14" s="84"/>
      <c r="AAA14" s="84"/>
      <c r="AAB14" s="84"/>
      <c r="AAC14" s="84"/>
      <c r="AAD14" s="84"/>
      <c r="AAE14" s="84"/>
      <c r="AAF14" s="84"/>
      <c r="AAG14" s="84"/>
      <c r="AAH14" s="84"/>
      <c r="AAI14" s="84"/>
      <c r="AAJ14" s="84"/>
      <c r="AAK14" s="84"/>
      <c r="AAL14" s="84"/>
      <c r="AAM14" s="84"/>
      <c r="AAN14" s="84"/>
      <c r="AAO14" s="84"/>
      <c r="AAP14" s="84"/>
      <c r="AAQ14" s="84"/>
      <c r="AAR14" s="84"/>
      <c r="AAS14" s="84"/>
      <c r="AAT14" s="84"/>
      <c r="AAU14" s="84"/>
      <c r="AAV14" s="84"/>
      <c r="AAW14" s="84"/>
      <c r="AAX14" s="84"/>
      <c r="AAY14" s="84"/>
      <c r="AAZ14" s="84"/>
      <c r="ABA14" s="84"/>
      <c r="ABB14" s="84"/>
      <c r="ABC14" s="84"/>
      <c r="ABD14" s="84"/>
      <c r="ABE14" s="84"/>
      <c r="ABF14" s="84"/>
      <c r="ABG14" s="84"/>
      <c r="ABH14" s="84"/>
      <c r="ABI14" s="84"/>
      <c r="ABJ14" s="84"/>
      <c r="ABK14" s="84"/>
      <c r="ABL14" s="84"/>
      <c r="ABM14" s="84"/>
      <c r="ABN14" s="84"/>
      <c r="ABO14" s="84"/>
      <c r="ABP14" s="84"/>
      <c r="ABQ14" s="84"/>
      <c r="ABR14" s="84"/>
      <c r="ABS14" s="84"/>
      <c r="ABT14" s="84"/>
      <c r="ABU14" s="84"/>
      <c r="ABV14" s="84"/>
      <c r="ABW14" s="84"/>
      <c r="ABX14" s="84"/>
      <c r="ABY14" s="84"/>
      <c r="ABZ14" s="84"/>
      <c r="ACA14" s="84"/>
      <c r="ACB14" s="84"/>
      <c r="ACC14" s="84"/>
      <c r="ACD14" s="84"/>
      <c r="ACE14" s="84"/>
      <c r="ACF14" s="84"/>
      <c r="ACG14" s="84"/>
      <c r="ACH14" s="84"/>
      <c r="ACI14" s="84"/>
      <c r="ACJ14" s="84"/>
      <c r="ACK14" s="84"/>
      <c r="ACL14" s="84"/>
      <c r="ACM14" s="84"/>
      <c r="ACN14" s="84"/>
      <c r="ACO14" s="84"/>
      <c r="ACP14" s="84"/>
      <c r="ACQ14" s="84"/>
      <c r="ACR14" s="84"/>
      <c r="ACS14" s="84"/>
      <c r="ACT14" s="84"/>
      <c r="ACU14" s="84"/>
      <c r="ACV14" s="84"/>
      <c r="ACW14" s="84"/>
      <c r="ACX14" s="84"/>
      <c r="ACY14" s="84"/>
      <c r="ACZ14" s="84"/>
      <c r="ADA14" s="84"/>
      <c r="ADB14" s="84"/>
      <c r="ADC14" s="84"/>
      <c r="ADD14" s="84"/>
      <c r="ADE14" s="84"/>
      <c r="ADF14" s="84"/>
      <c r="ADG14" s="84"/>
      <c r="ADH14" s="84"/>
      <c r="ADI14" s="84"/>
      <c r="ADJ14" s="84"/>
      <c r="ADK14" s="84"/>
      <c r="ADL14" s="84"/>
      <c r="ADM14" s="84"/>
      <c r="ADN14" s="84"/>
      <c r="ADO14" s="84"/>
      <c r="ADP14" s="84"/>
      <c r="ADQ14" s="84"/>
      <c r="ADR14" s="84"/>
      <c r="ADS14" s="84"/>
      <c r="ADT14" s="84"/>
      <c r="ADU14" s="84"/>
      <c r="ADV14" s="84"/>
      <c r="ADW14" s="84"/>
      <c r="ADX14" s="84"/>
      <c r="ADY14" s="84"/>
      <c r="ADZ14" s="84"/>
      <c r="AEA14" s="84"/>
      <c r="AEB14" s="84"/>
      <c r="AEC14" s="84"/>
      <c r="AED14" s="84"/>
      <c r="AEE14" s="84"/>
      <c r="AEF14" s="84"/>
      <c r="AEG14" s="84"/>
      <c r="AEH14" s="84"/>
      <c r="AEI14" s="84"/>
      <c r="AEJ14" s="84"/>
      <c r="AEK14" s="84"/>
      <c r="AEL14" s="84"/>
      <c r="AEM14" s="84"/>
      <c r="AEN14" s="84"/>
      <c r="AEO14" s="84"/>
      <c r="AEP14" s="84"/>
      <c r="AEQ14" s="84"/>
      <c r="AER14" s="84"/>
      <c r="AES14" s="84"/>
      <c r="AET14" s="84"/>
      <c r="AEU14" s="84"/>
      <c r="AEV14" s="84"/>
      <c r="AEW14" s="84"/>
      <c r="AEX14" s="84"/>
      <c r="AEY14" s="84"/>
      <c r="AEZ14" s="84"/>
      <c r="AFA14" s="84"/>
      <c r="AFB14" s="84"/>
      <c r="AFC14" s="84"/>
      <c r="AFD14" s="84"/>
      <c r="AFE14" s="84"/>
      <c r="AFF14" s="84"/>
      <c r="AFG14" s="84"/>
      <c r="AFH14" s="84"/>
      <c r="AFI14" s="84"/>
      <c r="AFJ14" s="84"/>
      <c r="AFK14" s="84"/>
      <c r="AFL14" s="84"/>
      <c r="AFM14" s="84"/>
      <c r="AFN14" s="84"/>
      <c r="AFO14" s="84"/>
      <c r="AFP14" s="84"/>
      <c r="AFQ14" s="84"/>
      <c r="AFR14" s="84"/>
      <c r="AFS14" s="84"/>
      <c r="AFT14" s="84"/>
      <c r="AFU14" s="84"/>
      <c r="AFV14" s="84"/>
      <c r="AFW14" s="84"/>
      <c r="AFX14" s="84"/>
      <c r="AFY14" s="84"/>
      <c r="AFZ14" s="84"/>
      <c r="AGA14" s="84"/>
      <c r="AGB14" s="84"/>
      <c r="AGC14" s="84"/>
      <c r="AGD14" s="84"/>
      <c r="AGE14" s="84"/>
      <c r="AGF14" s="84"/>
      <c r="AGG14" s="84"/>
      <c r="AGH14" s="84"/>
      <c r="AGI14" s="84"/>
      <c r="AGJ14" s="84"/>
      <c r="AGK14" s="84"/>
      <c r="AGL14" s="84"/>
      <c r="AGM14" s="84"/>
      <c r="AGN14" s="84"/>
      <c r="AGO14" s="84"/>
      <c r="AGP14" s="84"/>
      <c r="AGQ14" s="84"/>
      <c r="AGR14" s="84"/>
      <c r="AGS14" s="84"/>
      <c r="AGT14" s="84"/>
      <c r="AGU14" s="84"/>
      <c r="AGV14" s="84"/>
      <c r="AGW14" s="84"/>
      <c r="AGX14" s="84"/>
      <c r="AGY14" s="84"/>
      <c r="AGZ14" s="84"/>
      <c r="AHA14" s="84"/>
      <c r="AHB14" s="84"/>
      <c r="AHC14" s="84"/>
      <c r="AHD14" s="84"/>
      <c r="AHE14" s="84"/>
      <c r="AHF14" s="84"/>
      <c r="AHG14" s="84"/>
      <c r="AHH14" s="84"/>
      <c r="AHI14" s="84"/>
      <c r="AHJ14" s="84"/>
      <c r="AHK14" s="84"/>
      <c r="AHL14" s="84"/>
      <c r="AHM14" s="84"/>
      <c r="AHN14" s="84"/>
      <c r="AHO14" s="84"/>
      <c r="AHP14" s="84"/>
      <c r="AHQ14" s="84"/>
      <c r="AHR14" s="84"/>
      <c r="AHS14" s="84"/>
      <c r="AHT14" s="84"/>
      <c r="AHU14" s="84"/>
      <c r="AHV14" s="84"/>
      <c r="AHW14" s="84"/>
      <c r="AHX14" s="84"/>
      <c r="AHY14" s="84"/>
      <c r="AHZ14" s="84"/>
      <c r="AIA14" s="84"/>
      <c r="AIB14" s="84"/>
      <c r="AIC14" s="84"/>
      <c r="AID14" s="84"/>
      <c r="AIE14" s="84"/>
      <c r="AIF14" s="84"/>
      <c r="AIG14" s="84"/>
      <c r="AIH14" s="84"/>
      <c r="AII14" s="84"/>
      <c r="AIJ14" s="84"/>
      <c r="AIK14" s="84"/>
      <c r="AIL14" s="84"/>
      <c r="AIM14" s="84"/>
      <c r="AIN14" s="84"/>
      <c r="AIO14" s="84"/>
      <c r="AIP14" s="84"/>
      <c r="AIQ14" s="84"/>
      <c r="AIR14" s="84"/>
      <c r="AIS14" s="84"/>
      <c r="AIT14" s="84"/>
      <c r="AIU14" s="84"/>
      <c r="AIV14" s="84"/>
      <c r="AIW14" s="84"/>
      <c r="AIX14" s="84"/>
      <c r="AIY14" s="84"/>
      <c r="AIZ14" s="84"/>
      <c r="AJA14" s="84"/>
      <c r="AJB14" s="84"/>
      <c r="AJC14" s="84"/>
      <c r="AJD14" s="84"/>
      <c r="AJE14" s="84"/>
      <c r="AJF14" s="84"/>
      <c r="AJG14" s="84"/>
      <c r="AJH14" s="84"/>
      <c r="AJI14" s="84"/>
      <c r="AJJ14" s="84"/>
      <c r="AJK14" s="84"/>
      <c r="AJL14" s="84"/>
      <c r="AJM14" s="84"/>
      <c r="AJN14" s="84"/>
      <c r="AJO14" s="84"/>
      <c r="AJP14" s="84"/>
      <c r="AJQ14" s="84"/>
      <c r="AJR14" s="84"/>
      <c r="AJS14" s="84"/>
      <c r="AJT14" s="84"/>
      <c r="AJU14" s="84"/>
      <c r="AJV14" s="84"/>
      <c r="AJW14" s="84"/>
      <c r="AJX14" s="84"/>
      <c r="AJY14" s="84"/>
      <c r="AJZ14" s="84"/>
      <c r="AKA14" s="84"/>
      <c r="AKB14" s="84"/>
      <c r="AKC14" s="84"/>
      <c r="AKD14" s="84"/>
      <c r="AKE14" s="84"/>
      <c r="AKF14" s="84"/>
      <c r="AKG14" s="84"/>
      <c r="AKH14" s="84"/>
      <c r="AKI14" s="84"/>
      <c r="AKJ14" s="84"/>
      <c r="AKK14" s="84"/>
      <c r="AKL14" s="84"/>
      <c r="AKM14" s="84"/>
      <c r="AKN14" s="84"/>
      <c r="AKO14" s="84"/>
      <c r="AKP14" s="84"/>
      <c r="AKQ14" s="84"/>
      <c r="AKR14" s="84"/>
      <c r="AKS14" s="84"/>
      <c r="AKT14" s="84"/>
      <c r="AKU14" s="84"/>
      <c r="AKV14" s="84"/>
      <c r="AKW14" s="84"/>
      <c r="AKX14" s="84"/>
      <c r="AKY14" s="84"/>
      <c r="AKZ14" s="84"/>
      <c r="ALA14" s="84"/>
      <c r="ALB14" s="84"/>
      <c r="ALC14" s="84"/>
      <c r="ALD14" s="84"/>
      <c r="ALE14" s="84"/>
      <c r="ALF14" s="84"/>
      <c r="ALG14" s="84"/>
      <c r="ALH14" s="84"/>
      <c r="ALI14" s="84"/>
      <c r="ALJ14" s="84"/>
      <c r="ALK14" s="84"/>
      <c r="ALL14" s="84"/>
      <c r="ALM14" s="84"/>
      <c r="ALN14" s="84"/>
      <c r="ALO14" s="84"/>
      <c r="ALP14" s="84"/>
      <c r="ALQ14" s="84"/>
      <c r="ALR14" s="84"/>
      <c r="ALS14" s="84"/>
      <c r="ALT14" s="84"/>
      <c r="ALU14" s="84"/>
      <c r="ALV14" s="84"/>
      <c r="ALW14" s="84"/>
      <c r="ALX14" s="84"/>
      <c r="ALY14" s="84"/>
      <c r="ALZ14" s="84"/>
      <c r="AMA14" s="84"/>
      <c r="AMB14" s="84"/>
      <c r="AMC14" s="84"/>
      <c r="AMD14" s="84"/>
      <c r="AME14" s="84"/>
      <c r="AMF14" s="84"/>
      <c r="AMG14" s="84"/>
      <c r="AMH14" s="84"/>
      <c r="AMI14" s="84"/>
      <c r="AMJ14" s="84"/>
      <c r="AMK14" s="84"/>
      <c r="AML14" s="84"/>
      <c r="AMM14" s="84"/>
      <c r="AMN14" s="84"/>
      <c r="AMO14" s="84"/>
      <c r="AMP14" s="84"/>
      <c r="AMQ14" s="84"/>
      <c r="AMR14" s="84"/>
      <c r="AMS14" s="84"/>
      <c r="AMT14" s="84"/>
      <c r="AMU14" s="84"/>
      <c r="AMV14" s="84"/>
      <c r="AMW14" s="84"/>
      <c r="AMX14" s="84"/>
      <c r="AMY14" s="84"/>
      <c r="AMZ14" s="84"/>
      <c r="ANA14" s="84"/>
      <c r="ANB14" s="84"/>
      <c r="ANC14" s="84"/>
      <c r="AND14" s="84"/>
      <c r="ANE14" s="84"/>
      <c r="ANF14" s="84"/>
      <c r="ANG14" s="84"/>
      <c r="ANH14" s="84"/>
      <c r="ANI14" s="84"/>
      <c r="ANJ14" s="84"/>
      <c r="ANK14" s="84"/>
      <c r="ANL14" s="84"/>
      <c r="ANM14" s="84"/>
      <c r="ANN14" s="84"/>
      <c r="ANO14" s="84"/>
      <c r="ANP14" s="84"/>
      <c r="ANQ14" s="84"/>
      <c r="ANR14" s="84"/>
      <c r="ANS14" s="84"/>
      <c r="ANT14" s="84"/>
      <c r="ANU14" s="84"/>
      <c r="ANV14" s="84"/>
      <c r="ANW14" s="84"/>
      <c r="ANX14" s="84"/>
      <c r="ANY14" s="84"/>
      <c r="ANZ14" s="84"/>
      <c r="AOA14" s="84"/>
      <c r="AOB14" s="84"/>
      <c r="AOC14" s="84"/>
      <c r="AOD14" s="84"/>
      <c r="AOE14" s="84"/>
      <c r="AOF14" s="84"/>
      <c r="AOG14" s="84"/>
      <c r="AOH14" s="84"/>
      <c r="AOI14" s="84"/>
      <c r="AOJ14" s="84"/>
      <c r="AOK14" s="84"/>
      <c r="AOL14" s="84"/>
      <c r="AOM14" s="84"/>
      <c r="AON14" s="84"/>
      <c r="AOO14" s="84"/>
      <c r="AOP14" s="84"/>
      <c r="AOQ14" s="84"/>
      <c r="AOR14" s="84"/>
      <c r="AOS14" s="84"/>
      <c r="AOT14" s="84"/>
      <c r="AOU14" s="84"/>
      <c r="AOV14" s="84"/>
      <c r="AOW14" s="84"/>
      <c r="AOX14" s="84"/>
      <c r="AOY14" s="84"/>
      <c r="AOZ14" s="84"/>
      <c r="APA14" s="84"/>
      <c r="APB14" s="84"/>
      <c r="APC14" s="84"/>
      <c r="APD14" s="84"/>
      <c r="APE14" s="84"/>
      <c r="APF14" s="84"/>
      <c r="APG14" s="84"/>
      <c r="APH14" s="84"/>
      <c r="API14" s="84"/>
      <c r="APJ14" s="84"/>
      <c r="APK14" s="84"/>
      <c r="APL14" s="84"/>
      <c r="APM14" s="84"/>
      <c r="APN14" s="84"/>
      <c r="APO14" s="84"/>
      <c r="APP14" s="84"/>
      <c r="APQ14" s="84"/>
      <c r="APR14" s="84"/>
      <c r="APS14" s="84"/>
      <c r="APT14" s="84"/>
      <c r="APU14" s="84"/>
      <c r="APV14" s="84"/>
      <c r="APW14" s="84"/>
      <c r="APX14" s="84"/>
      <c r="APY14" s="84"/>
      <c r="APZ14" s="84"/>
      <c r="AQA14" s="84"/>
      <c r="AQB14" s="84"/>
      <c r="AQC14" s="84"/>
      <c r="AQD14" s="84"/>
      <c r="AQE14" s="84"/>
      <c r="AQF14" s="84"/>
      <c r="AQG14" s="84"/>
      <c r="AQH14" s="84"/>
      <c r="AQI14" s="84"/>
      <c r="AQJ14" s="84"/>
      <c r="AQK14" s="84"/>
      <c r="AQL14" s="84"/>
      <c r="AQM14" s="84"/>
      <c r="AQN14" s="84"/>
      <c r="AQO14" s="84"/>
      <c r="AQP14" s="84"/>
      <c r="AQQ14" s="84"/>
      <c r="AQR14" s="84"/>
      <c r="AQS14" s="84"/>
      <c r="AQT14" s="84"/>
      <c r="AQU14" s="84"/>
      <c r="AQV14" s="84"/>
      <c r="AQW14" s="84"/>
      <c r="AQX14" s="84"/>
      <c r="AQY14" s="84"/>
      <c r="AQZ14" s="84"/>
      <c r="ARA14" s="84"/>
      <c r="ARB14" s="84"/>
      <c r="ARC14" s="84"/>
      <c r="ARD14" s="84"/>
      <c r="ARE14" s="84"/>
      <c r="ARF14" s="84"/>
      <c r="ARG14" s="84"/>
      <c r="ARH14" s="84"/>
      <c r="ARI14" s="84"/>
      <c r="ARJ14" s="84"/>
      <c r="ARK14" s="84"/>
      <c r="ARL14" s="84"/>
      <c r="ARM14" s="84"/>
      <c r="ARN14" s="84"/>
      <c r="ARO14" s="84"/>
      <c r="ARP14" s="84"/>
      <c r="ARQ14" s="84"/>
      <c r="ARR14" s="84"/>
      <c r="ARS14" s="84"/>
      <c r="ART14" s="84"/>
      <c r="ARU14" s="84"/>
      <c r="ARV14" s="84"/>
      <c r="ARW14" s="84"/>
      <c r="ARX14" s="84"/>
      <c r="ARY14" s="84"/>
      <c r="ARZ14" s="84"/>
      <c r="ASA14" s="84"/>
      <c r="ASB14" s="84"/>
      <c r="ASC14" s="84"/>
      <c r="ASD14" s="84"/>
      <c r="ASE14" s="84"/>
      <c r="ASF14" s="84"/>
      <c r="ASG14" s="84"/>
      <c r="ASH14" s="84"/>
      <c r="ASI14" s="84"/>
      <c r="ASJ14" s="84"/>
      <c r="ASK14" s="84"/>
      <c r="ASL14" s="84"/>
      <c r="ASM14" s="84"/>
      <c r="ASN14" s="84"/>
      <c r="ASO14" s="84"/>
      <c r="ASP14" s="84"/>
      <c r="ASQ14" s="84"/>
      <c r="ASR14" s="84"/>
      <c r="ASS14" s="84"/>
      <c r="AST14" s="84"/>
      <c r="ASU14" s="84"/>
      <c r="ASV14" s="84"/>
      <c r="ASW14" s="84"/>
      <c r="ASX14" s="84"/>
      <c r="ASY14" s="84"/>
      <c r="ASZ14" s="84"/>
      <c r="ATA14" s="84"/>
      <c r="ATB14" s="84"/>
      <c r="ATC14" s="84"/>
      <c r="ATD14" s="84"/>
      <c r="ATE14" s="84"/>
      <c r="ATF14" s="84"/>
      <c r="ATG14" s="84"/>
      <c r="ATH14" s="84"/>
      <c r="ATI14" s="84"/>
      <c r="ATJ14" s="84"/>
      <c r="ATK14" s="84"/>
      <c r="ATL14" s="84"/>
      <c r="ATM14" s="84"/>
      <c r="ATN14" s="84"/>
      <c r="ATO14" s="84"/>
      <c r="ATP14" s="84"/>
      <c r="ATQ14" s="84"/>
      <c r="ATR14" s="84"/>
      <c r="ATS14" s="84"/>
      <c r="ATT14" s="84"/>
      <c r="ATU14" s="84"/>
      <c r="ATV14" s="84"/>
      <c r="ATW14" s="84"/>
      <c r="ATX14" s="84"/>
      <c r="ATY14" s="84"/>
      <c r="ATZ14" s="84"/>
      <c r="AUA14" s="84"/>
      <c r="AUB14" s="84"/>
      <c r="AUC14" s="84"/>
      <c r="AUD14" s="84"/>
      <c r="AUE14" s="84"/>
      <c r="AUF14" s="84"/>
      <c r="AUG14" s="84"/>
      <c r="AUH14" s="84"/>
      <c r="AUI14" s="84"/>
      <c r="AUJ14" s="84"/>
      <c r="AUK14" s="84"/>
      <c r="AUL14" s="84"/>
      <c r="AUM14" s="84"/>
      <c r="AUN14" s="84"/>
      <c r="AUO14" s="84"/>
      <c r="AUP14" s="84"/>
      <c r="AUQ14" s="84"/>
      <c r="AUR14" s="84"/>
      <c r="AUS14" s="84"/>
      <c r="AUT14" s="84"/>
      <c r="AUU14" s="84"/>
      <c r="AUV14" s="84"/>
      <c r="AUW14" s="84"/>
      <c r="AUX14" s="84"/>
      <c r="AUY14" s="84"/>
      <c r="AUZ14" s="84"/>
      <c r="AVA14" s="84"/>
      <c r="AVB14" s="84"/>
      <c r="AVC14" s="84"/>
      <c r="AVD14" s="84"/>
      <c r="AVE14" s="84"/>
      <c r="AVF14" s="84"/>
      <c r="AVG14" s="84"/>
      <c r="AVH14" s="84"/>
      <c r="AVI14" s="84"/>
      <c r="AVJ14" s="84"/>
      <c r="AVK14" s="84"/>
      <c r="AVL14" s="84"/>
      <c r="AVM14" s="84"/>
      <c r="AVN14" s="84"/>
      <c r="AVO14" s="84"/>
      <c r="AVP14" s="84"/>
      <c r="AVQ14" s="84"/>
      <c r="AVR14" s="84"/>
      <c r="AVS14" s="84"/>
      <c r="AVT14" s="84"/>
      <c r="AVU14" s="84"/>
      <c r="AVV14" s="84"/>
      <c r="AVW14" s="84"/>
      <c r="AVX14" s="84"/>
      <c r="AVY14" s="84"/>
      <c r="AVZ14" s="84"/>
      <c r="AWA14" s="84"/>
      <c r="AWB14" s="84"/>
      <c r="AWC14" s="84"/>
      <c r="AWD14" s="84"/>
      <c r="AWE14" s="84"/>
      <c r="AWF14" s="84"/>
      <c r="AWG14" s="84"/>
      <c r="AWH14" s="84"/>
      <c r="AWI14" s="84"/>
      <c r="AWJ14" s="84"/>
      <c r="AWK14" s="84"/>
      <c r="AWL14" s="84"/>
      <c r="AWM14" s="84"/>
      <c r="AWN14" s="84"/>
      <c r="AWO14" s="84"/>
      <c r="AWP14" s="84"/>
      <c r="AWQ14" s="84"/>
      <c r="AWR14" s="84"/>
      <c r="AWS14" s="84"/>
      <c r="AWT14" s="84"/>
      <c r="AWU14" s="84"/>
      <c r="AWV14" s="84"/>
      <c r="AWW14" s="84"/>
      <c r="AWX14" s="84"/>
      <c r="AWY14" s="84"/>
      <c r="AWZ14" s="84"/>
      <c r="AXA14" s="84"/>
      <c r="AXB14" s="84"/>
      <c r="AXC14" s="84"/>
      <c r="AXD14" s="84"/>
      <c r="AXE14" s="84"/>
      <c r="AXF14" s="84"/>
      <c r="AXG14" s="84"/>
      <c r="AXH14" s="84"/>
      <c r="AXI14" s="84"/>
      <c r="AXJ14" s="84"/>
      <c r="AXK14" s="84"/>
      <c r="AXL14" s="84"/>
      <c r="AXM14" s="84"/>
      <c r="AXN14" s="84"/>
      <c r="AXO14" s="84"/>
      <c r="AXP14" s="84"/>
      <c r="AXQ14" s="84"/>
      <c r="AXR14" s="84"/>
      <c r="AXS14" s="84"/>
      <c r="AXT14" s="84"/>
      <c r="AXU14" s="84"/>
      <c r="AXV14" s="84"/>
      <c r="AXW14" s="84"/>
      <c r="AXX14" s="84"/>
      <c r="AXY14" s="84"/>
      <c r="AXZ14" s="84"/>
      <c r="AYA14" s="84"/>
      <c r="AYB14" s="84"/>
      <c r="AYC14" s="84"/>
      <c r="AYD14" s="84"/>
      <c r="AYE14" s="84"/>
      <c r="AYF14" s="84"/>
      <c r="AYG14" s="84"/>
      <c r="AYH14" s="84"/>
      <c r="AYI14" s="84"/>
      <c r="AYJ14" s="84"/>
      <c r="AYK14" s="84"/>
      <c r="AYL14" s="84"/>
      <c r="AYM14" s="84"/>
      <c r="AYN14" s="84"/>
      <c r="AYO14" s="84"/>
      <c r="AYP14" s="84"/>
      <c r="AYQ14" s="84"/>
      <c r="AYR14" s="84"/>
      <c r="AYS14" s="84"/>
      <c r="AYT14" s="84"/>
      <c r="AYU14" s="84"/>
      <c r="AYV14" s="84"/>
      <c r="AYW14" s="84"/>
      <c r="AYX14" s="84"/>
      <c r="AYY14" s="84"/>
      <c r="AYZ14" s="84"/>
      <c r="AZA14" s="84"/>
      <c r="AZB14" s="84"/>
      <c r="AZC14" s="84"/>
      <c r="AZD14" s="84"/>
      <c r="AZE14" s="84"/>
      <c r="AZF14" s="84"/>
      <c r="AZG14" s="84"/>
      <c r="AZH14" s="84"/>
      <c r="AZI14" s="84"/>
      <c r="AZJ14" s="84"/>
      <c r="AZK14" s="84"/>
      <c r="AZL14" s="84"/>
      <c r="AZM14" s="84"/>
      <c r="AZN14" s="84"/>
      <c r="AZO14" s="84"/>
      <c r="AZP14" s="84"/>
      <c r="AZQ14" s="84"/>
      <c r="AZR14" s="84"/>
      <c r="AZS14" s="84"/>
      <c r="AZT14" s="84"/>
      <c r="AZU14" s="84"/>
      <c r="AZV14" s="84"/>
      <c r="AZW14" s="84"/>
      <c r="AZX14" s="84"/>
      <c r="AZY14" s="84"/>
      <c r="AZZ14" s="84"/>
      <c r="BAA14" s="84"/>
      <c r="BAB14" s="84"/>
      <c r="BAC14" s="84"/>
      <c r="BAD14" s="84"/>
      <c r="BAE14" s="84"/>
      <c r="BAF14" s="84"/>
      <c r="BAG14" s="84"/>
      <c r="BAH14" s="84"/>
      <c r="BAI14" s="84"/>
      <c r="BAJ14" s="84"/>
      <c r="BAK14" s="84"/>
      <c r="BAL14" s="84"/>
      <c r="BAM14" s="84"/>
      <c r="BAN14" s="84"/>
      <c r="BAO14" s="84"/>
      <c r="BAP14" s="84"/>
      <c r="BAQ14" s="84"/>
      <c r="BAR14" s="84"/>
      <c r="BAS14" s="84"/>
      <c r="BAT14" s="84"/>
      <c r="BAU14" s="84"/>
      <c r="BAV14" s="84"/>
      <c r="BAW14" s="84"/>
      <c r="BAX14" s="84"/>
      <c r="BAY14" s="84"/>
      <c r="BAZ14" s="84"/>
      <c r="BBA14" s="84"/>
      <c r="BBB14" s="84"/>
      <c r="BBC14" s="84"/>
      <c r="BBD14" s="84"/>
      <c r="BBE14" s="84"/>
      <c r="BBF14" s="84"/>
      <c r="BBG14" s="84"/>
      <c r="BBH14" s="84"/>
      <c r="BBI14" s="84"/>
      <c r="BBJ14" s="84"/>
      <c r="BBK14" s="84"/>
      <c r="BBL14" s="84"/>
      <c r="BBM14" s="84"/>
      <c r="BBN14" s="84"/>
      <c r="BBO14" s="84"/>
      <c r="BBP14" s="84"/>
      <c r="BBQ14" s="84"/>
      <c r="BBR14" s="84"/>
      <c r="BBS14" s="84"/>
      <c r="BBT14" s="84"/>
      <c r="BBU14" s="84"/>
      <c r="BBV14" s="84"/>
      <c r="BBW14" s="84"/>
      <c r="BBX14" s="84"/>
      <c r="BBY14" s="84"/>
      <c r="BBZ14" s="84"/>
      <c r="BCA14" s="84"/>
      <c r="BCB14" s="84"/>
      <c r="BCC14" s="84"/>
      <c r="BCD14" s="84"/>
      <c r="BCE14" s="84"/>
      <c r="BCF14" s="84"/>
      <c r="BCG14" s="84"/>
      <c r="BCH14" s="84"/>
      <c r="BCI14" s="84"/>
      <c r="BCJ14" s="84"/>
      <c r="BCK14" s="84"/>
      <c r="BCL14" s="84"/>
      <c r="BCM14" s="84"/>
      <c r="BCN14" s="84"/>
      <c r="BCO14" s="84"/>
      <c r="BCP14" s="84"/>
      <c r="BCQ14" s="84"/>
      <c r="BCR14" s="84"/>
      <c r="BCS14" s="84"/>
      <c r="BCT14" s="84"/>
      <c r="BCU14" s="84"/>
      <c r="BCV14" s="84"/>
      <c r="BCW14" s="84"/>
      <c r="BCX14" s="84"/>
      <c r="BCY14" s="84"/>
      <c r="BCZ14" s="84"/>
      <c r="BDA14" s="84"/>
      <c r="BDB14" s="84"/>
      <c r="BDC14" s="84"/>
      <c r="BDD14" s="84"/>
      <c r="BDE14" s="84"/>
      <c r="BDF14" s="84"/>
      <c r="BDG14" s="84"/>
      <c r="BDH14" s="84"/>
      <c r="BDI14" s="84"/>
      <c r="BDJ14" s="84"/>
      <c r="BDK14" s="84"/>
      <c r="BDL14" s="84"/>
      <c r="BDM14" s="84"/>
      <c r="BDN14" s="84"/>
      <c r="BDO14" s="84"/>
      <c r="BDP14" s="84"/>
      <c r="BDQ14" s="84"/>
      <c r="BDR14" s="84"/>
      <c r="BDS14" s="84"/>
      <c r="BDT14" s="84"/>
      <c r="BDU14" s="84"/>
      <c r="BDV14" s="84"/>
      <c r="BDW14" s="84"/>
      <c r="BDX14" s="84"/>
      <c r="BDY14" s="84"/>
      <c r="BDZ14" s="84"/>
      <c r="BEA14" s="84"/>
      <c r="BEB14" s="84"/>
      <c r="BEC14" s="84"/>
      <c r="BED14" s="84"/>
      <c r="BEE14" s="84"/>
      <c r="BEF14" s="84"/>
      <c r="BEG14" s="84"/>
      <c r="BEH14" s="84"/>
      <c r="BEI14" s="84"/>
      <c r="BEJ14" s="84"/>
      <c r="BEK14" s="84"/>
      <c r="BEL14" s="84"/>
      <c r="BEM14" s="84"/>
      <c r="BEN14" s="84"/>
      <c r="BEO14" s="84"/>
      <c r="BEP14" s="84"/>
      <c r="BEQ14" s="84"/>
      <c r="BER14" s="84"/>
      <c r="BES14" s="84"/>
      <c r="BET14" s="84"/>
      <c r="BEU14" s="84"/>
      <c r="BEV14" s="84"/>
      <c r="BEW14" s="84"/>
      <c r="BEX14" s="84"/>
      <c r="BEY14" s="84"/>
      <c r="BEZ14" s="84"/>
      <c r="BFA14" s="84"/>
      <c r="BFB14" s="84"/>
      <c r="BFC14" s="84"/>
      <c r="BFD14" s="84"/>
      <c r="BFE14" s="84"/>
      <c r="BFF14" s="84"/>
      <c r="BFG14" s="84"/>
      <c r="BFH14" s="84"/>
      <c r="BFI14" s="84"/>
      <c r="BFJ14" s="84"/>
      <c r="BFK14" s="84"/>
      <c r="BFL14" s="84"/>
      <c r="BFM14" s="84"/>
      <c r="BFN14" s="84"/>
      <c r="BFO14" s="84"/>
      <c r="BFP14" s="84"/>
      <c r="BFQ14" s="84"/>
      <c r="BFR14" s="84"/>
      <c r="BFS14" s="84"/>
      <c r="BFT14" s="84"/>
      <c r="BFU14" s="84"/>
      <c r="BFV14" s="84"/>
      <c r="BFW14" s="84"/>
      <c r="BFX14" s="84"/>
      <c r="BFY14" s="84"/>
      <c r="BFZ14" s="84"/>
      <c r="BGA14" s="84"/>
      <c r="BGB14" s="84"/>
      <c r="BGC14" s="84"/>
      <c r="BGD14" s="84"/>
      <c r="BGE14" s="84"/>
      <c r="BGF14" s="84"/>
      <c r="BGG14" s="84"/>
      <c r="BGH14" s="84"/>
      <c r="BGI14" s="84"/>
      <c r="BGJ14" s="84"/>
      <c r="BGK14" s="84"/>
      <c r="BGL14" s="84"/>
      <c r="BGM14" s="84"/>
      <c r="BGN14" s="84"/>
      <c r="BGO14" s="84"/>
      <c r="BGP14" s="84"/>
      <c r="BGQ14" s="84"/>
      <c r="BGR14" s="84"/>
      <c r="BGS14" s="84"/>
      <c r="BGT14" s="84"/>
      <c r="BGU14" s="84"/>
      <c r="BGV14" s="84"/>
      <c r="BGW14" s="84"/>
      <c r="BGX14" s="84"/>
      <c r="BGY14" s="84"/>
      <c r="BGZ14" s="84"/>
      <c r="BHA14" s="84"/>
      <c r="BHB14" s="84"/>
      <c r="BHC14" s="84"/>
      <c r="BHD14" s="84"/>
      <c r="BHE14" s="84"/>
      <c r="BHF14" s="84"/>
      <c r="BHG14" s="84"/>
      <c r="BHH14" s="84"/>
      <c r="BHI14" s="84"/>
      <c r="BHJ14" s="84"/>
      <c r="BHK14" s="84"/>
      <c r="BHL14" s="84"/>
      <c r="BHM14" s="84"/>
      <c r="BHN14" s="84"/>
      <c r="BHO14" s="84"/>
      <c r="BHP14" s="84"/>
      <c r="BHQ14" s="84"/>
      <c r="BHR14" s="84"/>
      <c r="BHS14" s="84"/>
      <c r="BHT14" s="84"/>
      <c r="BHU14" s="84"/>
      <c r="BHV14" s="84"/>
      <c r="BHW14" s="84"/>
      <c r="BHX14" s="84"/>
      <c r="BHY14" s="84"/>
      <c r="BHZ14" s="84"/>
      <c r="BIA14" s="84"/>
      <c r="BIB14" s="84"/>
      <c r="BIC14" s="84"/>
      <c r="BID14" s="84"/>
      <c r="BIE14" s="84"/>
      <c r="BIF14" s="84"/>
      <c r="BIG14" s="84"/>
      <c r="BIH14" s="84"/>
      <c r="BII14" s="84"/>
      <c r="BIJ14" s="84"/>
      <c r="BIK14" s="84"/>
      <c r="BIL14" s="84"/>
      <c r="BIM14" s="84"/>
      <c r="BIN14" s="84"/>
      <c r="BIO14" s="84"/>
      <c r="BIP14" s="84"/>
      <c r="BIQ14" s="84"/>
      <c r="BIR14" s="84"/>
      <c r="BIS14" s="84"/>
      <c r="BIT14" s="84"/>
      <c r="BIU14" s="84"/>
      <c r="BIV14" s="84"/>
      <c r="BIW14" s="84"/>
      <c r="BIX14" s="84"/>
      <c r="BIY14" s="84"/>
      <c r="BIZ14" s="84"/>
      <c r="BJA14" s="84"/>
      <c r="BJB14" s="84"/>
      <c r="BJC14" s="84"/>
      <c r="BJD14" s="84"/>
      <c r="BJE14" s="84"/>
      <c r="BJF14" s="84"/>
      <c r="BJG14" s="84"/>
      <c r="BJH14" s="84"/>
      <c r="BJI14" s="84"/>
      <c r="BJJ14" s="84"/>
      <c r="BJK14" s="84"/>
      <c r="BJL14" s="84"/>
      <c r="BJM14" s="84"/>
      <c r="BJN14" s="84"/>
      <c r="BJO14" s="84"/>
      <c r="BJP14" s="84"/>
      <c r="BJQ14" s="84"/>
      <c r="BJR14" s="84"/>
      <c r="BJS14" s="84"/>
      <c r="BJT14" s="84"/>
      <c r="BJU14" s="84"/>
      <c r="BJV14" s="84"/>
      <c r="BJW14" s="84"/>
      <c r="BJX14" s="84"/>
      <c r="BJY14" s="84"/>
      <c r="BJZ14" s="84"/>
      <c r="BKA14" s="84"/>
      <c r="BKB14" s="84"/>
      <c r="BKC14" s="84"/>
      <c r="BKD14" s="84"/>
      <c r="BKE14" s="84"/>
      <c r="BKF14" s="84"/>
      <c r="BKG14" s="84"/>
      <c r="BKH14" s="84"/>
      <c r="BKI14" s="84"/>
      <c r="BKJ14" s="84"/>
      <c r="BKK14" s="84"/>
      <c r="BKL14" s="84"/>
      <c r="BKM14" s="84"/>
      <c r="BKN14" s="84"/>
      <c r="BKO14" s="84"/>
      <c r="BKP14" s="84"/>
      <c r="BKQ14" s="84"/>
      <c r="BKR14" s="84"/>
      <c r="BKS14" s="84"/>
      <c r="BKT14" s="84"/>
      <c r="BKU14" s="84"/>
      <c r="BKV14" s="84"/>
      <c r="BKW14" s="84"/>
      <c r="BKX14" s="84"/>
      <c r="BKY14" s="84"/>
      <c r="BKZ14" s="84"/>
      <c r="BLA14" s="84"/>
      <c r="BLB14" s="84"/>
      <c r="BLC14" s="84"/>
      <c r="BLD14" s="84"/>
      <c r="BLE14" s="84"/>
      <c r="BLF14" s="84"/>
      <c r="BLG14" s="84"/>
      <c r="BLH14" s="84"/>
      <c r="BLI14" s="84"/>
      <c r="BLJ14" s="84"/>
      <c r="BLK14" s="84"/>
      <c r="BLL14" s="84"/>
      <c r="BLM14" s="84"/>
      <c r="BLN14" s="84"/>
      <c r="BLO14" s="84"/>
      <c r="BLP14" s="84"/>
      <c r="BLQ14" s="84"/>
      <c r="BLR14" s="84"/>
      <c r="BLS14" s="84"/>
      <c r="BLT14" s="84"/>
      <c r="BLU14" s="84"/>
      <c r="BLV14" s="84"/>
      <c r="BLW14" s="84"/>
      <c r="BLX14" s="84"/>
      <c r="BLY14" s="84"/>
      <c r="BLZ14" s="84"/>
      <c r="BMA14" s="84"/>
      <c r="BMB14" s="84"/>
      <c r="BMC14" s="84"/>
      <c r="BMD14" s="84"/>
      <c r="BME14" s="84"/>
      <c r="BMF14" s="84"/>
      <c r="BMG14" s="84"/>
      <c r="BMH14" s="84"/>
      <c r="BMI14" s="84"/>
      <c r="BMJ14" s="84"/>
      <c r="BMK14" s="84"/>
      <c r="BML14" s="84"/>
      <c r="BMM14" s="84"/>
      <c r="BMN14" s="84"/>
      <c r="BMO14" s="84"/>
      <c r="BMP14" s="84"/>
      <c r="BMQ14" s="84"/>
      <c r="BMR14" s="84"/>
      <c r="BMS14" s="84"/>
      <c r="BMT14" s="84"/>
      <c r="BMU14" s="84"/>
      <c r="BMV14" s="84"/>
      <c r="BMW14" s="84"/>
      <c r="BMX14" s="84"/>
      <c r="BMY14" s="84"/>
      <c r="BMZ14" s="84"/>
      <c r="BNA14" s="84"/>
      <c r="BNB14" s="84"/>
      <c r="BNC14" s="84"/>
      <c r="BND14" s="84"/>
      <c r="BNE14" s="84"/>
      <c r="BNF14" s="84"/>
      <c r="BNG14" s="84"/>
      <c r="BNH14" s="84"/>
      <c r="BNI14" s="84"/>
      <c r="BNJ14" s="84"/>
      <c r="BNK14" s="84"/>
      <c r="BNL14" s="84"/>
      <c r="BNM14" s="84"/>
      <c r="BNN14" s="84"/>
      <c r="BNO14" s="84"/>
      <c r="BNP14" s="84"/>
      <c r="BNQ14" s="84"/>
      <c r="BNR14" s="84"/>
      <c r="BNS14" s="84"/>
      <c r="BNT14" s="84"/>
      <c r="BNU14" s="84"/>
      <c r="BNV14" s="84"/>
      <c r="BNW14" s="84"/>
      <c r="BNX14" s="84"/>
      <c r="BNY14" s="84"/>
      <c r="BNZ14" s="84"/>
      <c r="BOA14" s="84"/>
      <c r="BOB14" s="84"/>
      <c r="BOC14" s="84"/>
      <c r="BOD14" s="84"/>
      <c r="BOE14" s="84"/>
      <c r="BOF14" s="84"/>
      <c r="BOG14" s="84"/>
      <c r="BOH14" s="84"/>
      <c r="BOI14" s="84"/>
      <c r="BOJ14" s="84"/>
      <c r="BOK14" s="84"/>
      <c r="BOL14" s="84"/>
      <c r="BOM14" s="84"/>
      <c r="BON14" s="84"/>
      <c r="BOO14" s="84"/>
      <c r="BOP14" s="84"/>
      <c r="BOQ14" s="84"/>
      <c r="BOR14" s="84"/>
      <c r="BOS14" s="84"/>
      <c r="BOT14" s="84"/>
      <c r="BOU14" s="84"/>
      <c r="BOV14" s="84"/>
      <c r="BOW14" s="84"/>
      <c r="BOX14" s="84"/>
      <c r="BOY14" s="84"/>
      <c r="BOZ14" s="84"/>
      <c r="BPA14" s="84"/>
      <c r="BPB14" s="84"/>
      <c r="BPC14" s="84"/>
      <c r="BPD14" s="84"/>
      <c r="BPE14" s="84"/>
      <c r="BPF14" s="84"/>
      <c r="BPG14" s="84"/>
      <c r="BPH14" s="84"/>
      <c r="BPI14" s="84"/>
      <c r="BPJ14" s="84"/>
      <c r="BPK14" s="84"/>
      <c r="BPL14" s="84"/>
      <c r="BPM14" s="84"/>
      <c r="BPN14" s="84"/>
      <c r="BPO14" s="84"/>
      <c r="BPP14" s="84"/>
      <c r="BPQ14" s="84"/>
      <c r="BPR14" s="84"/>
      <c r="BPS14" s="84"/>
      <c r="BPT14" s="84"/>
      <c r="BPU14" s="84"/>
      <c r="BPV14" s="84"/>
      <c r="BPW14" s="84"/>
      <c r="BPX14" s="84"/>
      <c r="BPY14" s="84"/>
      <c r="BPZ14" s="84"/>
      <c r="BQA14" s="84"/>
      <c r="BQB14" s="84"/>
      <c r="BQC14" s="84"/>
      <c r="BQD14" s="84"/>
      <c r="BQE14" s="84"/>
      <c r="BQF14" s="84"/>
      <c r="BQG14" s="84"/>
      <c r="BQH14" s="84"/>
      <c r="BQI14" s="84"/>
      <c r="BQJ14" s="84"/>
      <c r="BQK14" s="84"/>
      <c r="BQL14" s="84"/>
      <c r="BQM14" s="84"/>
      <c r="BQN14" s="84"/>
      <c r="BQO14" s="84"/>
      <c r="BQP14" s="84"/>
      <c r="BQQ14" s="84"/>
      <c r="BQR14" s="84"/>
      <c r="BQS14" s="84"/>
      <c r="BQT14" s="84"/>
      <c r="BQU14" s="84"/>
      <c r="BQV14" s="84"/>
      <c r="BQW14" s="84"/>
      <c r="BQX14" s="84"/>
      <c r="BQY14" s="84"/>
      <c r="BQZ14" s="84"/>
      <c r="BRA14" s="84"/>
      <c r="BRB14" s="84"/>
      <c r="BRC14" s="84"/>
      <c r="BRD14" s="84"/>
      <c r="BRE14" s="84"/>
      <c r="BRF14" s="84"/>
      <c r="BRG14" s="84"/>
      <c r="BRH14" s="84"/>
      <c r="BRI14" s="84"/>
      <c r="BRJ14" s="84"/>
      <c r="BRK14" s="84"/>
      <c r="BRL14" s="84"/>
      <c r="BRM14" s="84"/>
      <c r="BRN14" s="84"/>
      <c r="BRO14" s="84"/>
      <c r="BRP14" s="84"/>
      <c r="BRQ14" s="84"/>
      <c r="BRR14" s="84"/>
      <c r="BRS14" s="84"/>
      <c r="BRT14" s="84"/>
      <c r="BRU14" s="84"/>
      <c r="BRV14" s="84"/>
      <c r="BRW14" s="84"/>
      <c r="BRX14" s="84"/>
      <c r="BRY14" s="84"/>
      <c r="BRZ14" s="84"/>
      <c r="BSA14" s="84"/>
      <c r="BSB14" s="84"/>
      <c r="BSC14" s="84"/>
      <c r="BSD14" s="84"/>
      <c r="BSE14" s="84"/>
      <c r="BSF14" s="84"/>
      <c r="BSG14" s="84"/>
      <c r="BSH14" s="84"/>
      <c r="BSI14" s="84"/>
      <c r="BSJ14" s="84"/>
      <c r="BSK14" s="84"/>
      <c r="BSL14" s="84"/>
      <c r="BSM14" s="84"/>
      <c r="BSN14" s="84"/>
      <c r="BSO14" s="84"/>
      <c r="BSP14" s="84"/>
      <c r="BSQ14" s="84"/>
      <c r="BSR14" s="84"/>
      <c r="BSS14" s="84"/>
      <c r="BST14" s="84"/>
      <c r="BSU14" s="84"/>
      <c r="BSV14" s="84"/>
      <c r="BSW14" s="84"/>
      <c r="BSX14" s="84"/>
      <c r="BSY14" s="84"/>
      <c r="BSZ14" s="84"/>
      <c r="BTA14" s="84"/>
      <c r="BTB14" s="84"/>
      <c r="BTC14" s="84"/>
      <c r="BTD14" s="84"/>
      <c r="BTE14" s="84"/>
      <c r="BTF14" s="84"/>
      <c r="BTG14" s="84"/>
      <c r="BTH14" s="84"/>
      <c r="BTI14" s="84"/>
      <c r="BTJ14" s="84"/>
      <c r="BTK14" s="84"/>
      <c r="BTL14" s="84"/>
      <c r="BTM14" s="84"/>
      <c r="BTN14" s="84"/>
      <c r="BTO14" s="84"/>
      <c r="BTP14" s="84"/>
      <c r="BTQ14" s="84"/>
      <c r="BTR14" s="84"/>
      <c r="BTS14" s="84"/>
      <c r="BTT14" s="84"/>
      <c r="BTU14" s="84"/>
      <c r="BTV14" s="84"/>
      <c r="BTW14" s="84"/>
      <c r="BTX14" s="84"/>
      <c r="BTY14" s="84"/>
      <c r="BTZ14" s="84"/>
      <c r="BUA14" s="84"/>
      <c r="BUB14" s="84"/>
      <c r="BUC14" s="84"/>
      <c r="BUD14" s="84"/>
      <c r="BUE14" s="84"/>
      <c r="BUF14" s="84"/>
      <c r="BUG14" s="84"/>
      <c r="BUH14" s="84"/>
      <c r="BUI14" s="84"/>
      <c r="BUJ14" s="84"/>
      <c r="BUK14" s="84"/>
      <c r="BUL14" s="84"/>
      <c r="BUM14" s="84"/>
      <c r="BUN14" s="84"/>
      <c r="BUO14" s="84"/>
      <c r="BUP14" s="84"/>
      <c r="BUQ14" s="84"/>
      <c r="BUR14" s="84"/>
      <c r="BUS14" s="84"/>
      <c r="BUT14" s="84"/>
      <c r="BUU14" s="84"/>
      <c r="BUV14" s="84"/>
      <c r="BUW14" s="84"/>
      <c r="BUX14" s="84"/>
      <c r="BUY14" s="84"/>
      <c r="BUZ14" s="84"/>
      <c r="BVA14" s="84"/>
      <c r="BVB14" s="84"/>
      <c r="BVC14" s="84"/>
      <c r="BVD14" s="84"/>
      <c r="BVE14" s="84"/>
      <c r="BVF14" s="84"/>
      <c r="BVG14" s="84"/>
      <c r="BVH14" s="84"/>
      <c r="BVI14" s="84"/>
      <c r="BVJ14" s="84"/>
      <c r="BVK14" s="84"/>
      <c r="BVL14" s="84"/>
      <c r="BVM14" s="84"/>
      <c r="BVN14" s="84"/>
      <c r="BVO14" s="84"/>
      <c r="BVP14" s="84"/>
      <c r="BVQ14" s="84"/>
      <c r="BVR14" s="84"/>
      <c r="BVS14" s="84"/>
      <c r="BVT14" s="84"/>
      <c r="BVU14" s="84"/>
      <c r="BVV14" s="84"/>
      <c r="BVW14" s="84"/>
      <c r="BVX14" s="84"/>
      <c r="BVY14" s="84"/>
      <c r="BVZ14" s="84"/>
      <c r="BWA14" s="84"/>
      <c r="BWB14" s="84"/>
      <c r="BWC14" s="84"/>
      <c r="BWD14" s="84"/>
      <c r="BWE14" s="84"/>
      <c r="BWF14" s="84"/>
      <c r="BWG14" s="84"/>
      <c r="BWH14" s="84"/>
      <c r="BWI14" s="84"/>
      <c r="BWJ14" s="84"/>
      <c r="BWK14" s="84"/>
      <c r="BWL14" s="84"/>
      <c r="BWM14" s="84"/>
      <c r="BWN14" s="84"/>
      <c r="BWO14" s="84"/>
      <c r="BWP14" s="84"/>
      <c r="BWQ14" s="84"/>
      <c r="BWR14" s="84"/>
      <c r="BWS14" s="84"/>
      <c r="BWT14" s="84"/>
      <c r="BWU14" s="84"/>
      <c r="BWV14" s="84"/>
      <c r="BWW14" s="84"/>
      <c r="BWX14" s="84"/>
      <c r="BWY14" s="84"/>
      <c r="BWZ14" s="84"/>
      <c r="BXA14" s="84"/>
      <c r="BXB14" s="84"/>
      <c r="BXC14" s="84"/>
      <c r="BXD14" s="84"/>
      <c r="BXE14" s="84"/>
      <c r="BXF14" s="84"/>
      <c r="BXG14" s="84"/>
      <c r="BXH14" s="84"/>
      <c r="BXI14" s="84"/>
      <c r="BXJ14" s="84"/>
      <c r="BXK14" s="84"/>
      <c r="BXL14" s="84"/>
      <c r="BXM14" s="84"/>
      <c r="BXN14" s="84"/>
      <c r="BXO14" s="84"/>
      <c r="BXP14" s="84"/>
      <c r="BXQ14" s="84"/>
      <c r="BXR14" s="84"/>
      <c r="BXS14" s="84"/>
      <c r="BXT14" s="84"/>
      <c r="BXU14" s="84"/>
      <c r="BXV14" s="84"/>
      <c r="BXW14" s="84"/>
      <c r="BXX14" s="84"/>
      <c r="BXY14" s="84"/>
      <c r="BXZ14" s="84"/>
      <c r="BYA14" s="84"/>
      <c r="BYB14" s="84"/>
      <c r="BYC14" s="84"/>
      <c r="BYD14" s="84"/>
      <c r="BYE14" s="84"/>
      <c r="BYF14" s="84"/>
      <c r="BYG14" s="84"/>
      <c r="BYH14" s="84"/>
      <c r="BYI14" s="84"/>
      <c r="BYJ14" s="84"/>
      <c r="BYK14" s="84"/>
      <c r="BYL14" s="84"/>
      <c r="BYM14" s="84"/>
      <c r="BYN14" s="84"/>
      <c r="BYO14" s="84"/>
      <c r="BYP14" s="84"/>
      <c r="BYQ14" s="84"/>
      <c r="BYR14" s="84"/>
      <c r="BYS14" s="84"/>
      <c r="BYT14" s="84"/>
      <c r="BYU14" s="84"/>
      <c r="BYV14" s="84"/>
      <c r="BYW14" s="84"/>
      <c r="BYX14" s="84"/>
      <c r="BYY14" s="84"/>
      <c r="BYZ14" s="84"/>
      <c r="BZA14" s="84"/>
      <c r="BZB14" s="84"/>
      <c r="BZC14" s="84"/>
      <c r="BZD14" s="84"/>
      <c r="BZE14" s="84"/>
      <c r="BZF14" s="84"/>
      <c r="BZG14" s="84"/>
      <c r="BZH14" s="84"/>
      <c r="BZI14" s="84"/>
      <c r="BZJ14" s="84"/>
      <c r="BZK14" s="84"/>
      <c r="BZL14" s="84"/>
      <c r="BZM14" s="84"/>
      <c r="BZN14" s="84"/>
      <c r="BZO14" s="84"/>
      <c r="BZP14" s="84"/>
      <c r="BZQ14" s="84"/>
      <c r="BZR14" s="84"/>
      <c r="BZS14" s="84"/>
      <c r="BZT14" s="84"/>
      <c r="BZU14" s="84"/>
      <c r="BZV14" s="84"/>
      <c r="BZW14" s="84"/>
      <c r="BZX14" s="84"/>
      <c r="BZY14" s="84"/>
      <c r="BZZ14" s="84"/>
      <c r="CAA14" s="84"/>
      <c r="CAB14" s="84"/>
      <c r="CAC14" s="84"/>
      <c r="CAD14" s="84"/>
      <c r="CAE14" s="84"/>
      <c r="CAF14" s="84"/>
      <c r="CAG14" s="84"/>
      <c r="CAH14" s="84"/>
      <c r="CAI14" s="84"/>
      <c r="CAJ14" s="84"/>
      <c r="CAK14" s="84"/>
      <c r="CAL14" s="84"/>
      <c r="CAM14" s="84"/>
      <c r="CAN14" s="84"/>
      <c r="CAO14" s="84"/>
      <c r="CAP14" s="84"/>
      <c r="CAQ14" s="84"/>
      <c r="CAR14" s="84"/>
      <c r="CAS14" s="84"/>
      <c r="CAT14" s="84"/>
      <c r="CAU14" s="84"/>
      <c r="CAV14" s="84"/>
      <c r="CAW14" s="84"/>
      <c r="CAX14" s="84"/>
      <c r="CAY14" s="84"/>
      <c r="CAZ14" s="84"/>
      <c r="CBA14" s="84"/>
      <c r="CBB14" s="84"/>
      <c r="CBC14" s="84"/>
      <c r="CBD14" s="84"/>
      <c r="CBE14" s="84"/>
      <c r="CBF14" s="84"/>
      <c r="CBG14" s="84"/>
      <c r="CBH14" s="84"/>
      <c r="CBI14" s="84"/>
      <c r="CBJ14" s="84"/>
      <c r="CBK14" s="84"/>
      <c r="CBL14" s="84"/>
      <c r="CBM14" s="84"/>
      <c r="CBN14" s="84"/>
      <c r="CBO14" s="84"/>
      <c r="CBP14" s="84"/>
      <c r="CBQ14" s="84"/>
      <c r="CBR14" s="84"/>
      <c r="CBS14" s="84"/>
      <c r="CBT14" s="84"/>
      <c r="CBU14" s="84"/>
      <c r="CBV14" s="84"/>
      <c r="CBW14" s="84"/>
      <c r="CBX14" s="84"/>
      <c r="CBY14" s="84"/>
      <c r="CBZ14" s="84"/>
      <c r="CCA14" s="84"/>
      <c r="CCB14" s="84"/>
      <c r="CCC14" s="84"/>
      <c r="CCD14" s="84"/>
      <c r="CCE14" s="84"/>
      <c r="CCF14" s="84"/>
      <c r="CCG14" s="84"/>
      <c r="CCH14" s="84"/>
      <c r="CCI14" s="84"/>
      <c r="CCJ14" s="84"/>
      <c r="CCK14" s="84"/>
      <c r="CCL14" s="84"/>
      <c r="CCM14" s="84"/>
      <c r="CCN14" s="84"/>
      <c r="CCO14" s="84"/>
      <c r="CCP14" s="84"/>
      <c r="CCQ14" s="84"/>
      <c r="CCR14" s="84"/>
      <c r="CCS14" s="84"/>
      <c r="CCT14" s="84"/>
      <c r="CCU14" s="84"/>
      <c r="CCV14" s="84"/>
      <c r="CCW14" s="84"/>
      <c r="CCX14" s="84"/>
      <c r="CCY14" s="84"/>
      <c r="CCZ14" s="84"/>
      <c r="CDA14" s="84"/>
      <c r="CDB14" s="84"/>
      <c r="CDC14" s="84"/>
      <c r="CDD14" s="84"/>
      <c r="CDE14" s="84"/>
      <c r="CDF14" s="84"/>
      <c r="CDG14" s="84"/>
      <c r="CDH14" s="84"/>
      <c r="CDI14" s="84"/>
      <c r="CDJ14" s="84"/>
      <c r="CDK14" s="84"/>
      <c r="CDL14" s="84"/>
      <c r="CDM14" s="84"/>
      <c r="CDN14" s="84"/>
      <c r="CDO14" s="84"/>
      <c r="CDP14" s="84"/>
      <c r="CDQ14" s="84"/>
      <c r="CDR14" s="84"/>
      <c r="CDS14" s="84"/>
      <c r="CDT14" s="84"/>
      <c r="CDU14" s="84"/>
      <c r="CDV14" s="84"/>
      <c r="CDW14" s="84"/>
      <c r="CDX14" s="84"/>
      <c r="CDY14" s="84"/>
      <c r="CDZ14" s="84"/>
      <c r="CEA14" s="84"/>
      <c r="CEB14" s="84"/>
      <c r="CEC14" s="84"/>
      <c r="CED14" s="84"/>
      <c r="CEE14" s="84"/>
      <c r="CEF14" s="84"/>
      <c r="CEG14" s="84"/>
      <c r="CEH14" s="84"/>
      <c r="CEI14" s="84"/>
      <c r="CEJ14" s="84"/>
      <c r="CEK14" s="84"/>
      <c r="CEL14" s="84"/>
      <c r="CEM14" s="84"/>
      <c r="CEN14" s="84"/>
      <c r="CEO14" s="84"/>
      <c r="CEP14" s="84"/>
      <c r="CEQ14" s="84"/>
      <c r="CER14" s="84"/>
      <c r="CES14" s="84"/>
      <c r="CET14" s="84"/>
      <c r="CEU14" s="84"/>
      <c r="CEV14" s="84"/>
      <c r="CEW14" s="84"/>
      <c r="CEX14" s="84"/>
      <c r="CEY14" s="84"/>
      <c r="CEZ14" s="84"/>
      <c r="CFA14" s="84"/>
      <c r="CFB14" s="84"/>
      <c r="CFC14" s="84"/>
      <c r="CFD14" s="84"/>
      <c r="CFE14" s="84"/>
      <c r="CFF14" s="84"/>
      <c r="CFG14" s="84"/>
      <c r="CFH14" s="84"/>
      <c r="CFI14" s="84"/>
      <c r="CFJ14" s="84"/>
      <c r="CFK14" s="84"/>
      <c r="CFL14" s="84"/>
      <c r="CFM14" s="84"/>
      <c r="CFN14" s="84"/>
      <c r="CFO14" s="84"/>
      <c r="CFP14" s="84"/>
      <c r="CFQ14" s="84"/>
      <c r="CFR14" s="84"/>
      <c r="CFS14" s="84"/>
      <c r="CFT14" s="84"/>
      <c r="CFU14" s="84"/>
      <c r="CFV14" s="84"/>
      <c r="CFW14" s="84"/>
      <c r="CFX14" s="84"/>
      <c r="CFY14" s="84"/>
      <c r="CFZ14" s="84"/>
      <c r="CGA14" s="84"/>
      <c r="CGB14" s="84"/>
      <c r="CGC14" s="84"/>
      <c r="CGD14" s="84"/>
      <c r="CGE14" s="84"/>
      <c r="CGF14" s="84"/>
      <c r="CGG14" s="84"/>
      <c r="CGH14" s="84"/>
      <c r="CGI14" s="84"/>
      <c r="CGJ14" s="84"/>
      <c r="CGK14" s="84"/>
      <c r="CGL14" s="84"/>
      <c r="CGM14" s="84"/>
      <c r="CGN14" s="84"/>
      <c r="CGO14" s="84"/>
      <c r="CGP14" s="84"/>
      <c r="CGQ14" s="84"/>
      <c r="CGR14" s="84"/>
      <c r="CGS14" s="84"/>
      <c r="CGT14" s="84"/>
      <c r="CGU14" s="84"/>
      <c r="CGV14" s="84"/>
      <c r="CGW14" s="84"/>
      <c r="CGX14" s="84"/>
      <c r="CGY14" s="84"/>
      <c r="CGZ14" s="84"/>
      <c r="CHA14" s="84"/>
      <c r="CHB14" s="84"/>
      <c r="CHC14" s="84"/>
      <c r="CHD14" s="84"/>
      <c r="CHE14" s="84"/>
      <c r="CHF14" s="84"/>
      <c r="CHG14" s="84"/>
      <c r="CHH14" s="84"/>
      <c r="CHI14" s="84"/>
      <c r="CHJ14" s="84"/>
      <c r="CHK14" s="84"/>
      <c r="CHL14" s="84"/>
      <c r="CHM14" s="84"/>
      <c r="CHN14" s="84"/>
      <c r="CHO14" s="84"/>
      <c r="CHP14" s="84"/>
      <c r="CHQ14" s="84"/>
      <c r="CHR14" s="84"/>
      <c r="CHS14" s="84"/>
      <c r="CHT14" s="84"/>
      <c r="CHU14" s="84"/>
      <c r="CHV14" s="84"/>
      <c r="CHW14" s="84"/>
      <c r="CHX14" s="84"/>
      <c r="CHY14" s="84"/>
      <c r="CHZ14" s="84"/>
      <c r="CIA14" s="84"/>
      <c r="CIB14" s="84"/>
      <c r="CIC14" s="84"/>
      <c r="CID14" s="84"/>
      <c r="CIE14" s="84"/>
      <c r="CIF14" s="84"/>
      <c r="CIG14" s="84"/>
      <c r="CIH14" s="84"/>
      <c r="CII14" s="84"/>
      <c r="CIJ14" s="84"/>
      <c r="CIK14" s="84"/>
      <c r="CIL14" s="84"/>
      <c r="CIM14" s="84"/>
      <c r="CIN14" s="84"/>
      <c r="CIO14" s="84"/>
      <c r="CIP14" s="84"/>
      <c r="CIQ14" s="84"/>
      <c r="CIR14" s="84"/>
      <c r="CIS14" s="84"/>
      <c r="CIT14" s="84"/>
      <c r="CIU14" s="84"/>
      <c r="CIV14" s="84"/>
      <c r="CIW14" s="84"/>
      <c r="CIX14" s="84"/>
      <c r="CIY14" s="84"/>
      <c r="CIZ14" s="84"/>
      <c r="CJA14" s="84"/>
      <c r="CJB14" s="84"/>
      <c r="CJC14" s="84"/>
      <c r="CJD14" s="84"/>
      <c r="CJE14" s="84"/>
      <c r="CJF14" s="84"/>
      <c r="CJG14" s="84"/>
      <c r="CJH14" s="84"/>
      <c r="CJI14" s="84"/>
      <c r="CJJ14" s="84"/>
      <c r="CJK14" s="84"/>
      <c r="CJL14" s="84"/>
      <c r="CJM14" s="84"/>
      <c r="CJN14" s="84"/>
      <c r="CJO14" s="84"/>
      <c r="CJP14" s="84"/>
      <c r="CJQ14" s="84"/>
      <c r="CJR14" s="84"/>
      <c r="CJS14" s="84"/>
      <c r="CJT14" s="84"/>
      <c r="CJU14" s="84"/>
      <c r="CJV14" s="84"/>
      <c r="CJW14" s="84"/>
      <c r="CJX14" s="84"/>
      <c r="CJY14" s="84"/>
      <c r="CJZ14" s="84"/>
      <c r="CKA14" s="84"/>
      <c r="CKB14" s="84"/>
      <c r="CKC14" s="84"/>
      <c r="CKD14" s="84"/>
      <c r="CKE14" s="84"/>
      <c r="CKF14" s="84"/>
      <c r="CKG14" s="84"/>
      <c r="CKH14" s="84"/>
      <c r="CKI14" s="84"/>
      <c r="CKJ14" s="84"/>
      <c r="CKK14" s="84"/>
      <c r="CKL14" s="84"/>
      <c r="CKM14" s="84"/>
      <c r="CKN14" s="84"/>
      <c r="CKO14" s="84"/>
      <c r="CKP14" s="84"/>
      <c r="CKQ14" s="84"/>
      <c r="CKR14" s="84"/>
      <c r="CKS14" s="84"/>
      <c r="CKT14" s="84"/>
      <c r="CKU14" s="84"/>
      <c r="CKV14" s="84"/>
      <c r="CKW14" s="84"/>
      <c r="CKX14" s="84"/>
      <c r="CKY14" s="84"/>
      <c r="CKZ14" s="84"/>
      <c r="CLA14" s="84"/>
      <c r="CLB14" s="84"/>
      <c r="CLC14" s="84"/>
      <c r="CLD14" s="84"/>
      <c r="CLE14" s="84"/>
      <c r="CLF14" s="84"/>
      <c r="CLG14" s="84"/>
      <c r="CLH14" s="84"/>
      <c r="CLI14" s="84"/>
      <c r="CLJ14" s="84"/>
      <c r="CLK14" s="84"/>
      <c r="CLL14" s="84"/>
      <c r="CLM14" s="84"/>
      <c r="CLN14" s="84"/>
      <c r="CLO14" s="84"/>
      <c r="CLP14" s="84"/>
      <c r="CLQ14" s="84"/>
      <c r="CLR14" s="84"/>
      <c r="CLS14" s="84"/>
      <c r="CLT14" s="84"/>
      <c r="CLU14" s="84"/>
      <c r="CLV14" s="84"/>
      <c r="CLW14" s="84"/>
      <c r="CLX14" s="84"/>
      <c r="CLY14" s="84"/>
      <c r="CLZ14" s="84"/>
      <c r="CMA14" s="84"/>
      <c r="CMB14" s="84"/>
      <c r="CMC14" s="84"/>
      <c r="CMD14" s="84"/>
      <c r="CME14" s="84"/>
      <c r="CMF14" s="84"/>
      <c r="CMG14" s="84"/>
      <c r="CMH14" s="84"/>
      <c r="CMI14" s="84"/>
      <c r="CMJ14" s="84"/>
      <c r="CMK14" s="84"/>
      <c r="CML14" s="84"/>
      <c r="CMM14" s="84"/>
      <c r="CMN14" s="84"/>
      <c r="CMO14" s="84"/>
      <c r="CMP14" s="84"/>
      <c r="CMQ14" s="84"/>
      <c r="CMR14" s="84"/>
      <c r="CMS14" s="84"/>
      <c r="CMT14" s="84"/>
      <c r="CMU14" s="84"/>
      <c r="CMV14" s="84"/>
      <c r="CMW14" s="84"/>
      <c r="CMX14" s="84"/>
      <c r="CMY14" s="84"/>
      <c r="CMZ14" s="84"/>
      <c r="CNA14" s="84"/>
      <c r="CNB14" s="84"/>
      <c r="CNC14" s="84"/>
      <c r="CND14" s="84"/>
      <c r="CNE14" s="84"/>
      <c r="CNF14" s="84"/>
      <c r="CNG14" s="84"/>
      <c r="CNH14" s="84"/>
      <c r="CNI14" s="84"/>
      <c r="CNJ14" s="84"/>
      <c r="CNK14" s="84"/>
      <c r="CNL14" s="84"/>
      <c r="CNM14" s="84"/>
      <c r="CNN14" s="84"/>
      <c r="CNO14" s="84"/>
      <c r="CNP14" s="84"/>
      <c r="CNQ14" s="84"/>
      <c r="CNR14" s="84"/>
      <c r="CNS14" s="84"/>
      <c r="CNT14" s="84"/>
      <c r="CNU14" s="84"/>
      <c r="CNV14" s="84"/>
      <c r="CNW14" s="84"/>
      <c r="CNX14" s="84"/>
      <c r="CNY14" s="84"/>
      <c r="CNZ14" s="84"/>
      <c r="COA14" s="84"/>
      <c r="COB14" s="84"/>
      <c r="COC14" s="84"/>
      <c r="COD14" s="84"/>
      <c r="COE14" s="84"/>
      <c r="COF14" s="84"/>
      <c r="COG14" s="84"/>
      <c r="COH14" s="84"/>
      <c r="COI14" s="84"/>
      <c r="COJ14" s="84"/>
      <c r="COK14" s="84"/>
      <c r="COL14" s="84"/>
      <c r="COM14" s="84"/>
      <c r="CON14" s="84"/>
      <c r="COO14" s="84"/>
      <c r="COP14" s="84"/>
      <c r="COQ14" s="84"/>
      <c r="COR14" s="84"/>
      <c r="COS14" s="84"/>
      <c r="COT14" s="84"/>
      <c r="COU14" s="84"/>
      <c r="COV14" s="84"/>
      <c r="COW14" s="84"/>
      <c r="COX14" s="84"/>
      <c r="COY14" s="84"/>
      <c r="COZ14" s="84"/>
      <c r="CPA14" s="84"/>
      <c r="CPB14" s="84"/>
      <c r="CPC14" s="84"/>
      <c r="CPD14" s="84"/>
      <c r="CPE14" s="84"/>
      <c r="CPF14" s="84"/>
      <c r="CPG14" s="84"/>
      <c r="CPH14" s="84"/>
      <c r="CPI14" s="84"/>
      <c r="CPJ14" s="84"/>
      <c r="CPK14" s="84"/>
      <c r="CPL14" s="84"/>
      <c r="CPM14" s="84"/>
      <c r="CPN14" s="84"/>
      <c r="CPO14" s="84"/>
      <c r="CPP14" s="84"/>
      <c r="CPQ14" s="84"/>
      <c r="CPR14" s="84"/>
      <c r="CPS14" s="84"/>
      <c r="CPT14" s="84"/>
      <c r="CPU14" s="84"/>
      <c r="CPV14" s="84"/>
      <c r="CPW14" s="84"/>
      <c r="CPX14" s="84"/>
      <c r="CPY14" s="84"/>
      <c r="CPZ14" s="84"/>
      <c r="CQA14" s="84"/>
      <c r="CQB14" s="84"/>
      <c r="CQC14" s="84"/>
      <c r="CQD14" s="84"/>
      <c r="CQE14" s="84"/>
      <c r="CQF14" s="84"/>
      <c r="CQG14" s="84"/>
      <c r="CQH14" s="84"/>
      <c r="CQI14" s="84"/>
      <c r="CQJ14" s="84"/>
      <c r="CQK14" s="84"/>
      <c r="CQL14" s="84"/>
      <c r="CQM14" s="84"/>
      <c r="CQN14" s="84"/>
      <c r="CQO14" s="84"/>
      <c r="CQP14" s="84"/>
      <c r="CQQ14" s="84"/>
      <c r="CQR14" s="84"/>
      <c r="CQS14" s="84"/>
      <c r="CQT14" s="84"/>
      <c r="CQU14" s="84"/>
      <c r="CQV14" s="84"/>
      <c r="CQW14" s="84"/>
      <c r="CQX14" s="84"/>
      <c r="CQY14" s="84"/>
      <c r="CQZ14" s="84"/>
      <c r="CRA14" s="84"/>
      <c r="CRB14" s="84"/>
      <c r="CRC14" s="84"/>
      <c r="CRD14" s="84"/>
      <c r="CRE14" s="84"/>
      <c r="CRF14" s="84"/>
      <c r="CRG14" s="84"/>
      <c r="CRH14" s="84"/>
      <c r="CRI14" s="84"/>
      <c r="CRJ14" s="84"/>
      <c r="CRK14" s="84"/>
      <c r="CRL14" s="84"/>
      <c r="CRM14" s="84"/>
      <c r="CRN14" s="84"/>
      <c r="CRO14" s="84"/>
      <c r="CRP14" s="84"/>
      <c r="CRQ14" s="84"/>
      <c r="CRR14" s="84"/>
      <c r="CRS14" s="84"/>
      <c r="CRT14" s="84"/>
      <c r="CRU14" s="84"/>
      <c r="CRV14" s="84"/>
      <c r="CRW14" s="84"/>
      <c r="CRX14" s="84"/>
      <c r="CRY14" s="84"/>
      <c r="CRZ14" s="84"/>
      <c r="CSA14" s="84"/>
      <c r="CSB14" s="84"/>
      <c r="CSC14" s="84"/>
      <c r="CSD14" s="84"/>
      <c r="CSE14" s="84"/>
      <c r="CSF14" s="84"/>
      <c r="CSG14" s="84"/>
      <c r="CSH14" s="84"/>
      <c r="CSI14" s="84"/>
      <c r="CSJ14" s="84"/>
      <c r="CSK14" s="84"/>
      <c r="CSL14" s="84"/>
      <c r="CSM14" s="84"/>
      <c r="CSN14" s="84"/>
      <c r="CSO14" s="84"/>
      <c r="CSP14" s="84"/>
      <c r="CSQ14" s="84"/>
      <c r="CSR14" s="84"/>
      <c r="CSS14" s="84"/>
      <c r="CST14" s="84"/>
      <c r="CSU14" s="84"/>
      <c r="CSV14" s="84"/>
      <c r="CSW14" s="84"/>
      <c r="CSX14" s="84"/>
      <c r="CSY14" s="84"/>
      <c r="CSZ14" s="84"/>
      <c r="CTA14" s="84"/>
      <c r="CTB14" s="84"/>
      <c r="CTC14" s="84"/>
      <c r="CTD14" s="84"/>
      <c r="CTE14" s="84"/>
      <c r="CTF14" s="84"/>
      <c r="CTG14" s="84"/>
      <c r="CTH14" s="84"/>
      <c r="CTI14" s="84"/>
      <c r="CTJ14" s="84"/>
      <c r="CTK14" s="84"/>
      <c r="CTL14" s="84"/>
      <c r="CTM14" s="84"/>
      <c r="CTN14" s="84"/>
      <c r="CTO14" s="84"/>
      <c r="CTP14" s="84"/>
      <c r="CTQ14" s="84"/>
      <c r="CTR14" s="84"/>
      <c r="CTS14" s="84"/>
      <c r="CTT14" s="84"/>
      <c r="CTU14" s="84"/>
      <c r="CTV14" s="84"/>
      <c r="CTW14" s="84"/>
      <c r="CTX14" s="84"/>
      <c r="CTY14" s="84"/>
      <c r="CTZ14" s="84"/>
      <c r="CUA14" s="84"/>
      <c r="CUB14" s="84"/>
      <c r="CUC14" s="84"/>
      <c r="CUD14" s="84"/>
      <c r="CUE14" s="84"/>
      <c r="CUF14" s="84"/>
      <c r="CUG14" s="84"/>
      <c r="CUH14" s="84"/>
      <c r="CUI14" s="84"/>
      <c r="CUJ14" s="84"/>
      <c r="CUK14" s="84"/>
      <c r="CUL14" s="84"/>
      <c r="CUM14" s="84"/>
      <c r="CUN14" s="84"/>
      <c r="CUO14" s="84"/>
      <c r="CUP14" s="84"/>
      <c r="CUQ14" s="84"/>
      <c r="CUR14" s="84"/>
      <c r="CUS14" s="84"/>
      <c r="CUT14" s="84"/>
      <c r="CUU14" s="84"/>
      <c r="CUV14" s="84"/>
      <c r="CUW14" s="84"/>
      <c r="CUX14" s="84"/>
      <c r="CUY14" s="84"/>
      <c r="CUZ14" s="84"/>
      <c r="CVA14" s="84"/>
      <c r="CVB14" s="84"/>
      <c r="CVC14" s="84"/>
      <c r="CVD14" s="84"/>
      <c r="CVE14" s="84"/>
      <c r="CVF14" s="84"/>
      <c r="CVG14" s="84"/>
      <c r="CVH14" s="84"/>
      <c r="CVI14" s="84"/>
      <c r="CVJ14" s="84"/>
      <c r="CVK14" s="84"/>
      <c r="CVL14" s="84"/>
      <c r="CVM14" s="84"/>
      <c r="CVN14" s="84"/>
      <c r="CVO14" s="84"/>
      <c r="CVP14" s="84"/>
      <c r="CVQ14" s="84"/>
      <c r="CVR14" s="84"/>
      <c r="CVS14" s="84"/>
      <c r="CVT14" s="84"/>
      <c r="CVU14" s="84"/>
      <c r="CVV14" s="84"/>
      <c r="CVW14" s="84"/>
      <c r="CVX14" s="84"/>
      <c r="CVY14" s="84"/>
      <c r="CVZ14" s="84"/>
      <c r="CWA14" s="84"/>
      <c r="CWB14" s="84"/>
      <c r="CWC14" s="84"/>
      <c r="CWD14" s="84"/>
      <c r="CWE14" s="84"/>
      <c r="CWF14" s="84"/>
      <c r="CWG14" s="84"/>
      <c r="CWH14" s="84"/>
      <c r="CWI14" s="84"/>
      <c r="CWJ14" s="84"/>
      <c r="CWK14" s="84"/>
      <c r="CWL14" s="84"/>
      <c r="CWM14" s="84"/>
      <c r="CWN14" s="84"/>
      <c r="CWO14" s="84"/>
      <c r="CWP14" s="84"/>
      <c r="CWQ14" s="84"/>
      <c r="CWR14" s="84"/>
      <c r="CWS14" s="84"/>
      <c r="CWT14" s="84"/>
      <c r="CWU14" s="84"/>
      <c r="CWV14" s="84"/>
      <c r="CWW14" s="84"/>
      <c r="CWX14" s="84"/>
      <c r="CWY14" s="84"/>
      <c r="CWZ14" s="84"/>
      <c r="CXA14" s="84"/>
      <c r="CXB14" s="84"/>
      <c r="CXC14" s="84"/>
      <c r="CXD14" s="84"/>
      <c r="CXE14" s="84"/>
      <c r="CXF14" s="84"/>
      <c r="CXG14" s="84"/>
      <c r="CXH14" s="84"/>
      <c r="CXI14" s="84"/>
      <c r="CXJ14" s="84"/>
      <c r="CXK14" s="84"/>
      <c r="CXL14" s="84"/>
      <c r="CXM14" s="84"/>
      <c r="CXN14" s="84"/>
      <c r="CXO14" s="84"/>
      <c r="CXP14" s="84"/>
      <c r="CXQ14" s="84"/>
      <c r="CXR14" s="84"/>
      <c r="CXS14" s="84"/>
      <c r="CXT14" s="84"/>
      <c r="CXU14" s="84"/>
      <c r="CXV14" s="84"/>
      <c r="CXW14" s="84"/>
      <c r="CXX14" s="84"/>
      <c r="CXY14" s="84"/>
      <c r="CXZ14" s="84"/>
      <c r="CYA14" s="84"/>
      <c r="CYB14" s="84"/>
      <c r="CYC14" s="84"/>
      <c r="CYD14" s="84"/>
      <c r="CYE14" s="84"/>
      <c r="CYF14" s="84"/>
      <c r="CYG14" s="84"/>
      <c r="CYH14" s="84"/>
      <c r="CYI14" s="84"/>
      <c r="CYJ14" s="84"/>
      <c r="CYK14" s="84"/>
      <c r="CYL14" s="84"/>
      <c r="CYM14" s="84"/>
      <c r="CYN14" s="84"/>
      <c r="CYO14" s="84"/>
      <c r="CYP14" s="84"/>
      <c r="CYQ14" s="84"/>
      <c r="CYR14" s="84"/>
      <c r="CYS14" s="84"/>
      <c r="CYT14" s="84"/>
      <c r="CYU14" s="84"/>
      <c r="CYV14" s="84"/>
      <c r="CYW14" s="84"/>
      <c r="CYX14" s="84"/>
      <c r="CYY14" s="84"/>
      <c r="CYZ14" s="84"/>
      <c r="CZA14" s="84"/>
      <c r="CZB14" s="84"/>
      <c r="CZC14" s="84"/>
      <c r="CZD14" s="84"/>
      <c r="CZE14" s="84"/>
      <c r="CZF14" s="84"/>
      <c r="CZG14" s="84"/>
      <c r="CZH14" s="84"/>
      <c r="CZI14" s="84"/>
      <c r="CZJ14" s="84"/>
      <c r="CZK14" s="84"/>
      <c r="CZL14" s="84"/>
      <c r="CZM14" s="84"/>
      <c r="CZN14" s="84"/>
      <c r="CZO14" s="84"/>
      <c r="CZP14" s="84"/>
      <c r="CZQ14" s="84"/>
      <c r="CZR14" s="84"/>
      <c r="CZS14" s="84"/>
      <c r="CZT14" s="84"/>
      <c r="CZU14" s="84"/>
      <c r="CZV14" s="84"/>
      <c r="CZW14" s="84"/>
      <c r="CZX14" s="84"/>
      <c r="CZY14" s="84"/>
      <c r="CZZ14" s="84"/>
      <c r="DAA14" s="84"/>
      <c r="DAB14" s="84"/>
      <c r="DAC14" s="84"/>
      <c r="DAD14" s="84"/>
      <c r="DAE14" s="84"/>
      <c r="DAF14" s="84"/>
      <c r="DAG14" s="84"/>
      <c r="DAH14" s="84"/>
      <c r="DAI14" s="84"/>
      <c r="DAJ14" s="84"/>
      <c r="DAK14" s="84"/>
      <c r="DAL14" s="84"/>
      <c r="DAM14" s="84"/>
      <c r="DAN14" s="84"/>
      <c r="DAO14" s="84"/>
      <c r="DAP14" s="84"/>
      <c r="DAQ14" s="84"/>
      <c r="DAR14" s="84"/>
      <c r="DAS14" s="84"/>
      <c r="DAT14" s="84"/>
      <c r="DAU14" s="84"/>
      <c r="DAV14" s="84"/>
      <c r="DAW14" s="84"/>
      <c r="DAX14" s="84"/>
      <c r="DAY14" s="84"/>
      <c r="DAZ14" s="84"/>
      <c r="DBA14" s="84"/>
      <c r="DBB14" s="84"/>
      <c r="DBC14" s="84"/>
      <c r="DBD14" s="84"/>
      <c r="DBE14" s="84"/>
      <c r="DBF14" s="84"/>
      <c r="DBG14" s="84"/>
      <c r="DBH14" s="84"/>
      <c r="DBI14" s="84"/>
      <c r="DBJ14" s="84"/>
      <c r="DBK14" s="84"/>
      <c r="DBL14" s="84"/>
      <c r="DBM14" s="84"/>
      <c r="DBN14" s="84"/>
      <c r="DBO14" s="84"/>
      <c r="DBP14" s="84"/>
      <c r="DBQ14" s="84"/>
      <c r="DBR14" s="84"/>
      <c r="DBS14" s="84"/>
      <c r="DBT14" s="84"/>
      <c r="DBU14" s="84"/>
      <c r="DBV14" s="84"/>
      <c r="DBW14" s="84"/>
      <c r="DBX14" s="84"/>
      <c r="DBY14" s="84"/>
      <c r="DBZ14" s="84"/>
      <c r="DCA14" s="84"/>
      <c r="DCB14" s="84"/>
      <c r="DCC14" s="84"/>
      <c r="DCD14" s="84"/>
      <c r="DCE14" s="84"/>
      <c r="DCF14" s="84"/>
      <c r="DCG14" s="84"/>
      <c r="DCH14" s="84"/>
      <c r="DCI14" s="84"/>
      <c r="DCJ14" s="84"/>
      <c r="DCK14" s="84"/>
      <c r="DCL14" s="84"/>
      <c r="DCM14" s="84"/>
      <c r="DCN14" s="84"/>
      <c r="DCO14" s="84"/>
      <c r="DCP14" s="84"/>
      <c r="DCQ14" s="84"/>
      <c r="DCR14" s="84"/>
      <c r="DCS14" s="84"/>
      <c r="DCT14" s="84"/>
      <c r="DCU14" s="84"/>
      <c r="DCV14" s="84"/>
      <c r="DCW14" s="84"/>
      <c r="DCX14" s="84"/>
      <c r="DCY14" s="84"/>
      <c r="DCZ14" s="84"/>
      <c r="DDA14" s="84"/>
      <c r="DDB14" s="84"/>
      <c r="DDC14" s="84"/>
      <c r="DDD14" s="84"/>
      <c r="DDE14" s="84"/>
      <c r="DDF14" s="84"/>
      <c r="DDG14" s="84"/>
      <c r="DDH14" s="84"/>
      <c r="DDI14" s="84"/>
      <c r="DDJ14" s="84"/>
      <c r="DDK14" s="84"/>
      <c r="DDL14" s="84"/>
      <c r="DDM14" s="84"/>
      <c r="DDN14" s="84"/>
      <c r="DDO14" s="84"/>
      <c r="DDP14" s="84"/>
      <c r="DDQ14" s="84"/>
      <c r="DDR14" s="84"/>
      <c r="DDS14" s="84"/>
      <c r="DDT14" s="84"/>
      <c r="DDU14" s="84"/>
      <c r="DDV14" s="84"/>
      <c r="DDW14" s="84"/>
      <c r="DDX14" s="84"/>
      <c r="DDY14" s="84"/>
      <c r="DDZ14" s="84"/>
      <c r="DEA14" s="84"/>
      <c r="DEB14" s="84"/>
      <c r="DEC14" s="84"/>
      <c r="DED14" s="84"/>
      <c r="DEE14" s="84"/>
      <c r="DEF14" s="84"/>
      <c r="DEG14" s="84"/>
      <c r="DEH14" s="84"/>
      <c r="DEI14" s="84"/>
      <c r="DEJ14" s="84"/>
      <c r="DEK14" s="84"/>
      <c r="DEL14" s="84"/>
      <c r="DEM14" s="84"/>
      <c r="DEN14" s="84"/>
      <c r="DEO14" s="84"/>
      <c r="DEP14" s="84"/>
      <c r="DEQ14" s="84"/>
      <c r="DER14" s="84"/>
      <c r="DES14" s="84"/>
      <c r="DET14" s="84"/>
      <c r="DEU14" s="84"/>
      <c r="DEV14" s="84"/>
      <c r="DEW14" s="84"/>
      <c r="DEX14" s="84"/>
      <c r="DEY14" s="84"/>
      <c r="DEZ14" s="84"/>
      <c r="DFA14" s="84"/>
      <c r="DFB14" s="84"/>
      <c r="DFC14" s="84"/>
      <c r="DFD14" s="84"/>
      <c r="DFE14" s="84"/>
      <c r="DFF14" s="84"/>
      <c r="DFG14" s="84"/>
      <c r="DFH14" s="84"/>
      <c r="DFI14" s="84"/>
      <c r="DFJ14" s="84"/>
      <c r="DFK14" s="84"/>
      <c r="DFL14" s="84"/>
      <c r="DFM14" s="84"/>
      <c r="DFN14" s="84"/>
      <c r="DFO14" s="84"/>
      <c r="DFP14" s="84"/>
      <c r="DFQ14" s="84"/>
      <c r="DFR14" s="84"/>
      <c r="DFS14" s="84"/>
      <c r="DFT14" s="84"/>
      <c r="DFU14" s="84"/>
      <c r="DFV14" s="84"/>
      <c r="DFW14" s="84"/>
      <c r="DFX14" s="84"/>
      <c r="DFY14" s="84"/>
      <c r="DFZ14" s="84"/>
      <c r="DGA14" s="84"/>
      <c r="DGB14" s="84"/>
      <c r="DGC14" s="84"/>
      <c r="DGD14" s="84"/>
      <c r="DGE14" s="84"/>
      <c r="DGF14" s="84"/>
      <c r="DGG14" s="84"/>
      <c r="DGH14" s="84"/>
      <c r="DGI14" s="84"/>
      <c r="DGJ14" s="84"/>
      <c r="DGK14" s="84"/>
      <c r="DGL14" s="84"/>
      <c r="DGM14" s="84"/>
      <c r="DGN14" s="84"/>
      <c r="DGO14" s="84"/>
      <c r="DGP14" s="84"/>
      <c r="DGQ14" s="84"/>
      <c r="DGR14" s="84"/>
      <c r="DGS14" s="84"/>
      <c r="DGT14" s="84"/>
      <c r="DGU14" s="84"/>
      <c r="DGV14" s="84"/>
      <c r="DGW14" s="84"/>
      <c r="DGX14" s="84"/>
      <c r="DGY14" s="84"/>
      <c r="DGZ14" s="84"/>
      <c r="DHA14" s="84"/>
      <c r="DHB14" s="84"/>
      <c r="DHC14" s="84"/>
      <c r="DHD14" s="84"/>
      <c r="DHE14" s="84"/>
      <c r="DHF14" s="84"/>
      <c r="DHG14" s="84"/>
      <c r="DHH14" s="84"/>
      <c r="DHI14" s="84"/>
      <c r="DHJ14" s="84"/>
      <c r="DHK14" s="84"/>
      <c r="DHL14" s="84"/>
      <c r="DHM14" s="84"/>
      <c r="DHN14" s="84"/>
      <c r="DHO14" s="84"/>
      <c r="DHP14" s="84"/>
      <c r="DHQ14" s="84"/>
      <c r="DHR14" s="84"/>
      <c r="DHS14" s="84"/>
      <c r="DHT14" s="84"/>
      <c r="DHU14" s="84"/>
      <c r="DHV14" s="84"/>
      <c r="DHW14" s="84"/>
      <c r="DHX14" s="84"/>
      <c r="DHY14" s="84"/>
      <c r="DHZ14" s="84"/>
      <c r="DIA14" s="84"/>
      <c r="DIB14" s="84"/>
      <c r="DIC14" s="84"/>
      <c r="DID14" s="84"/>
      <c r="DIE14" s="84"/>
      <c r="DIF14" s="84"/>
      <c r="DIG14" s="84"/>
      <c r="DIH14" s="84"/>
      <c r="DII14" s="84"/>
      <c r="DIJ14" s="84"/>
      <c r="DIK14" s="84"/>
      <c r="DIL14" s="84"/>
      <c r="DIM14" s="84"/>
      <c r="DIN14" s="84"/>
      <c r="DIO14" s="84"/>
      <c r="DIP14" s="84"/>
      <c r="DIQ14" s="84"/>
      <c r="DIR14" s="84"/>
      <c r="DIS14" s="84"/>
      <c r="DIT14" s="84"/>
      <c r="DIU14" s="84"/>
      <c r="DIV14" s="84"/>
      <c r="DIW14" s="84"/>
      <c r="DIX14" s="84"/>
      <c r="DIY14" s="84"/>
      <c r="DIZ14" s="84"/>
      <c r="DJA14" s="84"/>
      <c r="DJB14" s="84"/>
      <c r="DJC14" s="84"/>
      <c r="DJD14" s="84"/>
      <c r="DJE14" s="84"/>
      <c r="DJF14" s="84"/>
      <c r="DJG14" s="84"/>
      <c r="DJH14" s="84"/>
      <c r="DJI14" s="84"/>
      <c r="DJJ14" s="84"/>
      <c r="DJK14" s="84"/>
      <c r="DJL14" s="84"/>
      <c r="DJM14" s="84"/>
      <c r="DJN14" s="84"/>
      <c r="DJO14" s="84"/>
      <c r="DJP14" s="84"/>
      <c r="DJQ14" s="84"/>
      <c r="DJR14" s="84"/>
      <c r="DJS14" s="84"/>
      <c r="DJT14" s="84"/>
      <c r="DJU14" s="84"/>
      <c r="DJV14" s="84"/>
      <c r="DJW14" s="84"/>
      <c r="DJX14" s="84"/>
      <c r="DJY14" s="84"/>
      <c r="DJZ14" s="84"/>
      <c r="DKA14" s="84"/>
      <c r="DKB14" s="84"/>
      <c r="DKC14" s="84"/>
      <c r="DKD14" s="84"/>
      <c r="DKE14" s="84"/>
      <c r="DKF14" s="84"/>
      <c r="DKG14" s="84"/>
      <c r="DKH14" s="84"/>
      <c r="DKI14" s="84"/>
      <c r="DKJ14" s="84"/>
      <c r="DKK14" s="84"/>
      <c r="DKL14" s="84"/>
      <c r="DKM14" s="84"/>
      <c r="DKN14" s="84"/>
      <c r="DKO14" s="84"/>
      <c r="DKP14" s="84"/>
      <c r="DKQ14" s="84"/>
      <c r="DKR14" s="84"/>
      <c r="DKS14" s="84"/>
      <c r="DKT14" s="84"/>
      <c r="DKU14" s="84"/>
      <c r="DKV14" s="84"/>
      <c r="DKW14" s="84"/>
      <c r="DKX14" s="84"/>
      <c r="DKY14" s="84"/>
      <c r="DKZ14" s="84"/>
      <c r="DLA14" s="84"/>
      <c r="DLB14" s="84"/>
      <c r="DLC14" s="84"/>
      <c r="DLD14" s="84"/>
      <c r="DLE14" s="84"/>
      <c r="DLF14" s="84"/>
      <c r="DLG14" s="84"/>
      <c r="DLH14" s="84"/>
      <c r="DLI14" s="84"/>
      <c r="DLJ14" s="84"/>
      <c r="DLK14" s="84"/>
      <c r="DLL14" s="84"/>
      <c r="DLM14" s="84"/>
      <c r="DLN14" s="84"/>
      <c r="DLO14" s="84"/>
      <c r="DLP14" s="84"/>
      <c r="DLQ14" s="84"/>
      <c r="DLR14" s="84"/>
      <c r="DLS14" s="84"/>
      <c r="DLT14" s="84"/>
      <c r="DLU14" s="84"/>
      <c r="DLV14" s="84"/>
      <c r="DLW14" s="84"/>
      <c r="DLX14" s="84"/>
      <c r="DLY14" s="84"/>
      <c r="DLZ14" s="84"/>
      <c r="DMA14" s="84"/>
      <c r="DMB14" s="84"/>
      <c r="DMC14" s="84"/>
      <c r="DMD14" s="84"/>
      <c r="DME14" s="84"/>
      <c r="DMF14" s="84"/>
      <c r="DMG14" s="84"/>
      <c r="DMH14" s="84"/>
      <c r="DMI14" s="84"/>
      <c r="DMJ14" s="84"/>
      <c r="DMK14" s="84"/>
      <c r="DML14" s="84"/>
      <c r="DMM14" s="84"/>
      <c r="DMN14" s="84"/>
      <c r="DMO14" s="84"/>
      <c r="DMP14" s="84"/>
      <c r="DMQ14" s="84"/>
      <c r="DMR14" s="84"/>
      <c r="DMS14" s="84"/>
      <c r="DMT14" s="84"/>
      <c r="DMU14" s="84"/>
      <c r="DMV14" s="84"/>
      <c r="DMW14" s="84"/>
      <c r="DMX14" s="84"/>
      <c r="DMY14" s="84"/>
      <c r="DMZ14" s="84"/>
      <c r="DNA14" s="84"/>
      <c r="DNB14" s="84"/>
      <c r="DNC14" s="84"/>
      <c r="DND14" s="84"/>
      <c r="DNE14" s="84"/>
      <c r="DNF14" s="84"/>
      <c r="DNG14" s="84"/>
      <c r="DNH14" s="84"/>
      <c r="DNI14" s="84"/>
      <c r="DNJ14" s="84"/>
      <c r="DNK14" s="84"/>
      <c r="DNL14" s="84"/>
      <c r="DNM14" s="84"/>
      <c r="DNN14" s="84"/>
      <c r="DNO14" s="84"/>
      <c r="DNP14" s="84"/>
      <c r="DNQ14" s="84"/>
      <c r="DNR14" s="84"/>
      <c r="DNS14" s="84"/>
      <c r="DNT14" s="84"/>
      <c r="DNU14" s="84"/>
      <c r="DNV14" s="84"/>
      <c r="DNW14" s="84"/>
      <c r="DNX14" s="84"/>
      <c r="DNY14" s="84"/>
      <c r="DNZ14" s="84"/>
      <c r="DOA14" s="84"/>
      <c r="DOB14" s="84"/>
      <c r="DOC14" s="84"/>
      <c r="DOD14" s="84"/>
      <c r="DOE14" s="84"/>
      <c r="DOF14" s="84"/>
      <c r="DOG14" s="84"/>
      <c r="DOH14" s="84"/>
      <c r="DOI14" s="84"/>
      <c r="DOJ14" s="84"/>
      <c r="DOK14" s="84"/>
      <c r="DOL14" s="84"/>
      <c r="DOM14" s="84"/>
      <c r="DON14" s="84"/>
      <c r="DOO14" s="84"/>
      <c r="DOP14" s="84"/>
      <c r="DOQ14" s="84"/>
      <c r="DOR14" s="84"/>
      <c r="DOS14" s="84"/>
      <c r="DOT14" s="84"/>
      <c r="DOU14" s="84"/>
      <c r="DOV14" s="84"/>
      <c r="DOW14" s="84"/>
      <c r="DOX14" s="84"/>
      <c r="DOY14" s="84"/>
      <c r="DOZ14" s="84"/>
      <c r="DPA14" s="84"/>
      <c r="DPB14" s="84"/>
      <c r="DPC14" s="84"/>
      <c r="DPD14" s="84"/>
      <c r="DPE14" s="84"/>
      <c r="DPF14" s="84"/>
      <c r="DPG14" s="84"/>
      <c r="DPH14" s="84"/>
      <c r="DPI14" s="84"/>
      <c r="DPJ14" s="84"/>
      <c r="DPK14" s="84"/>
      <c r="DPL14" s="84"/>
      <c r="DPM14" s="84"/>
      <c r="DPN14" s="84"/>
      <c r="DPO14" s="84"/>
      <c r="DPP14" s="84"/>
      <c r="DPQ14" s="84"/>
      <c r="DPR14" s="84"/>
      <c r="DPS14" s="84"/>
      <c r="DPT14" s="84"/>
      <c r="DPU14" s="84"/>
      <c r="DPV14" s="84"/>
      <c r="DPW14" s="84"/>
      <c r="DPX14" s="84"/>
      <c r="DPY14" s="84"/>
      <c r="DPZ14" s="84"/>
      <c r="DQA14" s="84"/>
      <c r="DQB14" s="84"/>
      <c r="DQC14" s="84"/>
      <c r="DQD14" s="84"/>
      <c r="DQE14" s="84"/>
      <c r="DQF14" s="84"/>
      <c r="DQG14" s="84"/>
      <c r="DQH14" s="84"/>
      <c r="DQI14" s="84"/>
      <c r="DQJ14" s="84"/>
      <c r="DQK14" s="84"/>
      <c r="DQL14" s="84"/>
      <c r="DQM14" s="84"/>
      <c r="DQN14" s="84"/>
      <c r="DQO14" s="84"/>
      <c r="DQP14" s="84"/>
      <c r="DQQ14" s="84"/>
      <c r="DQR14" s="84"/>
      <c r="DQS14" s="84"/>
      <c r="DQT14" s="84"/>
      <c r="DQU14" s="84"/>
      <c r="DQV14" s="84"/>
      <c r="DQW14" s="84"/>
      <c r="DQX14" s="84"/>
      <c r="DQY14" s="84"/>
      <c r="DQZ14" s="84"/>
      <c r="DRA14" s="84"/>
      <c r="DRB14" s="84"/>
      <c r="DRC14" s="84"/>
      <c r="DRD14" s="84"/>
      <c r="DRE14" s="84"/>
      <c r="DRF14" s="84"/>
      <c r="DRG14" s="84"/>
      <c r="DRH14" s="84"/>
      <c r="DRI14" s="84"/>
      <c r="DRJ14" s="84"/>
      <c r="DRK14" s="84"/>
      <c r="DRL14" s="84"/>
      <c r="DRM14" s="84"/>
      <c r="DRN14" s="84"/>
      <c r="DRO14" s="84"/>
      <c r="DRP14" s="84"/>
      <c r="DRQ14" s="84"/>
      <c r="DRR14" s="84"/>
      <c r="DRS14" s="84"/>
      <c r="DRT14" s="84"/>
      <c r="DRU14" s="84"/>
      <c r="DRV14" s="84"/>
      <c r="DRW14" s="84"/>
      <c r="DRX14" s="84"/>
      <c r="DRY14" s="84"/>
      <c r="DRZ14" s="84"/>
      <c r="DSA14" s="84"/>
      <c r="DSB14" s="84"/>
      <c r="DSC14" s="84"/>
      <c r="DSD14" s="84"/>
      <c r="DSE14" s="84"/>
      <c r="DSF14" s="84"/>
      <c r="DSG14" s="84"/>
      <c r="DSH14" s="84"/>
      <c r="DSI14" s="84"/>
      <c r="DSJ14" s="84"/>
      <c r="DSK14" s="84"/>
      <c r="DSL14" s="84"/>
      <c r="DSM14" s="84"/>
      <c r="DSN14" s="84"/>
      <c r="DSO14" s="84"/>
      <c r="DSP14" s="84"/>
      <c r="DSQ14" s="84"/>
      <c r="DSR14" s="84"/>
      <c r="DSS14" s="84"/>
      <c r="DST14" s="84"/>
      <c r="DSU14" s="84"/>
      <c r="DSV14" s="84"/>
      <c r="DSW14" s="84"/>
      <c r="DSX14" s="84"/>
      <c r="DSY14" s="84"/>
      <c r="DSZ14" s="84"/>
      <c r="DTA14" s="84"/>
      <c r="DTB14" s="84"/>
      <c r="DTC14" s="84"/>
      <c r="DTD14" s="84"/>
      <c r="DTE14" s="84"/>
      <c r="DTF14" s="84"/>
      <c r="DTG14" s="84"/>
      <c r="DTH14" s="84"/>
      <c r="DTI14" s="84"/>
      <c r="DTJ14" s="84"/>
      <c r="DTK14" s="84"/>
      <c r="DTL14" s="84"/>
      <c r="DTM14" s="84"/>
      <c r="DTN14" s="84"/>
      <c r="DTO14" s="84"/>
      <c r="DTP14" s="84"/>
      <c r="DTQ14" s="84"/>
      <c r="DTR14" s="84"/>
      <c r="DTS14" s="84"/>
      <c r="DTT14" s="84"/>
      <c r="DTU14" s="84"/>
      <c r="DTV14" s="84"/>
      <c r="DTW14" s="84"/>
      <c r="DTX14" s="84"/>
      <c r="DTY14" s="84"/>
      <c r="DTZ14" s="84"/>
      <c r="DUA14" s="84"/>
      <c r="DUB14" s="84"/>
      <c r="DUC14" s="84"/>
      <c r="DUD14" s="84"/>
      <c r="DUE14" s="84"/>
      <c r="DUF14" s="84"/>
      <c r="DUG14" s="84"/>
      <c r="DUH14" s="84"/>
      <c r="DUI14" s="84"/>
      <c r="DUJ14" s="84"/>
      <c r="DUK14" s="84"/>
      <c r="DUL14" s="84"/>
      <c r="DUM14" s="84"/>
      <c r="DUN14" s="84"/>
      <c r="DUO14" s="84"/>
      <c r="DUP14" s="84"/>
      <c r="DUQ14" s="84"/>
      <c r="DUR14" s="84"/>
      <c r="DUS14" s="84"/>
      <c r="DUT14" s="84"/>
      <c r="DUU14" s="84"/>
      <c r="DUV14" s="84"/>
      <c r="DUW14" s="84"/>
      <c r="DUX14" s="84"/>
      <c r="DUY14" s="84"/>
      <c r="DUZ14" s="84"/>
      <c r="DVA14" s="84"/>
      <c r="DVB14" s="84"/>
      <c r="DVC14" s="84"/>
      <c r="DVD14" s="84"/>
      <c r="DVE14" s="84"/>
      <c r="DVF14" s="84"/>
      <c r="DVG14" s="84"/>
      <c r="DVH14" s="84"/>
      <c r="DVI14" s="84"/>
      <c r="DVJ14" s="84"/>
      <c r="DVK14" s="84"/>
      <c r="DVL14" s="84"/>
      <c r="DVM14" s="84"/>
      <c r="DVN14" s="84"/>
      <c r="DVO14" s="84"/>
      <c r="DVP14" s="84"/>
      <c r="DVQ14" s="84"/>
      <c r="DVR14" s="84"/>
      <c r="DVS14" s="84"/>
      <c r="DVT14" s="84"/>
      <c r="DVU14" s="84"/>
      <c r="DVV14" s="84"/>
      <c r="DVW14" s="84"/>
      <c r="DVX14" s="84"/>
      <c r="DVY14" s="84"/>
      <c r="DVZ14" s="84"/>
      <c r="DWA14" s="84"/>
      <c r="DWB14" s="84"/>
      <c r="DWC14" s="84"/>
      <c r="DWD14" s="84"/>
      <c r="DWE14" s="84"/>
      <c r="DWF14" s="84"/>
      <c r="DWG14" s="84"/>
      <c r="DWH14" s="84"/>
      <c r="DWI14" s="84"/>
      <c r="DWJ14" s="84"/>
      <c r="DWK14" s="84"/>
      <c r="DWL14" s="84"/>
      <c r="DWM14" s="84"/>
      <c r="DWN14" s="84"/>
      <c r="DWO14" s="84"/>
      <c r="DWP14" s="84"/>
      <c r="DWQ14" s="84"/>
      <c r="DWR14" s="84"/>
      <c r="DWS14" s="84"/>
      <c r="DWT14" s="84"/>
      <c r="DWU14" s="84"/>
      <c r="DWV14" s="84"/>
      <c r="DWW14" s="84"/>
      <c r="DWX14" s="84"/>
      <c r="DWY14" s="84"/>
      <c r="DWZ14" s="84"/>
      <c r="DXA14" s="84"/>
      <c r="DXB14" s="84"/>
      <c r="DXC14" s="84"/>
      <c r="DXD14" s="84"/>
      <c r="DXE14" s="84"/>
      <c r="DXF14" s="84"/>
      <c r="DXG14" s="84"/>
      <c r="DXH14" s="84"/>
      <c r="DXI14" s="84"/>
      <c r="DXJ14" s="84"/>
      <c r="DXK14" s="84"/>
      <c r="DXL14" s="84"/>
      <c r="DXM14" s="84"/>
      <c r="DXN14" s="84"/>
      <c r="DXO14" s="84"/>
      <c r="DXP14" s="84"/>
      <c r="DXQ14" s="84"/>
      <c r="DXR14" s="84"/>
      <c r="DXS14" s="84"/>
      <c r="DXT14" s="84"/>
      <c r="DXU14" s="84"/>
      <c r="DXV14" s="84"/>
      <c r="DXW14" s="84"/>
      <c r="DXX14" s="84"/>
      <c r="DXY14" s="84"/>
      <c r="DXZ14" s="84"/>
      <c r="DYA14" s="84"/>
      <c r="DYB14" s="84"/>
      <c r="DYC14" s="84"/>
      <c r="DYD14" s="84"/>
      <c r="DYE14" s="84"/>
      <c r="DYF14" s="84"/>
      <c r="DYG14" s="84"/>
      <c r="DYH14" s="84"/>
      <c r="DYI14" s="84"/>
      <c r="DYJ14" s="84"/>
      <c r="DYK14" s="84"/>
      <c r="DYL14" s="84"/>
      <c r="DYM14" s="84"/>
      <c r="DYN14" s="84"/>
      <c r="DYO14" s="84"/>
      <c r="DYP14" s="84"/>
      <c r="DYQ14" s="84"/>
      <c r="DYR14" s="84"/>
      <c r="DYS14" s="84"/>
      <c r="DYT14" s="84"/>
      <c r="DYU14" s="84"/>
      <c r="DYV14" s="84"/>
      <c r="DYW14" s="84"/>
      <c r="DYX14" s="84"/>
      <c r="DYY14" s="84"/>
      <c r="DYZ14" s="84"/>
      <c r="DZA14" s="84"/>
      <c r="DZB14" s="84"/>
      <c r="DZC14" s="84"/>
      <c r="DZD14" s="84"/>
      <c r="DZE14" s="84"/>
      <c r="DZF14" s="84"/>
      <c r="DZG14" s="84"/>
      <c r="DZH14" s="84"/>
      <c r="DZI14" s="84"/>
      <c r="DZJ14" s="84"/>
      <c r="DZK14" s="84"/>
      <c r="DZL14" s="84"/>
      <c r="DZM14" s="84"/>
      <c r="DZN14" s="84"/>
      <c r="DZO14" s="84"/>
      <c r="DZP14" s="84"/>
      <c r="DZQ14" s="84"/>
      <c r="DZR14" s="84"/>
      <c r="DZS14" s="84"/>
      <c r="DZT14" s="84"/>
      <c r="DZU14" s="84"/>
      <c r="DZV14" s="84"/>
      <c r="DZW14" s="84"/>
      <c r="DZX14" s="84"/>
      <c r="DZY14" s="84"/>
      <c r="DZZ14" s="84"/>
      <c r="EAA14" s="84"/>
      <c r="EAB14" s="84"/>
      <c r="EAC14" s="84"/>
      <c r="EAD14" s="84"/>
      <c r="EAE14" s="84"/>
      <c r="EAF14" s="84"/>
      <c r="EAG14" s="84"/>
      <c r="EAH14" s="84"/>
      <c r="EAI14" s="84"/>
      <c r="EAJ14" s="84"/>
      <c r="EAK14" s="84"/>
      <c r="EAL14" s="84"/>
      <c r="EAM14" s="84"/>
      <c r="EAN14" s="84"/>
      <c r="EAO14" s="84"/>
      <c r="EAP14" s="84"/>
      <c r="EAQ14" s="84"/>
      <c r="EAR14" s="84"/>
      <c r="EAS14" s="84"/>
      <c r="EAT14" s="84"/>
      <c r="EAU14" s="84"/>
      <c r="EAV14" s="84"/>
      <c r="EAW14" s="84"/>
      <c r="EAX14" s="84"/>
      <c r="EAY14" s="84"/>
      <c r="EAZ14" s="84"/>
      <c r="EBA14" s="84"/>
      <c r="EBB14" s="84"/>
      <c r="EBC14" s="84"/>
      <c r="EBD14" s="84"/>
      <c r="EBE14" s="84"/>
      <c r="EBF14" s="84"/>
      <c r="EBG14" s="84"/>
      <c r="EBH14" s="84"/>
      <c r="EBI14" s="84"/>
      <c r="EBJ14" s="84"/>
      <c r="EBK14" s="84"/>
      <c r="EBL14" s="84"/>
      <c r="EBM14" s="84"/>
      <c r="EBN14" s="84"/>
      <c r="EBO14" s="84"/>
      <c r="EBP14" s="84"/>
      <c r="EBQ14" s="84"/>
      <c r="EBR14" s="84"/>
      <c r="EBS14" s="84"/>
      <c r="EBT14" s="84"/>
      <c r="EBU14" s="84"/>
      <c r="EBV14" s="84"/>
      <c r="EBW14" s="84"/>
      <c r="EBX14" s="84"/>
      <c r="EBY14" s="84"/>
      <c r="EBZ14" s="84"/>
      <c r="ECA14" s="84"/>
      <c r="ECB14" s="84"/>
      <c r="ECC14" s="84"/>
      <c r="ECD14" s="84"/>
      <c r="ECE14" s="84"/>
      <c r="ECF14" s="84"/>
      <c r="ECG14" s="84"/>
      <c r="ECH14" s="84"/>
      <c r="ECI14" s="84"/>
      <c r="ECJ14" s="84"/>
      <c r="ECK14" s="84"/>
      <c r="ECL14" s="84"/>
      <c r="ECM14" s="84"/>
      <c r="ECN14" s="84"/>
      <c r="ECO14" s="84"/>
      <c r="ECP14" s="84"/>
      <c r="ECQ14" s="84"/>
      <c r="ECR14" s="84"/>
      <c r="ECS14" s="84"/>
      <c r="ECT14" s="84"/>
      <c r="ECU14" s="84"/>
      <c r="ECV14" s="84"/>
      <c r="ECW14" s="84"/>
      <c r="ECX14" s="84"/>
      <c r="ECY14" s="84"/>
      <c r="ECZ14" s="84"/>
      <c r="EDA14" s="84"/>
      <c r="EDB14" s="84"/>
      <c r="EDC14" s="84"/>
      <c r="EDD14" s="84"/>
      <c r="EDE14" s="84"/>
      <c r="EDF14" s="84"/>
      <c r="EDG14" s="84"/>
      <c r="EDH14" s="84"/>
      <c r="EDI14" s="84"/>
      <c r="EDJ14" s="84"/>
      <c r="EDK14" s="84"/>
      <c r="EDL14" s="84"/>
      <c r="EDM14" s="84"/>
      <c r="EDN14" s="84"/>
      <c r="EDO14" s="84"/>
      <c r="EDP14" s="84"/>
      <c r="EDQ14" s="84"/>
      <c r="EDR14" s="84"/>
      <c r="EDS14" s="84"/>
      <c r="EDT14" s="84"/>
      <c r="EDU14" s="84"/>
      <c r="EDV14" s="84"/>
      <c r="EDW14" s="84"/>
      <c r="EDX14" s="84"/>
      <c r="EDY14" s="84"/>
      <c r="EDZ14" s="84"/>
      <c r="EEA14" s="84"/>
      <c r="EEB14" s="84"/>
      <c r="EEC14" s="84"/>
      <c r="EED14" s="84"/>
      <c r="EEE14" s="84"/>
      <c r="EEF14" s="84"/>
      <c r="EEG14" s="84"/>
      <c r="EEH14" s="84"/>
      <c r="EEI14" s="84"/>
      <c r="EEJ14" s="84"/>
      <c r="EEK14" s="84"/>
      <c r="EEL14" s="84"/>
      <c r="EEM14" s="84"/>
      <c r="EEN14" s="84"/>
      <c r="EEO14" s="84"/>
      <c r="EEP14" s="84"/>
      <c r="EEQ14" s="84"/>
      <c r="EER14" s="84"/>
      <c r="EES14" s="84"/>
      <c r="EET14" s="84"/>
      <c r="EEU14" s="84"/>
      <c r="EEV14" s="84"/>
      <c r="EEW14" s="84"/>
      <c r="EEX14" s="84"/>
      <c r="EEY14" s="84"/>
      <c r="EEZ14" s="84"/>
      <c r="EFA14" s="84"/>
      <c r="EFB14" s="84"/>
      <c r="EFC14" s="84"/>
      <c r="EFD14" s="84"/>
      <c r="EFE14" s="84"/>
      <c r="EFF14" s="84"/>
      <c r="EFG14" s="84"/>
      <c r="EFH14" s="84"/>
      <c r="EFI14" s="84"/>
      <c r="EFJ14" s="84"/>
      <c r="EFK14" s="84"/>
      <c r="EFL14" s="84"/>
      <c r="EFM14" s="84"/>
      <c r="EFN14" s="84"/>
      <c r="EFO14" s="84"/>
      <c r="EFP14" s="84"/>
      <c r="EFQ14" s="84"/>
      <c r="EFR14" s="84"/>
      <c r="EFS14" s="84"/>
      <c r="EFT14" s="84"/>
      <c r="EFU14" s="84"/>
      <c r="EFV14" s="84"/>
      <c r="EFW14" s="84"/>
      <c r="EFX14" s="84"/>
      <c r="EFY14" s="84"/>
      <c r="EFZ14" s="84"/>
      <c r="EGA14" s="84"/>
      <c r="EGB14" s="84"/>
      <c r="EGC14" s="84"/>
      <c r="EGD14" s="84"/>
      <c r="EGE14" s="84"/>
      <c r="EGF14" s="84"/>
      <c r="EGG14" s="84"/>
      <c r="EGH14" s="84"/>
      <c r="EGI14" s="84"/>
      <c r="EGJ14" s="84"/>
      <c r="EGK14" s="84"/>
      <c r="EGL14" s="84"/>
      <c r="EGM14" s="84"/>
      <c r="EGN14" s="84"/>
      <c r="EGO14" s="84"/>
      <c r="EGP14" s="84"/>
      <c r="EGQ14" s="84"/>
      <c r="EGR14" s="84"/>
      <c r="EGS14" s="84"/>
      <c r="EGT14" s="84"/>
      <c r="EGU14" s="84"/>
      <c r="EGV14" s="84"/>
      <c r="EGW14" s="84"/>
      <c r="EGX14" s="84"/>
      <c r="EGY14" s="84"/>
      <c r="EGZ14" s="84"/>
      <c r="EHA14" s="84"/>
      <c r="EHB14" s="84"/>
      <c r="EHC14" s="84"/>
      <c r="EHD14" s="84"/>
      <c r="EHE14" s="84"/>
      <c r="EHF14" s="84"/>
      <c r="EHG14" s="84"/>
      <c r="EHH14" s="84"/>
      <c r="EHI14" s="84"/>
      <c r="EHJ14" s="84"/>
      <c r="EHK14" s="84"/>
      <c r="EHL14" s="84"/>
      <c r="EHM14" s="84"/>
      <c r="EHN14" s="84"/>
      <c r="EHO14" s="84"/>
      <c r="EHP14" s="84"/>
      <c r="EHQ14" s="84"/>
      <c r="EHR14" s="84"/>
      <c r="EHS14" s="84"/>
      <c r="EHT14" s="84"/>
      <c r="EHU14" s="84"/>
      <c r="EHV14" s="84"/>
      <c r="EHW14" s="84"/>
      <c r="EHX14" s="84"/>
      <c r="EHY14" s="84"/>
      <c r="EHZ14" s="84"/>
      <c r="EIA14" s="84"/>
      <c r="EIB14" s="84"/>
      <c r="EIC14" s="84"/>
      <c r="EID14" s="84"/>
      <c r="EIE14" s="84"/>
      <c r="EIF14" s="84"/>
      <c r="EIG14" s="84"/>
      <c r="EIH14" s="84"/>
      <c r="EII14" s="84"/>
      <c r="EIJ14" s="84"/>
      <c r="EIK14" s="84"/>
      <c r="EIL14" s="84"/>
      <c r="EIM14" s="84"/>
      <c r="EIN14" s="84"/>
      <c r="EIO14" s="84"/>
      <c r="EIP14" s="84"/>
      <c r="EIQ14" s="84"/>
      <c r="EIR14" s="84"/>
      <c r="EIS14" s="84"/>
      <c r="EIT14" s="84"/>
      <c r="EIU14" s="84"/>
      <c r="EIV14" s="84"/>
      <c r="EIW14" s="84"/>
      <c r="EIX14" s="84"/>
      <c r="EIY14" s="84"/>
      <c r="EIZ14" s="84"/>
      <c r="EJA14" s="84"/>
      <c r="EJB14" s="84"/>
      <c r="EJC14" s="84"/>
      <c r="EJD14" s="84"/>
      <c r="EJE14" s="84"/>
      <c r="EJF14" s="84"/>
      <c r="EJG14" s="84"/>
      <c r="EJH14" s="84"/>
      <c r="EJI14" s="84"/>
      <c r="EJJ14" s="84"/>
      <c r="EJK14" s="84"/>
      <c r="EJL14" s="84"/>
      <c r="EJM14" s="84"/>
      <c r="EJN14" s="84"/>
      <c r="EJO14" s="84"/>
      <c r="EJP14" s="84"/>
      <c r="EJQ14" s="84"/>
      <c r="EJR14" s="84"/>
      <c r="EJS14" s="84"/>
      <c r="EJT14" s="84"/>
      <c r="EJU14" s="84"/>
      <c r="EJV14" s="84"/>
      <c r="EJW14" s="84"/>
      <c r="EJX14" s="84"/>
      <c r="EJY14" s="84"/>
      <c r="EJZ14" s="84"/>
      <c r="EKA14" s="84"/>
      <c r="EKB14" s="84"/>
      <c r="EKC14" s="84"/>
      <c r="EKD14" s="84"/>
      <c r="EKE14" s="84"/>
      <c r="EKF14" s="84"/>
      <c r="EKG14" s="84"/>
      <c r="EKH14" s="84"/>
      <c r="EKI14" s="84"/>
      <c r="EKJ14" s="84"/>
      <c r="EKK14" s="84"/>
      <c r="EKL14" s="84"/>
      <c r="EKM14" s="84"/>
      <c r="EKN14" s="84"/>
      <c r="EKO14" s="84"/>
      <c r="EKP14" s="84"/>
      <c r="EKQ14" s="84"/>
      <c r="EKR14" s="84"/>
      <c r="EKS14" s="84"/>
      <c r="EKT14" s="84"/>
      <c r="EKU14" s="84"/>
      <c r="EKV14" s="84"/>
      <c r="EKW14" s="84"/>
      <c r="EKX14" s="84"/>
      <c r="EKY14" s="84"/>
      <c r="EKZ14" s="84"/>
      <c r="ELA14" s="84"/>
      <c r="ELB14" s="84"/>
      <c r="ELC14" s="84"/>
      <c r="ELD14" s="84"/>
      <c r="ELE14" s="84"/>
      <c r="ELF14" s="84"/>
      <c r="ELG14" s="84"/>
      <c r="ELH14" s="84"/>
      <c r="ELI14" s="84"/>
      <c r="ELJ14" s="84"/>
      <c r="ELK14" s="84"/>
      <c r="ELL14" s="84"/>
      <c r="ELM14" s="84"/>
      <c r="ELN14" s="84"/>
      <c r="ELO14" s="84"/>
      <c r="ELP14" s="84"/>
      <c r="ELQ14" s="84"/>
      <c r="ELR14" s="84"/>
      <c r="ELS14" s="84"/>
      <c r="ELT14" s="84"/>
      <c r="ELU14" s="84"/>
      <c r="ELV14" s="84"/>
      <c r="ELW14" s="84"/>
      <c r="ELX14" s="84"/>
      <c r="ELY14" s="84"/>
      <c r="ELZ14" s="84"/>
      <c r="EMA14" s="84"/>
      <c r="EMB14" s="84"/>
      <c r="EMC14" s="84"/>
      <c r="EMD14" s="84"/>
      <c r="EME14" s="84"/>
      <c r="EMF14" s="84"/>
      <c r="EMG14" s="84"/>
      <c r="EMH14" s="84"/>
      <c r="EMI14" s="84"/>
      <c r="EMJ14" s="84"/>
      <c r="EMK14" s="84"/>
      <c r="EML14" s="84"/>
      <c r="EMM14" s="84"/>
      <c r="EMN14" s="84"/>
      <c r="EMO14" s="84"/>
      <c r="EMP14" s="84"/>
      <c r="EMQ14" s="84"/>
      <c r="EMR14" s="84"/>
      <c r="EMS14" s="84"/>
      <c r="EMT14" s="84"/>
      <c r="EMU14" s="84"/>
      <c r="EMV14" s="84"/>
      <c r="EMW14" s="84"/>
      <c r="EMX14" s="84"/>
      <c r="EMY14" s="84"/>
      <c r="EMZ14" s="84"/>
      <c r="ENA14" s="84"/>
      <c r="ENB14" s="84"/>
      <c r="ENC14" s="84"/>
      <c r="END14" s="84"/>
      <c r="ENE14" s="84"/>
      <c r="ENF14" s="84"/>
      <c r="ENG14" s="84"/>
      <c r="ENH14" s="84"/>
      <c r="ENI14" s="84"/>
      <c r="ENJ14" s="84"/>
      <c r="ENK14" s="84"/>
      <c r="ENL14" s="84"/>
      <c r="ENM14" s="84"/>
      <c r="ENN14" s="84"/>
      <c r="ENO14" s="84"/>
      <c r="ENP14" s="84"/>
      <c r="ENQ14" s="84"/>
      <c r="ENR14" s="84"/>
      <c r="ENS14" s="84"/>
      <c r="ENT14" s="84"/>
      <c r="ENU14" s="84"/>
      <c r="ENV14" s="84"/>
      <c r="ENW14" s="84"/>
      <c r="ENX14" s="84"/>
      <c r="ENY14" s="84"/>
      <c r="ENZ14" s="84"/>
      <c r="EOA14" s="84"/>
      <c r="EOB14" s="84"/>
      <c r="EOC14" s="84"/>
      <c r="EOD14" s="84"/>
      <c r="EOE14" s="84"/>
      <c r="EOF14" s="84"/>
      <c r="EOG14" s="84"/>
      <c r="EOH14" s="84"/>
      <c r="EOI14" s="84"/>
      <c r="EOJ14" s="84"/>
      <c r="EOK14" s="84"/>
      <c r="EOL14" s="84"/>
      <c r="EOM14" s="84"/>
      <c r="EON14" s="84"/>
      <c r="EOO14" s="84"/>
      <c r="EOP14" s="84"/>
      <c r="EOQ14" s="84"/>
      <c r="EOR14" s="84"/>
      <c r="EOS14" s="84"/>
      <c r="EOT14" s="84"/>
      <c r="EOU14" s="84"/>
      <c r="EOV14" s="84"/>
      <c r="EOW14" s="84"/>
      <c r="EOX14" s="84"/>
      <c r="EOY14" s="84"/>
      <c r="EOZ14" s="84"/>
      <c r="EPA14" s="84"/>
      <c r="EPB14" s="84"/>
      <c r="EPC14" s="84"/>
      <c r="EPD14" s="84"/>
      <c r="EPE14" s="84"/>
      <c r="EPF14" s="84"/>
      <c r="EPG14" s="84"/>
      <c r="EPH14" s="84"/>
      <c r="EPI14" s="84"/>
      <c r="EPJ14" s="84"/>
      <c r="EPK14" s="84"/>
      <c r="EPL14" s="84"/>
      <c r="EPM14" s="84"/>
      <c r="EPN14" s="84"/>
      <c r="EPO14" s="84"/>
      <c r="EPP14" s="84"/>
      <c r="EPQ14" s="84"/>
      <c r="EPR14" s="84"/>
      <c r="EPS14" s="84"/>
      <c r="EPT14" s="84"/>
      <c r="EPU14" s="84"/>
      <c r="EPV14" s="84"/>
      <c r="EPW14" s="84"/>
      <c r="EPX14" s="84"/>
      <c r="EPY14" s="84"/>
      <c r="EPZ14" s="84"/>
      <c r="EQA14" s="84"/>
      <c r="EQB14" s="84"/>
      <c r="EQC14" s="84"/>
      <c r="EQD14" s="84"/>
      <c r="EQE14" s="84"/>
      <c r="EQF14" s="84"/>
      <c r="EQG14" s="84"/>
      <c r="EQH14" s="84"/>
      <c r="EQI14" s="84"/>
      <c r="EQJ14" s="84"/>
      <c r="EQK14" s="84"/>
      <c r="EQL14" s="84"/>
      <c r="EQM14" s="84"/>
      <c r="EQN14" s="84"/>
      <c r="EQO14" s="84"/>
      <c r="EQP14" s="84"/>
      <c r="EQQ14" s="84"/>
      <c r="EQR14" s="84"/>
      <c r="EQS14" s="84"/>
      <c r="EQT14" s="84"/>
      <c r="EQU14" s="84"/>
      <c r="EQV14" s="84"/>
      <c r="EQW14" s="84"/>
      <c r="EQX14" s="84"/>
      <c r="EQY14" s="84"/>
      <c r="EQZ14" s="84"/>
      <c r="ERA14" s="84"/>
      <c r="ERB14" s="84"/>
      <c r="ERC14" s="84"/>
      <c r="ERD14" s="84"/>
      <c r="ERE14" s="84"/>
      <c r="ERF14" s="84"/>
      <c r="ERG14" s="84"/>
      <c r="ERH14" s="84"/>
      <c r="ERI14" s="84"/>
      <c r="ERJ14" s="84"/>
      <c r="ERK14" s="84"/>
      <c r="ERL14" s="84"/>
      <c r="ERM14" s="84"/>
      <c r="ERN14" s="84"/>
      <c r="ERO14" s="84"/>
      <c r="ERP14" s="84"/>
      <c r="ERQ14" s="84"/>
      <c r="ERR14" s="84"/>
      <c r="ERS14" s="84"/>
      <c r="ERT14" s="84"/>
      <c r="ERU14" s="84"/>
      <c r="ERV14" s="84"/>
      <c r="ERW14" s="84"/>
      <c r="ERX14" s="84"/>
      <c r="ERY14" s="84"/>
      <c r="ERZ14" s="84"/>
      <c r="ESA14" s="84"/>
      <c r="ESB14" s="84"/>
      <c r="ESC14" s="84"/>
      <c r="ESD14" s="84"/>
      <c r="ESE14" s="84"/>
      <c r="ESF14" s="84"/>
      <c r="ESG14" s="84"/>
      <c r="ESH14" s="84"/>
      <c r="ESI14" s="84"/>
      <c r="ESJ14" s="84"/>
      <c r="ESK14" s="84"/>
      <c r="ESL14" s="84"/>
      <c r="ESM14" s="84"/>
      <c r="ESN14" s="84"/>
      <c r="ESO14" s="84"/>
      <c r="ESP14" s="84"/>
      <c r="ESQ14" s="84"/>
      <c r="ESR14" s="84"/>
      <c r="ESS14" s="84"/>
      <c r="EST14" s="84"/>
      <c r="ESU14" s="84"/>
      <c r="ESV14" s="84"/>
      <c r="ESW14" s="84"/>
      <c r="ESX14" s="84"/>
      <c r="ESY14" s="84"/>
      <c r="ESZ14" s="84"/>
      <c r="ETA14" s="84"/>
      <c r="ETB14" s="84"/>
      <c r="ETC14" s="84"/>
      <c r="ETD14" s="84"/>
      <c r="ETE14" s="84"/>
      <c r="ETF14" s="84"/>
      <c r="ETG14" s="84"/>
      <c r="ETH14" s="84"/>
      <c r="ETI14" s="84"/>
      <c r="ETJ14" s="84"/>
      <c r="ETK14" s="84"/>
      <c r="ETL14" s="84"/>
      <c r="ETM14" s="84"/>
      <c r="ETN14" s="84"/>
      <c r="ETO14" s="84"/>
      <c r="ETP14" s="84"/>
      <c r="ETQ14" s="84"/>
      <c r="ETR14" s="84"/>
      <c r="ETS14" s="84"/>
      <c r="ETT14" s="84"/>
      <c r="ETU14" s="84"/>
      <c r="ETV14" s="84"/>
      <c r="ETW14" s="84"/>
      <c r="ETX14" s="84"/>
      <c r="ETY14" s="84"/>
      <c r="ETZ14" s="84"/>
      <c r="EUA14" s="84"/>
      <c r="EUB14" s="84"/>
      <c r="EUC14" s="84"/>
      <c r="EUD14" s="84"/>
      <c r="EUE14" s="84"/>
      <c r="EUF14" s="84"/>
      <c r="EUG14" s="84"/>
      <c r="EUH14" s="84"/>
      <c r="EUI14" s="84"/>
      <c r="EUJ14" s="84"/>
      <c r="EUK14" s="84"/>
      <c r="EUL14" s="84"/>
      <c r="EUM14" s="84"/>
      <c r="EUN14" s="84"/>
      <c r="EUO14" s="84"/>
      <c r="EUP14" s="84"/>
      <c r="EUQ14" s="84"/>
      <c r="EUR14" s="84"/>
      <c r="EUS14" s="84"/>
      <c r="EUT14" s="84"/>
      <c r="EUU14" s="84"/>
      <c r="EUV14" s="84"/>
      <c r="EUW14" s="84"/>
      <c r="EUX14" s="84"/>
      <c r="EUY14" s="84"/>
      <c r="EUZ14" s="84"/>
      <c r="EVA14" s="84"/>
      <c r="EVB14" s="84"/>
      <c r="EVC14" s="84"/>
      <c r="EVD14" s="84"/>
      <c r="EVE14" s="84"/>
      <c r="EVF14" s="84"/>
      <c r="EVG14" s="84"/>
      <c r="EVH14" s="84"/>
      <c r="EVI14" s="84"/>
      <c r="EVJ14" s="84"/>
      <c r="EVK14" s="84"/>
      <c r="EVL14" s="84"/>
      <c r="EVM14" s="84"/>
      <c r="EVN14" s="84"/>
      <c r="EVO14" s="84"/>
      <c r="EVP14" s="84"/>
      <c r="EVQ14" s="84"/>
      <c r="EVR14" s="84"/>
      <c r="EVS14" s="84"/>
      <c r="EVT14" s="84"/>
      <c r="EVU14" s="84"/>
      <c r="EVV14" s="84"/>
      <c r="EVW14" s="84"/>
      <c r="EVX14" s="84"/>
      <c r="EVY14" s="84"/>
      <c r="EVZ14" s="84"/>
      <c r="EWA14" s="84"/>
      <c r="EWB14" s="84"/>
      <c r="EWC14" s="84"/>
      <c r="EWD14" s="84"/>
      <c r="EWE14" s="84"/>
      <c r="EWF14" s="84"/>
      <c r="EWG14" s="84"/>
      <c r="EWH14" s="84"/>
      <c r="EWI14" s="84"/>
      <c r="EWJ14" s="84"/>
      <c r="EWK14" s="84"/>
      <c r="EWL14" s="84"/>
      <c r="EWM14" s="84"/>
      <c r="EWN14" s="84"/>
      <c r="EWO14" s="84"/>
      <c r="EWP14" s="84"/>
      <c r="EWQ14" s="84"/>
      <c r="EWR14" s="84"/>
      <c r="EWS14" s="84"/>
      <c r="EWT14" s="84"/>
      <c r="EWU14" s="84"/>
      <c r="EWV14" s="84"/>
      <c r="EWW14" s="84"/>
      <c r="EWX14" s="84"/>
      <c r="EWY14" s="84"/>
      <c r="EWZ14" s="84"/>
      <c r="EXA14" s="84"/>
      <c r="EXB14" s="84"/>
      <c r="EXC14" s="84"/>
      <c r="EXD14" s="84"/>
      <c r="EXE14" s="84"/>
      <c r="EXF14" s="84"/>
      <c r="EXG14" s="84"/>
      <c r="EXH14" s="84"/>
      <c r="EXI14" s="84"/>
      <c r="EXJ14" s="84"/>
      <c r="EXK14" s="84"/>
      <c r="EXL14" s="84"/>
      <c r="EXM14" s="84"/>
      <c r="EXN14" s="84"/>
      <c r="EXO14" s="84"/>
      <c r="EXP14" s="84"/>
      <c r="EXQ14" s="84"/>
      <c r="EXR14" s="84"/>
      <c r="EXS14" s="84"/>
      <c r="EXT14" s="84"/>
      <c r="EXU14" s="84"/>
      <c r="EXV14" s="84"/>
      <c r="EXW14" s="84"/>
      <c r="EXX14" s="84"/>
      <c r="EXY14" s="84"/>
      <c r="EXZ14" s="84"/>
      <c r="EYA14" s="84"/>
      <c r="EYB14" s="84"/>
      <c r="EYC14" s="84"/>
      <c r="EYD14" s="84"/>
      <c r="EYE14" s="84"/>
      <c r="EYF14" s="84"/>
      <c r="EYG14" s="84"/>
      <c r="EYH14" s="84"/>
      <c r="EYI14" s="84"/>
      <c r="EYJ14" s="84"/>
      <c r="EYK14" s="84"/>
      <c r="EYL14" s="84"/>
      <c r="EYM14" s="84"/>
      <c r="EYN14" s="84"/>
      <c r="EYO14" s="84"/>
      <c r="EYP14" s="84"/>
      <c r="EYQ14" s="84"/>
      <c r="EYR14" s="84"/>
      <c r="EYS14" s="84"/>
      <c r="EYT14" s="84"/>
      <c r="EYU14" s="84"/>
      <c r="EYV14" s="84"/>
      <c r="EYW14" s="84"/>
      <c r="EYX14" s="84"/>
      <c r="EYY14" s="84"/>
      <c r="EYZ14" s="84"/>
      <c r="EZA14" s="84"/>
      <c r="EZB14" s="84"/>
      <c r="EZC14" s="84"/>
      <c r="EZD14" s="84"/>
      <c r="EZE14" s="84"/>
      <c r="EZF14" s="84"/>
      <c r="EZG14" s="84"/>
      <c r="EZH14" s="84"/>
      <c r="EZI14" s="84"/>
      <c r="EZJ14" s="84"/>
      <c r="EZK14" s="84"/>
      <c r="EZL14" s="84"/>
      <c r="EZM14" s="84"/>
      <c r="EZN14" s="84"/>
      <c r="EZO14" s="84"/>
      <c r="EZP14" s="84"/>
      <c r="EZQ14" s="84"/>
      <c r="EZR14" s="84"/>
      <c r="EZS14" s="84"/>
      <c r="EZT14" s="84"/>
      <c r="EZU14" s="84"/>
      <c r="EZV14" s="84"/>
      <c r="EZW14" s="84"/>
      <c r="EZX14" s="84"/>
      <c r="EZY14" s="84"/>
      <c r="EZZ14" s="84"/>
      <c r="FAA14" s="84"/>
      <c r="FAB14" s="84"/>
      <c r="FAC14" s="84"/>
      <c r="FAD14" s="84"/>
      <c r="FAE14" s="84"/>
      <c r="FAF14" s="84"/>
      <c r="FAG14" s="84"/>
      <c r="FAH14" s="84"/>
      <c r="FAI14" s="84"/>
      <c r="FAJ14" s="84"/>
      <c r="FAK14" s="84"/>
      <c r="FAL14" s="84"/>
      <c r="FAM14" s="84"/>
      <c r="FAN14" s="84"/>
      <c r="FAO14" s="84"/>
      <c r="FAP14" s="84"/>
      <c r="FAQ14" s="84"/>
      <c r="FAR14" s="84"/>
      <c r="FAS14" s="84"/>
      <c r="FAT14" s="84"/>
      <c r="FAU14" s="84"/>
      <c r="FAV14" s="84"/>
      <c r="FAW14" s="84"/>
      <c r="FAX14" s="84"/>
      <c r="FAY14" s="84"/>
      <c r="FAZ14" s="84"/>
      <c r="FBA14" s="84"/>
      <c r="FBB14" s="84"/>
      <c r="FBC14" s="84"/>
      <c r="FBD14" s="84"/>
      <c r="FBE14" s="84"/>
      <c r="FBF14" s="84"/>
      <c r="FBG14" s="84"/>
      <c r="FBH14" s="84"/>
      <c r="FBI14" s="84"/>
      <c r="FBJ14" s="84"/>
      <c r="FBK14" s="84"/>
      <c r="FBL14" s="84"/>
      <c r="FBM14" s="84"/>
      <c r="FBN14" s="84"/>
      <c r="FBO14" s="84"/>
      <c r="FBP14" s="84"/>
      <c r="FBQ14" s="84"/>
      <c r="FBR14" s="84"/>
      <c r="FBS14" s="84"/>
      <c r="FBT14" s="84"/>
      <c r="FBU14" s="84"/>
      <c r="FBV14" s="84"/>
      <c r="FBW14" s="84"/>
      <c r="FBX14" s="84"/>
      <c r="FBY14" s="84"/>
      <c r="FBZ14" s="84"/>
      <c r="FCA14" s="84"/>
      <c r="FCB14" s="84"/>
      <c r="FCC14" s="84"/>
      <c r="FCD14" s="84"/>
      <c r="FCE14" s="84"/>
      <c r="FCF14" s="84"/>
      <c r="FCG14" s="84"/>
      <c r="FCH14" s="84"/>
      <c r="FCI14" s="84"/>
      <c r="FCJ14" s="84"/>
      <c r="FCK14" s="84"/>
      <c r="FCL14" s="84"/>
      <c r="FCM14" s="84"/>
      <c r="FCN14" s="84"/>
      <c r="FCO14" s="84"/>
      <c r="FCP14" s="84"/>
      <c r="FCQ14" s="84"/>
      <c r="FCR14" s="84"/>
      <c r="FCS14" s="84"/>
      <c r="FCT14" s="84"/>
      <c r="FCU14" s="84"/>
      <c r="FCV14" s="84"/>
      <c r="FCW14" s="84"/>
      <c r="FCX14" s="84"/>
      <c r="FCY14" s="84"/>
      <c r="FCZ14" s="84"/>
      <c r="FDA14" s="84"/>
      <c r="FDB14" s="84"/>
      <c r="FDC14" s="84"/>
      <c r="FDD14" s="84"/>
      <c r="FDE14" s="84"/>
      <c r="FDF14" s="84"/>
      <c r="FDG14" s="84"/>
      <c r="FDH14" s="84"/>
      <c r="FDI14" s="84"/>
      <c r="FDJ14" s="84"/>
      <c r="FDK14" s="84"/>
      <c r="FDL14" s="84"/>
      <c r="FDM14" s="84"/>
      <c r="FDN14" s="84"/>
      <c r="FDO14" s="84"/>
      <c r="FDP14" s="84"/>
      <c r="FDQ14" s="84"/>
      <c r="FDR14" s="84"/>
      <c r="FDS14" s="84"/>
      <c r="FDT14" s="84"/>
      <c r="FDU14" s="84"/>
      <c r="FDV14" s="84"/>
      <c r="FDW14" s="84"/>
      <c r="FDX14" s="84"/>
      <c r="FDY14" s="84"/>
      <c r="FDZ14" s="84"/>
      <c r="FEA14" s="84"/>
      <c r="FEB14" s="84"/>
      <c r="FEC14" s="84"/>
      <c r="FED14" s="84"/>
      <c r="FEE14" s="84"/>
      <c r="FEF14" s="84"/>
      <c r="FEG14" s="84"/>
      <c r="FEH14" s="84"/>
      <c r="FEI14" s="84"/>
      <c r="FEJ14" s="84"/>
      <c r="FEK14" s="84"/>
      <c r="FEL14" s="84"/>
      <c r="FEM14" s="84"/>
      <c r="FEN14" s="84"/>
      <c r="FEO14" s="84"/>
      <c r="FEP14" s="84"/>
      <c r="FEQ14" s="84"/>
      <c r="FER14" s="84"/>
      <c r="FES14" s="84"/>
      <c r="FET14" s="84"/>
      <c r="FEU14" s="84"/>
      <c r="FEV14" s="84"/>
      <c r="FEW14" s="84"/>
      <c r="FEX14" s="84"/>
      <c r="FEY14" s="84"/>
      <c r="FEZ14" s="84"/>
      <c r="FFA14" s="84"/>
      <c r="FFB14" s="84"/>
      <c r="FFC14" s="84"/>
      <c r="FFD14" s="84"/>
      <c r="FFE14" s="84"/>
      <c r="FFF14" s="84"/>
      <c r="FFG14" s="84"/>
      <c r="FFH14" s="84"/>
      <c r="FFI14" s="84"/>
      <c r="FFJ14" s="84"/>
      <c r="FFK14" s="84"/>
      <c r="FFL14" s="84"/>
      <c r="FFM14" s="84"/>
      <c r="FFN14" s="84"/>
      <c r="FFO14" s="84"/>
      <c r="FFP14" s="84"/>
      <c r="FFQ14" s="84"/>
      <c r="FFR14" s="84"/>
      <c r="FFS14" s="84"/>
      <c r="FFT14" s="84"/>
      <c r="FFU14" s="84"/>
      <c r="FFV14" s="84"/>
      <c r="FFW14" s="84"/>
      <c r="FFX14" s="84"/>
      <c r="FFY14" s="84"/>
      <c r="FFZ14" s="84"/>
      <c r="FGA14" s="84"/>
      <c r="FGB14" s="84"/>
      <c r="FGC14" s="84"/>
      <c r="FGD14" s="84"/>
      <c r="FGE14" s="84"/>
      <c r="FGF14" s="84"/>
      <c r="FGG14" s="84"/>
      <c r="FGH14" s="84"/>
      <c r="FGI14" s="84"/>
      <c r="FGJ14" s="84"/>
      <c r="FGK14" s="84"/>
      <c r="FGL14" s="84"/>
      <c r="FGM14" s="84"/>
      <c r="FGN14" s="84"/>
      <c r="FGO14" s="84"/>
      <c r="FGP14" s="84"/>
      <c r="FGQ14" s="84"/>
      <c r="FGR14" s="84"/>
      <c r="FGS14" s="84"/>
      <c r="FGT14" s="84"/>
      <c r="FGU14" s="84"/>
      <c r="FGV14" s="84"/>
      <c r="FGW14" s="84"/>
      <c r="FGX14" s="84"/>
      <c r="FGY14" s="84"/>
      <c r="FGZ14" s="84"/>
      <c r="FHA14" s="84"/>
      <c r="FHB14" s="84"/>
      <c r="FHC14" s="84"/>
      <c r="FHD14" s="84"/>
      <c r="FHE14" s="84"/>
      <c r="FHF14" s="84"/>
      <c r="FHG14" s="84"/>
      <c r="FHH14" s="84"/>
      <c r="FHI14" s="84"/>
      <c r="FHJ14" s="84"/>
      <c r="FHK14" s="84"/>
      <c r="FHL14" s="84"/>
      <c r="FHM14" s="84"/>
      <c r="FHN14" s="84"/>
      <c r="FHO14" s="84"/>
      <c r="FHP14" s="84"/>
      <c r="FHQ14" s="84"/>
      <c r="FHR14" s="84"/>
      <c r="FHS14" s="84"/>
      <c r="FHT14" s="84"/>
      <c r="FHU14" s="84"/>
      <c r="FHV14" s="84"/>
      <c r="FHW14" s="84"/>
      <c r="FHX14" s="84"/>
      <c r="FHY14" s="84"/>
      <c r="FHZ14" s="84"/>
      <c r="FIA14" s="84"/>
      <c r="FIB14" s="84"/>
      <c r="FIC14" s="84"/>
      <c r="FID14" s="84"/>
      <c r="FIE14" s="84"/>
      <c r="FIF14" s="84"/>
      <c r="FIG14" s="84"/>
      <c r="FIH14" s="84"/>
      <c r="FII14" s="84"/>
      <c r="FIJ14" s="84"/>
      <c r="FIK14" s="84"/>
      <c r="FIL14" s="84"/>
      <c r="FIM14" s="84"/>
      <c r="FIN14" s="84"/>
      <c r="FIO14" s="84"/>
      <c r="FIP14" s="84"/>
      <c r="FIQ14" s="84"/>
      <c r="FIR14" s="84"/>
      <c r="FIS14" s="84"/>
      <c r="FIT14" s="84"/>
      <c r="FIU14" s="84"/>
      <c r="FIV14" s="84"/>
      <c r="FIW14" s="84"/>
      <c r="FIX14" s="84"/>
      <c r="FIY14" s="84"/>
      <c r="FIZ14" s="84"/>
      <c r="FJA14" s="84"/>
      <c r="FJB14" s="84"/>
      <c r="FJC14" s="84"/>
      <c r="FJD14" s="84"/>
      <c r="FJE14" s="84"/>
      <c r="FJF14" s="84"/>
      <c r="FJG14" s="84"/>
      <c r="FJH14" s="84"/>
      <c r="FJI14" s="84"/>
      <c r="FJJ14" s="84"/>
      <c r="FJK14" s="84"/>
      <c r="FJL14" s="84"/>
      <c r="FJM14" s="84"/>
      <c r="FJN14" s="84"/>
      <c r="FJO14" s="84"/>
      <c r="FJP14" s="84"/>
      <c r="FJQ14" s="84"/>
      <c r="FJR14" s="84"/>
      <c r="FJS14" s="84"/>
      <c r="FJT14" s="84"/>
      <c r="FJU14" s="84"/>
      <c r="FJV14" s="84"/>
      <c r="FJW14" s="84"/>
      <c r="FJX14" s="84"/>
      <c r="FJY14" s="84"/>
      <c r="FJZ14" s="84"/>
      <c r="FKA14" s="84"/>
      <c r="FKB14" s="84"/>
      <c r="FKC14" s="84"/>
      <c r="FKD14" s="84"/>
      <c r="FKE14" s="84"/>
      <c r="FKF14" s="84"/>
      <c r="FKG14" s="84"/>
      <c r="FKH14" s="84"/>
      <c r="FKI14" s="84"/>
      <c r="FKJ14" s="84"/>
      <c r="FKK14" s="84"/>
      <c r="FKL14" s="84"/>
      <c r="FKM14" s="84"/>
      <c r="FKN14" s="84"/>
      <c r="FKO14" s="84"/>
      <c r="FKP14" s="84"/>
      <c r="FKQ14" s="84"/>
      <c r="FKR14" s="84"/>
      <c r="FKS14" s="84"/>
      <c r="FKT14" s="84"/>
      <c r="FKU14" s="84"/>
      <c r="FKV14" s="84"/>
      <c r="FKW14" s="84"/>
      <c r="FKX14" s="84"/>
      <c r="FKY14" s="84"/>
      <c r="FKZ14" s="84"/>
      <c r="FLA14" s="84"/>
      <c r="FLB14" s="84"/>
      <c r="FLC14" s="84"/>
      <c r="FLD14" s="84"/>
      <c r="FLE14" s="84"/>
      <c r="FLF14" s="84"/>
      <c r="FLG14" s="84"/>
      <c r="FLH14" s="84"/>
      <c r="FLI14" s="84"/>
      <c r="FLJ14" s="84"/>
      <c r="FLK14" s="84"/>
      <c r="FLL14" s="84"/>
      <c r="FLM14" s="84"/>
      <c r="FLN14" s="84"/>
      <c r="FLO14" s="84"/>
      <c r="FLP14" s="84"/>
      <c r="FLQ14" s="84"/>
      <c r="FLR14" s="84"/>
      <c r="FLS14" s="84"/>
      <c r="FLT14" s="84"/>
      <c r="FLU14" s="84"/>
      <c r="FLV14" s="84"/>
      <c r="FLW14" s="84"/>
      <c r="FLX14" s="84"/>
      <c r="FLY14" s="84"/>
      <c r="FLZ14" s="84"/>
      <c r="FMA14" s="84"/>
      <c r="FMB14" s="84"/>
      <c r="FMC14" s="84"/>
      <c r="FMD14" s="84"/>
      <c r="FME14" s="84"/>
      <c r="FMF14" s="84"/>
      <c r="FMG14" s="84"/>
      <c r="FMH14" s="84"/>
      <c r="FMI14" s="84"/>
      <c r="FMJ14" s="84"/>
      <c r="FMK14" s="84"/>
      <c r="FML14" s="84"/>
      <c r="FMM14" s="84"/>
      <c r="FMN14" s="84"/>
      <c r="FMO14" s="84"/>
      <c r="FMP14" s="84"/>
      <c r="FMQ14" s="84"/>
      <c r="FMR14" s="84"/>
      <c r="FMS14" s="84"/>
      <c r="FMT14" s="84"/>
      <c r="FMU14" s="84"/>
      <c r="FMV14" s="84"/>
      <c r="FMW14" s="84"/>
      <c r="FMX14" s="84"/>
      <c r="FMY14" s="84"/>
      <c r="FMZ14" s="84"/>
      <c r="FNA14" s="84"/>
      <c r="FNB14" s="84"/>
      <c r="FNC14" s="84"/>
      <c r="FND14" s="84"/>
      <c r="FNE14" s="84"/>
      <c r="FNF14" s="84"/>
      <c r="FNG14" s="84"/>
      <c r="FNH14" s="84"/>
      <c r="FNI14" s="84"/>
      <c r="FNJ14" s="84"/>
      <c r="FNK14" s="84"/>
      <c r="FNL14" s="84"/>
      <c r="FNM14" s="84"/>
      <c r="FNN14" s="84"/>
      <c r="FNO14" s="84"/>
      <c r="FNP14" s="84"/>
      <c r="FNQ14" s="84"/>
      <c r="FNR14" s="84"/>
      <c r="FNS14" s="84"/>
      <c r="FNT14" s="84"/>
      <c r="FNU14" s="84"/>
      <c r="FNV14" s="84"/>
      <c r="FNW14" s="84"/>
      <c r="FNX14" s="84"/>
      <c r="FNY14" s="84"/>
      <c r="FNZ14" s="84"/>
      <c r="FOA14" s="84"/>
      <c r="FOB14" s="84"/>
      <c r="FOC14" s="84"/>
      <c r="FOD14" s="84"/>
      <c r="FOE14" s="84"/>
      <c r="FOF14" s="84"/>
      <c r="FOG14" s="84"/>
      <c r="FOH14" s="84"/>
      <c r="FOI14" s="84"/>
      <c r="FOJ14" s="84"/>
      <c r="FOK14" s="84"/>
      <c r="FOL14" s="84"/>
      <c r="FOM14" s="84"/>
      <c r="FON14" s="84"/>
      <c r="FOO14" s="84"/>
      <c r="FOP14" s="84"/>
      <c r="FOQ14" s="84"/>
      <c r="FOR14" s="84"/>
      <c r="FOS14" s="84"/>
      <c r="FOT14" s="84"/>
      <c r="FOU14" s="84"/>
      <c r="FOV14" s="84"/>
      <c r="FOW14" s="84"/>
      <c r="FOX14" s="84"/>
      <c r="FOY14" s="84"/>
      <c r="FOZ14" s="84"/>
      <c r="FPA14" s="84"/>
      <c r="FPB14" s="84"/>
      <c r="FPC14" s="84"/>
      <c r="FPD14" s="84"/>
      <c r="FPE14" s="84"/>
      <c r="FPF14" s="84"/>
      <c r="FPG14" s="84"/>
      <c r="FPH14" s="84"/>
      <c r="FPI14" s="84"/>
      <c r="FPJ14" s="84"/>
      <c r="FPK14" s="84"/>
      <c r="FPL14" s="84"/>
      <c r="FPM14" s="84"/>
      <c r="FPN14" s="84"/>
      <c r="FPO14" s="84"/>
      <c r="FPP14" s="84"/>
      <c r="FPQ14" s="84"/>
      <c r="FPR14" s="84"/>
      <c r="FPS14" s="84"/>
      <c r="FPT14" s="84"/>
      <c r="FPU14" s="84"/>
      <c r="FPV14" s="84"/>
      <c r="FPW14" s="84"/>
      <c r="FPX14" s="84"/>
      <c r="FPY14" s="84"/>
      <c r="FPZ14" s="84"/>
      <c r="FQA14" s="84"/>
      <c r="FQB14" s="84"/>
      <c r="FQC14" s="84"/>
      <c r="FQD14" s="84"/>
      <c r="FQE14" s="84"/>
      <c r="FQF14" s="84"/>
      <c r="FQG14" s="84"/>
      <c r="FQH14" s="84"/>
      <c r="FQI14" s="84"/>
      <c r="FQJ14" s="84"/>
      <c r="FQK14" s="84"/>
      <c r="FQL14" s="84"/>
      <c r="FQM14" s="84"/>
      <c r="FQN14" s="84"/>
      <c r="FQO14" s="84"/>
      <c r="FQP14" s="84"/>
      <c r="FQQ14" s="84"/>
      <c r="FQR14" s="84"/>
      <c r="FQS14" s="84"/>
      <c r="FQT14" s="84"/>
      <c r="FQU14" s="84"/>
      <c r="FQV14" s="84"/>
      <c r="FQW14" s="84"/>
      <c r="FQX14" s="84"/>
      <c r="FQY14" s="84"/>
      <c r="FQZ14" s="84"/>
      <c r="FRA14" s="84"/>
      <c r="FRB14" s="84"/>
      <c r="FRC14" s="84"/>
      <c r="FRD14" s="84"/>
      <c r="FRE14" s="84"/>
      <c r="FRF14" s="84"/>
      <c r="FRG14" s="84"/>
      <c r="FRH14" s="84"/>
      <c r="FRI14" s="84"/>
      <c r="FRJ14" s="84"/>
      <c r="FRK14" s="84"/>
      <c r="FRL14" s="84"/>
      <c r="FRM14" s="84"/>
      <c r="FRN14" s="84"/>
      <c r="FRO14" s="84"/>
      <c r="FRP14" s="84"/>
      <c r="FRQ14" s="84"/>
      <c r="FRR14" s="84"/>
      <c r="FRS14" s="84"/>
      <c r="FRT14" s="84"/>
      <c r="FRU14" s="84"/>
      <c r="FRV14" s="84"/>
      <c r="FRW14" s="84"/>
      <c r="FRX14" s="84"/>
      <c r="FRY14" s="84"/>
      <c r="FRZ14" s="84"/>
      <c r="FSA14" s="84"/>
      <c r="FSB14" s="84"/>
      <c r="FSC14" s="84"/>
      <c r="FSD14" s="84"/>
      <c r="FSE14" s="84"/>
      <c r="FSF14" s="84"/>
      <c r="FSG14" s="84"/>
      <c r="FSH14" s="84"/>
      <c r="FSI14" s="84"/>
      <c r="FSJ14" s="84"/>
      <c r="FSK14" s="84"/>
      <c r="FSL14" s="84"/>
      <c r="FSM14" s="84"/>
      <c r="FSN14" s="84"/>
      <c r="FSO14" s="84"/>
      <c r="FSP14" s="84"/>
      <c r="FSQ14" s="84"/>
      <c r="FSR14" s="84"/>
      <c r="FSS14" s="84"/>
      <c r="FST14" s="84"/>
      <c r="FSU14" s="84"/>
      <c r="FSV14" s="84"/>
      <c r="FSW14" s="84"/>
      <c r="FSX14" s="84"/>
      <c r="FSY14" s="84"/>
      <c r="FSZ14" s="84"/>
      <c r="FTA14" s="84"/>
      <c r="FTB14" s="84"/>
      <c r="FTC14" s="84"/>
      <c r="FTD14" s="84"/>
      <c r="FTE14" s="84"/>
      <c r="FTF14" s="84"/>
      <c r="FTG14" s="84"/>
      <c r="FTH14" s="84"/>
      <c r="FTI14" s="84"/>
      <c r="FTJ14" s="84"/>
      <c r="FTK14" s="84"/>
      <c r="FTL14" s="84"/>
      <c r="FTM14" s="84"/>
      <c r="FTN14" s="84"/>
      <c r="FTO14" s="84"/>
      <c r="FTP14" s="84"/>
      <c r="FTQ14" s="84"/>
      <c r="FTR14" s="84"/>
      <c r="FTS14" s="84"/>
      <c r="FTT14" s="84"/>
      <c r="FTU14" s="84"/>
      <c r="FTV14" s="84"/>
      <c r="FTW14" s="84"/>
      <c r="FTX14" s="84"/>
      <c r="FTY14" s="84"/>
      <c r="FTZ14" s="84"/>
      <c r="FUA14" s="84"/>
      <c r="FUB14" s="84"/>
      <c r="FUC14" s="84"/>
      <c r="FUD14" s="84"/>
      <c r="FUE14" s="84"/>
      <c r="FUF14" s="84"/>
      <c r="FUG14" s="84"/>
      <c r="FUH14" s="84"/>
      <c r="FUI14" s="84"/>
      <c r="FUJ14" s="84"/>
      <c r="FUK14" s="84"/>
      <c r="FUL14" s="84"/>
      <c r="FUM14" s="84"/>
      <c r="FUN14" s="84"/>
      <c r="FUO14" s="84"/>
      <c r="FUP14" s="84"/>
      <c r="FUQ14" s="84"/>
      <c r="FUR14" s="84"/>
      <c r="FUS14" s="84"/>
      <c r="FUT14" s="84"/>
      <c r="FUU14" s="84"/>
      <c r="FUV14" s="84"/>
      <c r="FUW14" s="84"/>
      <c r="FUX14" s="84"/>
      <c r="FUY14" s="84"/>
      <c r="FUZ14" s="84"/>
      <c r="FVA14" s="84"/>
      <c r="FVB14" s="84"/>
      <c r="FVC14" s="84"/>
      <c r="FVD14" s="84"/>
      <c r="FVE14" s="84"/>
      <c r="FVF14" s="84"/>
      <c r="FVG14" s="84"/>
      <c r="FVH14" s="84"/>
      <c r="FVI14" s="84"/>
      <c r="FVJ14" s="84"/>
      <c r="FVK14" s="84"/>
      <c r="FVL14" s="84"/>
      <c r="FVM14" s="84"/>
      <c r="FVN14" s="84"/>
      <c r="FVO14" s="84"/>
      <c r="FVP14" s="84"/>
      <c r="FVQ14" s="84"/>
      <c r="FVR14" s="84"/>
      <c r="FVS14" s="84"/>
      <c r="FVT14" s="84"/>
      <c r="FVU14" s="84"/>
      <c r="FVV14" s="84"/>
      <c r="FVW14" s="84"/>
      <c r="FVX14" s="84"/>
      <c r="FVY14" s="84"/>
      <c r="FVZ14" s="84"/>
      <c r="FWA14" s="84"/>
      <c r="FWB14" s="84"/>
      <c r="FWC14" s="84"/>
      <c r="FWD14" s="84"/>
      <c r="FWE14" s="84"/>
      <c r="FWF14" s="84"/>
      <c r="FWG14" s="84"/>
      <c r="FWH14" s="84"/>
      <c r="FWI14" s="84"/>
      <c r="FWJ14" s="84"/>
      <c r="FWK14" s="84"/>
      <c r="FWL14" s="84"/>
      <c r="FWM14" s="84"/>
      <c r="FWN14" s="84"/>
      <c r="FWO14" s="84"/>
      <c r="FWP14" s="84"/>
      <c r="FWQ14" s="84"/>
      <c r="FWR14" s="84"/>
      <c r="FWS14" s="84"/>
      <c r="FWT14" s="84"/>
      <c r="FWU14" s="84"/>
      <c r="FWV14" s="84"/>
      <c r="FWW14" s="84"/>
      <c r="FWX14" s="84"/>
      <c r="FWY14" s="84"/>
      <c r="FWZ14" s="84"/>
      <c r="FXA14" s="84"/>
      <c r="FXB14" s="84"/>
      <c r="FXC14" s="84"/>
      <c r="FXD14" s="84"/>
      <c r="FXE14" s="84"/>
      <c r="FXF14" s="84"/>
      <c r="FXG14" s="84"/>
      <c r="FXH14" s="84"/>
      <c r="FXI14" s="84"/>
      <c r="FXJ14" s="84"/>
      <c r="FXK14" s="84"/>
      <c r="FXL14" s="84"/>
      <c r="FXM14" s="84"/>
      <c r="FXN14" s="84"/>
      <c r="FXO14" s="84"/>
      <c r="FXP14" s="84"/>
      <c r="FXQ14" s="84"/>
      <c r="FXR14" s="84"/>
      <c r="FXS14" s="84"/>
      <c r="FXT14" s="84"/>
      <c r="FXU14" s="84"/>
      <c r="FXV14" s="84"/>
      <c r="FXW14" s="84"/>
      <c r="FXX14" s="84"/>
      <c r="FXY14" s="84"/>
      <c r="FXZ14" s="84"/>
      <c r="FYA14" s="84"/>
      <c r="FYB14" s="84"/>
      <c r="FYC14" s="84"/>
      <c r="FYD14" s="84"/>
      <c r="FYE14" s="84"/>
      <c r="FYF14" s="84"/>
      <c r="FYG14" s="84"/>
      <c r="FYH14" s="84"/>
      <c r="FYI14" s="84"/>
      <c r="FYJ14" s="84"/>
      <c r="FYK14" s="84"/>
      <c r="FYL14" s="84"/>
      <c r="FYM14" s="84"/>
      <c r="FYN14" s="84"/>
      <c r="FYO14" s="84"/>
      <c r="FYP14" s="84"/>
      <c r="FYQ14" s="84"/>
      <c r="FYR14" s="84"/>
      <c r="FYS14" s="84"/>
      <c r="FYT14" s="84"/>
      <c r="FYU14" s="84"/>
      <c r="FYV14" s="84"/>
      <c r="FYW14" s="84"/>
      <c r="FYX14" s="84"/>
      <c r="FYY14" s="84"/>
      <c r="FYZ14" s="84"/>
      <c r="FZA14" s="84"/>
      <c r="FZB14" s="84"/>
      <c r="FZC14" s="84"/>
      <c r="FZD14" s="84"/>
      <c r="FZE14" s="84"/>
      <c r="FZF14" s="84"/>
      <c r="FZG14" s="84"/>
      <c r="FZH14" s="84"/>
      <c r="FZI14" s="84"/>
      <c r="FZJ14" s="84"/>
      <c r="FZK14" s="84"/>
      <c r="FZL14" s="84"/>
      <c r="FZM14" s="84"/>
      <c r="FZN14" s="84"/>
      <c r="FZO14" s="84"/>
      <c r="FZP14" s="84"/>
      <c r="FZQ14" s="84"/>
      <c r="FZR14" s="84"/>
      <c r="FZS14" s="84"/>
      <c r="FZT14" s="84"/>
      <c r="FZU14" s="84"/>
      <c r="FZV14" s="84"/>
      <c r="FZW14" s="84"/>
      <c r="FZX14" s="84"/>
      <c r="FZY14" s="84"/>
      <c r="FZZ14" s="84"/>
      <c r="GAA14" s="84"/>
      <c r="GAB14" s="84"/>
      <c r="GAC14" s="84"/>
      <c r="GAD14" s="84"/>
      <c r="GAE14" s="84"/>
      <c r="GAF14" s="84"/>
      <c r="GAG14" s="84"/>
      <c r="GAH14" s="84"/>
      <c r="GAI14" s="84"/>
      <c r="GAJ14" s="84"/>
      <c r="GAK14" s="84"/>
      <c r="GAL14" s="84"/>
      <c r="GAM14" s="84"/>
      <c r="GAN14" s="84"/>
      <c r="GAO14" s="84"/>
      <c r="GAP14" s="84"/>
      <c r="GAQ14" s="84"/>
      <c r="GAR14" s="84"/>
      <c r="GAS14" s="84"/>
      <c r="GAT14" s="84"/>
      <c r="GAU14" s="84"/>
      <c r="GAV14" s="84"/>
      <c r="GAW14" s="84"/>
      <c r="GAX14" s="84"/>
      <c r="GAY14" s="84"/>
      <c r="GAZ14" s="84"/>
      <c r="GBA14" s="84"/>
      <c r="GBB14" s="84"/>
      <c r="GBC14" s="84"/>
      <c r="GBD14" s="84"/>
      <c r="GBE14" s="84"/>
      <c r="GBF14" s="84"/>
      <c r="GBG14" s="84"/>
      <c r="GBH14" s="84"/>
      <c r="GBI14" s="84"/>
      <c r="GBJ14" s="84"/>
      <c r="GBK14" s="84"/>
      <c r="GBL14" s="84"/>
      <c r="GBM14" s="84"/>
      <c r="GBN14" s="84"/>
      <c r="GBO14" s="84"/>
      <c r="GBP14" s="84"/>
      <c r="GBQ14" s="84"/>
      <c r="GBR14" s="84"/>
      <c r="GBS14" s="84"/>
      <c r="GBT14" s="84"/>
      <c r="GBU14" s="84"/>
      <c r="GBV14" s="84"/>
      <c r="GBW14" s="84"/>
      <c r="GBX14" s="84"/>
      <c r="GBY14" s="84"/>
      <c r="GBZ14" s="84"/>
      <c r="GCA14" s="84"/>
      <c r="GCB14" s="84"/>
      <c r="GCC14" s="84"/>
      <c r="GCD14" s="84"/>
      <c r="GCE14" s="84"/>
      <c r="GCF14" s="84"/>
      <c r="GCG14" s="84"/>
      <c r="GCH14" s="84"/>
      <c r="GCI14" s="84"/>
      <c r="GCJ14" s="84"/>
      <c r="GCK14" s="84"/>
      <c r="GCL14" s="84"/>
      <c r="GCM14" s="84"/>
      <c r="GCN14" s="84"/>
      <c r="GCO14" s="84"/>
      <c r="GCP14" s="84"/>
      <c r="GCQ14" s="84"/>
      <c r="GCR14" s="84"/>
      <c r="GCS14" s="84"/>
      <c r="GCT14" s="84"/>
      <c r="GCU14" s="84"/>
      <c r="GCV14" s="84"/>
      <c r="GCW14" s="84"/>
      <c r="GCX14" s="84"/>
      <c r="GCY14" s="84"/>
      <c r="GCZ14" s="84"/>
      <c r="GDA14" s="84"/>
      <c r="GDB14" s="84"/>
      <c r="GDC14" s="84"/>
      <c r="GDD14" s="84"/>
      <c r="GDE14" s="84"/>
      <c r="GDF14" s="84"/>
      <c r="GDG14" s="84"/>
      <c r="GDH14" s="84"/>
      <c r="GDI14" s="84"/>
      <c r="GDJ14" s="84"/>
      <c r="GDK14" s="84"/>
      <c r="GDL14" s="84"/>
      <c r="GDM14" s="84"/>
      <c r="GDN14" s="84"/>
      <c r="GDO14" s="84"/>
      <c r="GDP14" s="84"/>
      <c r="GDQ14" s="84"/>
      <c r="GDR14" s="84"/>
      <c r="GDS14" s="84"/>
      <c r="GDT14" s="84"/>
      <c r="GDU14" s="84"/>
      <c r="GDV14" s="84"/>
      <c r="GDW14" s="84"/>
      <c r="GDX14" s="84"/>
      <c r="GDY14" s="84"/>
      <c r="GDZ14" s="84"/>
      <c r="GEA14" s="84"/>
      <c r="GEB14" s="84"/>
      <c r="GEC14" s="84"/>
      <c r="GED14" s="84"/>
      <c r="GEE14" s="84"/>
      <c r="GEF14" s="84"/>
      <c r="GEG14" s="84"/>
      <c r="GEH14" s="84"/>
      <c r="GEI14" s="84"/>
      <c r="GEJ14" s="84"/>
      <c r="GEK14" s="84"/>
      <c r="GEL14" s="84"/>
      <c r="GEM14" s="84"/>
      <c r="GEN14" s="84"/>
      <c r="GEO14" s="84"/>
      <c r="GEP14" s="84"/>
      <c r="GEQ14" s="84"/>
      <c r="GER14" s="84"/>
      <c r="GES14" s="84"/>
      <c r="GET14" s="84"/>
      <c r="GEU14" s="84"/>
      <c r="GEV14" s="84"/>
      <c r="GEW14" s="84"/>
      <c r="GEX14" s="84"/>
      <c r="GEY14" s="84"/>
      <c r="GEZ14" s="84"/>
      <c r="GFA14" s="84"/>
      <c r="GFB14" s="84"/>
      <c r="GFC14" s="84"/>
      <c r="GFD14" s="84"/>
      <c r="GFE14" s="84"/>
      <c r="GFF14" s="84"/>
      <c r="GFG14" s="84"/>
      <c r="GFH14" s="84"/>
      <c r="GFI14" s="84"/>
      <c r="GFJ14" s="84"/>
      <c r="GFK14" s="84"/>
      <c r="GFL14" s="84"/>
      <c r="GFM14" s="84"/>
      <c r="GFN14" s="84"/>
      <c r="GFO14" s="84"/>
      <c r="GFP14" s="84"/>
      <c r="GFQ14" s="84"/>
      <c r="GFR14" s="84"/>
      <c r="GFS14" s="84"/>
      <c r="GFT14" s="84"/>
      <c r="GFU14" s="84"/>
      <c r="GFV14" s="84"/>
      <c r="GFW14" s="84"/>
      <c r="GFX14" s="84"/>
      <c r="GFY14" s="84"/>
      <c r="GFZ14" s="84"/>
      <c r="GGA14" s="84"/>
      <c r="GGB14" s="84"/>
      <c r="GGC14" s="84"/>
      <c r="GGD14" s="84"/>
      <c r="GGE14" s="84"/>
      <c r="GGF14" s="84"/>
      <c r="GGG14" s="84"/>
      <c r="GGH14" s="84"/>
      <c r="GGI14" s="84"/>
      <c r="GGJ14" s="84"/>
      <c r="GGK14" s="84"/>
      <c r="GGL14" s="84"/>
      <c r="GGM14" s="84"/>
      <c r="GGN14" s="84"/>
      <c r="GGO14" s="84"/>
      <c r="GGP14" s="84"/>
      <c r="GGQ14" s="84"/>
      <c r="GGR14" s="84"/>
      <c r="GGS14" s="84"/>
      <c r="GGT14" s="84"/>
      <c r="GGU14" s="84"/>
      <c r="GGV14" s="84"/>
      <c r="GGW14" s="84"/>
      <c r="GGX14" s="84"/>
      <c r="GGY14" s="84"/>
      <c r="GGZ14" s="84"/>
      <c r="GHA14" s="84"/>
      <c r="GHB14" s="84"/>
      <c r="GHC14" s="84"/>
      <c r="GHD14" s="84"/>
      <c r="GHE14" s="84"/>
      <c r="GHF14" s="84"/>
      <c r="GHG14" s="84"/>
      <c r="GHH14" s="84"/>
      <c r="GHI14" s="84"/>
      <c r="GHJ14" s="84"/>
      <c r="GHK14" s="84"/>
      <c r="GHL14" s="84"/>
      <c r="GHM14" s="84"/>
      <c r="GHN14" s="84"/>
      <c r="GHO14" s="84"/>
      <c r="GHP14" s="84"/>
      <c r="GHQ14" s="84"/>
      <c r="GHR14" s="84"/>
      <c r="GHS14" s="84"/>
      <c r="GHT14" s="84"/>
      <c r="GHU14" s="84"/>
      <c r="GHV14" s="84"/>
      <c r="GHW14" s="84"/>
      <c r="GHX14" s="84"/>
      <c r="GHY14" s="84"/>
      <c r="GHZ14" s="84"/>
      <c r="GIA14" s="84"/>
      <c r="GIB14" s="84"/>
      <c r="GIC14" s="84"/>
      <c r="GID14" s="84"/>
      <c r="GIE14" s="84"/>
      <c r="GIF14" s="84"/>
      <c r="GIG14" s="84"/>
      <c r="GIH14" s="84"/>
      <c r="GII14" s="84"/>
      <c r="GIJ14" s="84"/>
      <c r="GIK14" s="84"/>
      <c r="GIL14" s="84"/>
      <c r="GIM14" s="84"/>
      <c r="GIN14" s="84"/>
      <c r="GIO14" s="84"/>
      <c r="GIP14" s="84"/>
      <c r="GIQ14" s="84"/>
      <c r="GIR14" s="84"/>
      <c r="GIS14" s="84"/>
      <c r="GIT14" s="84"/>
      <c r="GIU14" s="84"/>
      <c r="GIV14" s="84"/>
      <c r="GIW14" s="84"/>
      <c r="GIX14" s="84"/>
      <c r="GIY14" s="84"/>
      <c r="GIZ14" s="84"/>
      <c r="GJA14" s="84"/>
      <c r="GJB14" s="84"/>
      <c r="GJC14" s="84"/>
      <c r="GJD14" s="84"/>
      <c r="GJE14" s="84"/>
      <c r="GJF14" s="84"/>
      <c r="GJG14" s="84"/>
      <c r="GJH14" s="84"/>
      <c r="GJI14" s="84"/>
      <c r="GJJ14" s="84"/>
      <c r="GJK14" s="84"/>
      <c r="GJL14" s="84"/>
      <c r="GJM14" s="84"/>
      <c r="GJN14" s="84"/>
      <c r="GJO14" s="84"/>
      <c r="GJP14" s="84"/>
      <c r="GJQ14" s="84"/>
      <c r="GJR14" s="84"/>
      <c r="GJS14" s="84"/>
      <c r="GJT14" s="84"/>
      <c r="GJU14" s="84"/>
      <c r="GJV14" s="84"/>
      <c r="GJW14" s="84"/>
      <c r="GJX14" s="84"/>
      <c r="GJY14" s="84"/>
      <c r="GJZ14" s="84"/>
      <c r="GKA14" s="84"/>
      <c r="GKB14" s="84"/>
      <c r="GKC14" s="84"/>
      <c r="GKD14" s="84"/>
      <c r="GKE14" s="84"/>
      <c r="GKF14" s="84"/>
      <c r="GKG14" s="84"/>
      <c r="GKH14" s="84"/>
      <c r="GKI14" s="84"/>
      <c r="GKJ14" s="84"/>
      <c r="GKK14" s="84"/>
      <c r="GKL14" s="84"/>
      <c r="GKM14" s="84"/>
      <c r="GKN14" s="84"/>
      <c r="GKO14" s="84"/>
      <c r="GKP14" s="84"/>
      <c r="GKQ14" s="84"/>
      <c r="GKR14" s="84"/>
      <c r="GKS14" s="84"/>
      <c r="GKT14" s="84"/>
      <c r="GKU14" s="84"/>
      <c r="GKV14" s="84"/>
      <c r="GKW14" s="84"/>
      <c r="GKX14" s="84"/>
      <c r="GKY14" s="84"/>
      <c r="GKZ14" s="84"/>
      <c r="GLA14" s="84"/>
      <c r="GLB14" s="84"/>
      <c r="GLC14" s="84"/>
      <c r="GLD14" s="84"/>
      <c r="GLE14" s="84"/>
      <c r="GLF14" s="84"/>
      <c r="GLG14" s="84"/>
      <c r="GLH14" s="84"/>
      <c r="GLI14" s="84"/>
      <c r="GLJ14" s="84"/>
      <c r="GLK14" s="84"/>
      <c r="GLL14" s="84"/>
      <c r="GLM14" s="84"/>
      <c r="GLN14" s="84"/>
      <c r="GLO14" s="84"/>
      <c r="GLP14" s="84"/>
      <c r="GLQ14" s="84"/>
      <c r="GLR14" s="84"/>
      <c r="GLS14" s="84"/>
      <c r="GLT14" s="84"/>
      <c r="GLU14" s="84"/>
      <c r="GLV14" s="84"/>
      <c r="GLW14" s="84"/>
      <c r="GLX14" s="84"/>
      <c r="GLY14" s="84"/>
      <c r="GLZ14" s="84"/>
      <c r="GMA14" s="84"/>
      <c r="GMB14" s="84"/>
      <c r="GMC14" s="84"/>
      <c r="GMD14" s="84"/>
      <c r="GME14" s="84"/>
      <c r="GMF14" s="84"/>
      <c r="GMG14" s="84"/>
      <c r="GMH14" s="84"/>
      <c r="GMI14" s="84"/>
      <c r="GMJ14" s="84"/>
      <c r="GMK14" s="84"/>
      <c r="GML14" s="84"/>
      <c r="GMM14" s="84"/>
      <c r="GMN14" s="84"/>
      <c r="GMO14" s="84"/>
      <c r="GMP14" s="84"/>
      <c r="GMQ14" s="84"/>
      <c r="GMR14" s="84"/>
      <c r="GMS14" s="84"/>
      <c r="GMT14" s="84"/>
      <c r="GMU14" s="84"/>
      <c r="GMV14" s="84"/>
      <c r="GMW14" s="84"/>
      <c r="GMX14" s="84"/>
      <c r="GMY14" s="84"/>
      <c r="GMZ14" s="84"/>
      <c r="GNA14" s="84"/>
      <c r="GNB14" s="84"/>
      <c r="GNC14" s="84"/>
      <c r="GND14" s="84"/>
      <c r="GNE14" s="84"/>
      <c r="GNF14" s="84"/>
      <c r="GNG14" s="84"/>
      <c r="GNH14" s="84"/>
      <c r="GNI14" s="84"/>
      <c r="GNJ14" s="84"/>
      <c r="GNK14" s="84"/>
      <c r="GNL14" s="84"/>
      <c r="GNM14" s="84"/>
      <c r="GNN14" s="84"/>
      <c r="GNO14" s="84"/>
      <c r="GNP14" s="84"/>
      <c r="GNQ14" s="84"/>
      <c r="GNR14" s="84"/>
      <c r="GNS14" s="84"/>
      <c r="GNT14" s="84"/>
      <c r="GNU14" s="84"/>
      <c r="GNV14" s="84"/>
      <c r="GNW14" s="84"/>
      <c r="GNX14" s="84"/>
      <c r="GNY14" s="84"/>
      <c r="GNZ14" s="84"/>
      <c r="GOA14" s="84"/>
      <c r="GOB14" s="84"/>
      <c r="GOC14" s="84"/>
      <c r="GOD14" s="84"/>
      <c r="GOE14" s="84"/>
      <c r="GOF14" s="84"/>
      <c r="GOG14" s="84"/>
      <c r="GOH14" s="84"/>
      <c r="GOI14" s="84"/>
      <c r="GOJ14" s="84"/>
      <c r="GOK14" s="84"/>
      <c r="GOL14" s="84"/>
      <c r="GOM14" s="84"/>
      <c r="GON14" s="84"/>
      <c r="GOO14" s="84"/>
      <c r="GOP14" s="84"/>
      <c r="GOQ14" s="84"/>
      <c r="GOR14" s="84"/>
      <c r="GOS14" s="84"/>
      <c r="GOT14" s="84"/>
      <c r="GOU14" s="84"/>
      <c r="GOV14" s="84"/>
      <c r="GOW14" s="84"/>
      <c r="GOX14" s="84"/>
      <c r="GOY14" s="84"/>
      <c r="GOZ14" s="84"/>
      <c r="GPA14" s="84"/>
      <c r="GPB14" s="84"/>
      <c r="GPC14" s="84"/>
      <c r="GPD14" s="84"/>
      <c r="GPE14" s="84"/>
      <c r="GPF14" s="84"/>
      <c r="GPG14" s="84"/>
      <c r="GPH14" s="84"/>
      <c r="GPI14" s="84"/>
      <c r="GPJ14" s="84"/>
      <c r="GPK14" s="84"/>
      <c r="GPL14" s="84"/>
      <c r="GPM14" s="84"/>
      <c r="GPN14" s="84"/>
      <c r="GPO14" s="84"/>
      <c r="GPP14" s="84"/>
      <c r="GPQ14" s="84"/>
      <c r="GPR14" s="84"/>
      <c r="GPS14" s="84"/>
      <c r="GPT14" s="84"/>
      <c r="GPU14" s="84"/>
      <c r="GPV14" s="84"/>
      <c r="GPW14" s="84"/>
      <c r="GPX14" s="84"/>
      <c r="GPY14" s="84"/>
      <c r="GPZ14" s="84"/>
      <c r="GQA14" s="84"/>
      <c r="GQB14" s="84"/>
      <c r="GQC14" s="84"/>
      <c r="GQD14" s="84"/>
      <c r="GQE14" s="84"/>
      <c r="GQF14" s="84"/>
      <c r="GQG14" s="84"/>
      <c r="GQH14" s="84"/>
      <c r="GQI14" s="84"/>
      <c r="GQJ14" s="84"/>
      <c r="GQK14" s="84"/>
      <c r="GQL14" s="84"/>
      <c r="GQM14" s="84"/>
      <c r="GQN14" s="84"/>
      <c r="GQO14" s="84"/>
      <c r="GQP14" s="84"/>
      <c r="GQQ14" s="84"/>
      <c r="GQR14" s="84"/>
      <c r="GQS14" s="84"/>
      <c r="GQT14" s="84"/>
      <c r="GQU14" s="84"/>
      <c r="GQV14" s="84"/>
      <c r="GQW14" s="84"/>
      <c r="GQX14" s="84"/>
      <c r="GQY14" s="84"/>
      <c r="GQZ14" s="84"/>
      <c r="GRA14" s="84"/>
      <c r="GRB14" s="84"/>
      <c r="GRC14" s="84"/>
      <c r="GRD14" s="84"/>
      <c r="GRE14" s="84"/>
      <c r="GRF14" s="84"/>
      <c r="GRG14" s="84"/>
      <c r="GRH14" s="84"/>
      <c r="GRI14" s="84"/>
      <c r="GRJ14" s="84"/>
      <c r="GRK14" s="84"/>
      <c r="GRL14" s="84"/>
      <c r="GRM14" s="84"/>
      <c r="GRN14" s="84"/>
      <c r="GRO14" s="84"/>
      <c r="GRP14" s="84"/>
      <c r="GRQ14" s="84"/>
      <c r="GRR14" s="84"/>
      <c r="GRS14" s="84"/>
      <c r="GRT14" s="84"/>
      <c r="GRU14" s="84"/>
      <c r="GRV14" s="84"/>
      <c r="GRW14" s="84"/>
      <c r="GRX14" s="84"/>
      <c r="GRY14" s="84"/>
      <c r="GRZ14" s="84"/>
      <c r="GSA14" s="84"/>
      <c r="GSB14" s="84"/>
      <c r="GSC14" s="84"/>
      <c r="GSD14" s="84"/>
      <c r="GSE14" s="84"/>
      <c r="GSF14" s="84"/>
      <c r="GSG14" s="84"/>
      <c r="GSH14" s="84"/>
      <c r="GSI14" s="84"/>
      <c r="GSJ14" s="84"/>
      <c r="GSK14" s="84"/>
      <c r="GSL14" s="84"/>
      <c r="GSM14" s="84"/>
      <c r="GSN14" s="84"/>
      <c r="GSO14" s="84"/>
      <c r="GSP14" s="84"/>
      <c r="GSQ14" s="84"/>
      <c r="GSR14" s="84"/>
      <c r="GSS14" s="84"/>
      <c r="GST14" s="84"/>
      <c r="GSU14" s="84"/>
      <c r="GSV14" s="84"/>
      <c r="GSW14" s="84"/>
      <c r="GSX14" s="84"/>
      <c r="GSY14" s="84"/>
      <c r="GSZ14" s="84"/>
      <c r="GTA14" s="84"/>
      <c r="GTB14" s="84"/>
      <c r="GTC14" s="84"/>
      <c r="GTD14" s="84"/>
      <c r="GTE14" s="84"/>
      <c r="GTF14" s="84"/>
      <c r="GTG14" s="84"/>
      <c r="GTH14" s="84"/>
      <c r="GTI14" s="84"/>
      <c r="GTJ14" s="84"/>
      <c r="GTK14" s="84"/>
      <c r="GTL14" s="84"/>
      <c r="GTM14" s="84"/>
      <c r="GTN14" s="84"/>
      <c r="GTO14" s="84"/>
      <c r="GTP14" s="84"/>
      <c r="GTQ14" s="84"/>
      <c r="GTR14" s="84"/>
      <c r="GTS14" s="84"/>
      <c r="GTT14" s="84"/>
      <c r="GTU14" s="84"/>
      <c r="GTV14" s="84"/>
      <c r="GTW14" s="84"/>
      <c r="GTX14" s="84"/>
      <c r="GTY14" s="84"/>
      <c r="GTZ14" s="84"/>
      <c r="GUA14" s="84"/>
      <c r="GUB14" s="84"/>
      <c r="GUC14" s="84"/>
      <c r="GUD14" s="84"/>
      <c r="GUE14" s="84"/>
      <c r="GUF14" s="84"/>
      <c r="GUG14" s="84"/>
      <c r="GUH14" s="84"/>
      <c r="GUI14" s="84"/>
      <c r="GUJ14" s="84"/>
      <c r="GUK14" s="84"/>
      <c r="GUL14" s="84"/>
      <c r="GUM14" s="84"/>
      <c r="GUN14" s="84"/>
      <c r="GUO14" s="84"/>
      <c r="GUP14" s="84"/>
      <c r="GUQ14" s="84"/>
      <c r="GUR14" s="84"/>
      <c r="GUS14" s="84"/>
      <c r="GUT14" s="84"/>
      <c r="GUU14" s="84"/>
      <c r="GUV14" s="84"/>
      <c r="GUW14" s="84"/>
      <c r="GUX14" s="84"/>
      <c r="GUY14" s="84"/>
      <c r="GUZ14" s="84"/>
      <c r="GVA14" s="84"/>
      <c r="GVB14" s="84"/>
      <c r="GVC14" s="84"/>
      <c r="GVD14" s="84"/>
      <c r="GVE14" s="84"/>
      <c r="GVF14" s="84"/>
      <c r="GVG14" s="84"/>
      <c r="GVH14" s="84"/>
      <c r="GVI14" s="84"/>
      <c r="GVJ14" s="84"/>
      <c r="GVK14" s="84"/>
      <c r="GVL14" s="84"/>
      <c r="GVM14" s="84"/>
      <c r="GVN14" s="84"/>
      <c r="GVO14" s="84"/>
      <c r="GVP14" s="84"/>
      <c r="GVQ14" s="84"/>
      <c r="GVR14" s="84"/>
      <c r="GVS14" s="84"/>
      <c r="GVT14" s="84"/>
      <c r="GVU14" s="84"/>
      <c r="GVV14" s="84"/>
      <c r="GVW14" s="84"/>
      <c r="GVX14" s="84"/>
      <c r="GVY14" s="84"/>
      <c r="GVZ14" s="84"/>
      <c r="GWA14" s="84"/>
      <c r="GWB14" s="84"/>
      <c r="GWC14" s="84"/>
      <c r="GWD14" s="84"/>
      <c r="GWE14" s="84"/>
      <c r="GWF14" s="84"/>
      <c r="GWG14" s="84"/>
      <c r="GWH14" s="84"/>
      <c r="GWI14" s="84"/>
      <c r="GWJ14" s="84"/>
      <c r="GWK14" s="84"/>
      <c r="GWL14" s="84"/>
      <c r="GWM14" s="84"/>
      <c r="GWN14" s="84"/>
      <c r="GWO14" s="84"/>
      <c r="GWP14" s="84"/>
      <c r="GWQ14" s="84"/>
      <c r="GWR14" s="84"/>
      <c r="GWS14" s="84"/>
      <c r="GWT14" s="84"/>
      <c r="GWU14" s="84"/>
      <c r="GWV14" s="84"/>
      <c r="GWW14" s="84"/>
      <c r="GWX14" s="84"/>
      <c r="GWY14" s="84"/>
      <c r="GWZ14" s="84"/>
      <c r="GXA14" s="84"/>
      <c r="GXB14" s="84"/>
      <c r="GXC14" s="84"/>
      <c r="GXD14" s="84"/>
      <c r="GXE14" s="84"/>
      <c r="GXF14" s="84"/>
      <c r="GXG14" s="84"/>
      <c r="GXH14" s="84"/>
      <c r="GXI14" s="84"/>
      <c r="GXJ14" s="84"/>
      <c r="GXK14" s="84"/>
      <c r="GXL14" s="84"/>
      <c r="GXM14" s="84"/>
      <c r="GXN14" s="84"/>
      <c r="GXO14" s="84"/>
      <c r="GXP14" s="84"/>
      <c r="GXQ14" s="84"/>
      <c r="GXR14" s="84"/>
      <c r="GXS14" s="84"/>
      <c r="GXT14" s="84"/>
      <c r="GXU14" s="84"/>
      <c r="GXV14" s="84"/>
      <c r="GXW14" s="84"/>
      <c r="GXX14" s="84"/>
      <c r="GXY14" s="84"/>
      <c r="GXZ14" s="84"/>
      <c r="GYA14" s="84"/>
      <c r="GYB14" s="84"/>
      <c r="GYC14" s="84"/>
      <c r="GYD14" s="84"/>
      <c r="GYE14" s="84"/>
      <c r="GYF14" s="84"/>
      <c r="GYG14" s="84"/>
      <c r="GYH14" s="84"/>
      <c r="GYI14" s="84"/>
      <c r="GYJ14" s="84"/>
      <c r="GYK14" s="84"/>
      <c r="GYL14" s="84"/>
      <c r="GYM14" s="84"/>
      <c r="GYN14" s="84"/>
      <c r="GYO14" s="84"/>
      <c r="GYP14" s="84"/>
      <c r="GYQ14" s="84"/>
      <c r="GYR14" s="84"/>
      <c r="GYS14" s="84"/>
      <c r="GYT14" s="84"/>
      <c r="GYU14" s="84"/>
      <c r="GYV14" s="84"/>
      <c r="GYW14" s="84"/>
      <c r="GYX14" s="84"/>
      <c r="GYY14" s="84"/>
      <c r="GYZ14" s="84"/>
      <c r="GZA14" s="84"/>
      <c r="GZB14" s="84"/>
      <c r="GZC14" s="84"/>
      <c r="GZD14" s="84"/>
      <c r="GZE14" s="84"/>
      <c r="GZF14" s="84"/>
      <c r="GZG14" s="84"/>
      <c r="GZH14" s="84"/>
      <c r="GZI14" s="84"/>
      <c r="GZJ14" s="84"/>
      <c r="GZK14" s="84"/>
      <c r="GZL14" s="84"/>
      <c r="GZM14" s="84"/>
      <c r="GZN14" s="84"/>
      <c r="GZO14" s="84"/>
      <c r="GZP14" s="84"/>
      <c r="GZQ14" s="84"/>
      <c r="GZR14" s="84"/>
      <c r="GZS14" s="84"/>
      <c r="GZT14" s="84"/>
      <c r="GZU14" s="84"/>
      <c r="GZV14" s="84"/>
      <c r="GZW14" s="84"/>
      <c r="GZX14" s="84"/>
      <c r="GZY14" s="84"/>
      <c r="GZZ14" s="84"/>
      <c r="HAA14" s="84"/>
      <c r="HAB14" s="84"/>
      <c r="HAC14" s="84"/>
      <c r="HAD14" s="84"/>
      <c r="HAE14" s="84"/>
      <c r="HAF14" s="84"/>
      <c r="HAG14" s="84"/>
      <c r="HAH14" s="84"/>
      <c r="HAI14" s="84"/>
      <c r="HAJ14" s="84"/>
      <c r="HAK14" s="84"/>
      <c r="HAL14" s="84"/>
      <c r="HAM14" s="84"/>
      <c r="HAN14" s="84"/>
      <c r="HAO14" s="84"/>
      <c r="HAP14" s="84"/>
      <c r="HAQ14" s="84"/>
      <c r="HAR14" s="84"/>
      <c r="HAS14" s="84"/>
      <c r="HAT14" s="84"/>
      <c r="HAU14" s="84"/>
      <c r="HAV14" s="84"/>
      <c r="HAW14" s="84"/>
      <c r="HAX14" s="84"/>
      <c r="HAY14" s="84"/>
      <c r="HAZ14" s="84"/>
      <c r="HBA14" s="84"/>
      <c r="HBB14" s="84"/>
      <c r="HBC14" s="84"/>
      <c r="HBD14" s="84"/>
      <c r="HBE14" s="84"/>
      <c r="HBF14" s="84"/>
      <c r="HBG14" s="84"/>
      <c r="HBH14" s="84"/>
      <c r="HBI14" s="84"/>
      <c r="HBJ14" s="84"/>
      <c r="HBK14" s="84"/>
      <c r="HBL14" s="84"/>
      <c r="HBM14" s="386"/>
    </row>
    <row r="15" spans="1:5473" s="83" customFormat="1" x14ac:dyDescent="0.3">
      <c r="A15" s="11">
        <v>10</v>
      </c>
      <c r="B15" s="40" t="s">
        <v>1551</v>
      </c>
      <c r="C15" s="12" t="s">
        <v>1552</v>
      </c>
      <c r="D15" s="299">
        <v>870316295458</v>
      </c>
      <c r="E15" s="299" t="s">
        <v>1550</v>
      </c>
      <c r="F15" s="12" t="s">
        <v>7</v>
      </c>
      <c r="G15" s="11" t="s">
        <v>1528</v>
      </c>
      <c r="H15" s="86" t="s">
        <v>1495</v>
      </c>
      <c r="I15" s="550">
        <v>10000</v>
      </c>
      <c r="J15" s="122"/>
      <c r="K15" s="75">
        <v>10000</v>
      </c>
      <c r="L15" s="122">
        <v>9500</v>
      </c>
      <c r="M15" s="122">
        <f t="shared" si="0"/>
        <v>500</v>
      </c>
      <c r="N15" s="93"/>
      <c r="O15" s="93"/>
      <c r="P15" s="76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4"/>
      <c r="DF15" s="84"/>
      <c r="DG15" s="84"/>
      <c r="DH15" s="84"/>
      <c r="DI15" s="84"/>
      <c r="DJ15" s="84"/>
      <c r="DK15" s="84"/>
      <c r="DL15" s="84"/>
      <c r="DM15" s="84"/>
      <c r="DN15" s="84"/>
      <c r="DO15" s="84"/>
      <c r="DP15" s="84"/>
      <c r="DQ15" s="84"/>
      <c r="DR15" s="84"/>
      <c r="DS15" s="84"/>
      <c r="DT15" s="84"/>
      <c r="DU15" s="84"/>
      <c r="DV15" s="84"/>
      <c r="DW15" s="84"/>
      <c r="DX15" s="84"/>
      <c r="DY15" s="84"/>
      <c r="DZ15" s="84"/>
      <c r="EA15" s="84"/>
      <c r="EB15" s="84"/>
      <c r="EC15" s="84"/>
      <c r="ED15" s="84"/>
      <c r="EE15" s="84"/>
      <c r="EF15" s="84"/>
      <c r="EG15" s="84"/>
      <c r="EH15" s="84"/>
      <c r="EI15" s="84"/>
      <c r="EJ15" s="84"/>
      <c r="EK15" s="84"/>
      <c r="EL15" s="84"/>
      <c r="EM15" s="84"/>
      <c r="EN15" s="84"/>
      <c r="EO15" s="84"/>
      <c r="EP15" s="84"/>
      <c r="EQ15" s="84"/>
      <c r="ER15" s="84"/>
      <c r="ES15" s="84"/>
      <c r="ET15" s="84"/>
      <c r="EU15" s="84"/>
      <c r="EV15" s="84"/>
      <c r="EW15" s="84"/>
      <c r="EX15" s="84"/>
      <c r="EY15" s="84"/>
      <c r="EZ15" s="84"/>
      <c r="FA15" s="84"/>
      <c r="FB15" s="84"/>
      <c r="FC15" s="84"/>
      <c r="FD15" s="84"/>
      <c r="FE15" s="84"/>
      <c r="FF15" s="84"/>
      <c r="FG15" s="84"/>
      <c r="FH15" s="84"/>
      <c r="FI15" s="84"/>
      <c r="FJ15" s="84"/>
      <c r="FK15" s="84"/>
      <c r="FL15" s="84"/>
      <c r="FM15" s="84"/>
      <c r="FN15" s="84"/>
      <c r="FO15" s="84"/>
      <c r="FP15" s="84"/>
      <c r="FQ15" s="84"/>
      <c r="FR15" s="84"/>
      <c r="FS15" s="84"/>
      <c r="FT15" s="84"/>
      <c r="FU15" s="84"/>
      <c r="FV15" s="84"/>
      <c r="FW15" s="84"/>
      <c r="FX15" s="84"/>
      <c r="FY15" s="84"/>
      <c r="FZ15" s="84"/>
      <c r="GA15" s="84"/>
      <c r="GB15" s="84"/>
      <c r="GC15" s="84"/>
      <c r="GD15" s="84"/>
      <c r="GE15" s="84"/>
      <c r="GF15" s="84"/>
      <c r="GG15" s="84"/>
      <c r="GH15" s="84"/>
      <c r="GI15" s="84"/>
      <c r="GJ15" s="84"/>
      <c r="GK15" s="84"/>
      <c r="GL15" s="84"/>
      <c r="GM15" s="84"/>
      <c r="GN15" s="84"/>
      <c r="GO15" s="84"/>
      <c r="GP15" s="84"/>
      <c r="GQ15" s="84"/>
      <c r="GR15" s="84"/>
      <c r="GS15" s="84"/>
      <c r="GT15" s="84"/>
      <c r="GU15" s="84"/>
      <c r="GV15" s="84"/>
      <c r="GW15" s="84"/>
      <c r="GX15" s="84"/>
      <c r="GY15" s="84"/>
      <c r="GZ15" s="84"/>
      <c r="HA15" s="84"/>
      <c r="HB15" s="84"/>
      <c r="HC15" s="84"/>
      <c r="HD15" s="84"/>
      <c r="HE15" s="84"/>
      <c r="HF15" s="84"/>
      <c r="HG15" s="84"/>
      <c r="HH15" s="84"/>
      <c r="HI15" s="84"/>
      <c r="HJ15" s="84"/>
      <c r="HK15" s="84"/>
      <c r="HL15" s="84"/>
      <c r="HM15" s="84"/>
      <c r="HN15" s="84"/>
      <c r="HO15" s="84"/>
      <c r="HP15" s="84"/>
      <c r="HQ15" s="84"/>
      <c r="HR15" s="84"/>
      <c r="HS15" s="84"/>
      <c r="HT15" s="84"/>
      <c r="HU15" s="84"/>
      <c r="HV15" s="84"/>
      <c r="HW15" s="84"/>
      <c r="HX15" s="84"/>
      <c r="HY15" s="84"/>
      <c r="HZ15" s="84"/>
      <c r="IA15" s="84"/>
      <c r="IB15" s="84"/>
      <c r="IC15" s="84"/>
      <c r="ID15" s="84"/>
      <c r="IE15" s="84"/>
      <c r="IF15" s="84"/>
      <c r="IG15" s="84"/>
      <c r="IH15" s="84"/>
      <c r="II15" s="84"/>
      <c r="IJ15" s="84"/>
      <c r="IK15" s="84"/>
      <c r="IL15" s="84"/>
      <c r="IM15" s="84"/>
      <c r="IN15" s="84"/>
      <c r="IO15" s="84"/>
      <c r="IP15" s="84"/>
      <c r="IQ15" s="84"/>
      <c r="IR15" s="84"/>
      <c r="IS15" s="84"/>
      <c r="IT15" s="84"/>
      <c r="IU15" s="84"/>
      <c r="IV15" s="84"/>
      <c r="IW15" s="84"/>
      <c r="IX15" s="84"/>
      <c r="IY15" s="84"/>
      <c r="IZ15" s="84"/>
      <c r="JA15" s="84"/>
      <c r="JB15" s="84"/>
      <c r="JC15" s="84"/>
      <c r="JD15" s="84"/>
      <c r="JE15" s="84"/>
      <c r="JF15" s="84"/>
      <c r="JG15" s="84"/>
      <c r="JH15" s="84"/>
      <c r="JI15" s="84"/>
      <c r="JJ15" s="84"/>
      <c r="JK15" s="84"/>
      <c r="JL15" s="84"/>
      <c r="JM15" s="84"/>
      <c r="JN15" s="84"/>
      <c r="JO15" s="84"/>
      <c r="JP15" s="84"/>
      <c r="JQ15" s="84"/>
      <c r="JR15" s="84"/>
      <c r="JS15" s="84"/>
      <c r="JT15" s="84"/>
      <c r="JU15" s="84"/>
      <c r="JV15" s="84"/>
      <c r="JW15" s="84"/>
      <c r="JX15" s="84"/>
      <c r="JY15" s="84"/>
      <c r="JZ15" s="84"/>
      <c r="KA15" s="84"/>
      <c r="KB15" s="84"/>
      <c r="KC15" s="84"/>
      <c r="KD15" s="84"/>
      <c r="KE15" s="84"/>
      <c r="KF15" s="84"/>
      <c r="KG15" s="84"/>
      <c r="KH15" s="84"/>
      <c r="KI15" s="84"/>
      <c r="KJ15" s="84"/>
      <c r="KK15" s="84"/>
      <c r="KL15" s="84"/>
      <c r="KM15" s="84"/>
      <c r="KN15" s="84"/>
      <c r="KO15" s="84"/>
      <c r="KP15" s="84"/>
      <c r="KQ15" s="84"/>
      <c r="KR15" s="84"/>
      <c r="KS15" s="84"/>
      <c r="KT15" s="84"/>
      <c r="KU15" s="84"/>
      <c r="KV15" s="84"/>
      <c r="KW15" s="84"/>
      <c r="KX15" s="84"/>
      <c r="KY15" s="84"/>
      <c r="KZ15" s="84"/>
      <c r="LA15" s="84"/>
      <c r="LB15" s="84"/>
      <c r="LC15" s="84"/>
      <c r="LD15" s="84"/>
      <c r="LE15" s="84"/>
      <c r="LF15" s="84"/>
      <c r="LG15" s="84"/>
      <c r="LH15" s="84"/>
      <c r="LI15" s="84"/>
      <c r="LJ15" s="84"/>
      <c r="LK15" s="84"/>
      <c r="LL15" s="84"/>
      <c r="LM15" s="84"/>
      <c r="LN15" s="84"/>
      <c r="LO15" s="84"/>
      <c r="LP15" s="84"/>
      <c r="LQ15" s="84"/>
      <c r="LR15" s="84"/>
      <c r="LS15" s="84"/>
      <c r="LT15" s="84"/>
      <c r="LU15" s="84"/>
      <c r="LV15" s="84"/>
      <c r="LW15" s="84"/>
      <c r="LX15" s="84"/>
      <c r="LY15" s="84"/>
      <c r="LZ15" s="84"/>
      <c r="MA15" s="84"/>
      <c r="MB15" s="84"/>
      <c r="MC15" s="84"/>
      <c r="MD15" s="84"/>
      <c r="ME15" s="84"/>
      <c r="MF15" s="84"/>
      <c r="MG15" s="84"/>
      <c r="MH15" s="84"/>
      <c r="MI15" s="84"/>
      <c r="MJ15" s="84"/>
      <c r="MK15" s="84"/>
      <c r="ML15" s="84"/>
      <c r="MM15" s="84"/>
      <c r="MN15" s="84"/>
      <c r="MO15" s="84"/>
      <c r="MP15" s="84"/>
      <c r="MQ15" s="84"/>
      <c r="MR15" s="84"/>
      <c r="MS15" s="84"/>
      <c r="MT15" s="84"/>
      <c r="MU15" s="84"/>
      <c r="MV15" s="84"/>
      <c r="MW15" s="84"/>
      <c r="MX15" s="84"/>
      <c r="MY15" s="84"/>
      <c r="MZ15" s="84"/>
      <c r="NA15" s="84"/>
      <c r="NB15" s="84"/>
      <c r="NC15" s="84"/>
      <c r="ND15" s="84"/>
      <c r="NE15" s="84"/>
      <c r="NF15" s="84"/>
      <c r="NG15" s="84"/>
      <c r="NH15" s="84"/>
      <c r="NI15" s="84"/>
      <c r="NJ15" s="84"/>
      <c r="NK15" s="84"/>
      <c r="NL15" s="84"/>
      <c r="NM15" s="84"/>
      <c r="NN15" s="84"/>
      <c r="NO15" s="84"/>
      <c r="NP15" s="84"/>
      <c r="NQ15" s="84"/>
      <c r="NR15" s="84"/>
      <c r="NS15" s="84"/>
      <c r="NT15" s="84"/>
      <c r="NU15" s="84"/>
      <c r="NV15" s="84"/>
      <c r="NW15" s="84"/>
      <c r="NX15" s="84"/>
      <c r="NY15" s="84"/>
      <c r="NZ15" s="84"/>
      <c r="OA15" s="84"/>
      <c r="OB15" s="84"/>
      <c r="OC15" s="84"/>
      <c r="OD15" s="84"/>
      <c r="OE15" s="84"/>
      <c r="OF15" s="84"/>
      <c r="OG15" s="84"/>
      <c r="OH15" s="84"/>
      <c r="OI15" s="84"/>
      <c r="OJ15" s="84"/>
      <c r="OK15" s="84"/>
      <c r="OL15" s="84"/>
      <c r="OM15" s="84"/>
      <c r="ON15" s="84"/>
      <c r="OO15" s="84"/>
      <c r="OP15" s="84"/>
      <c r="OQ15" s="84"/>
      <c r="OR15" s="84"/>
      <c r="OS15" s="84"/>
      <c r="OT15" s="84"/>
      <c r="OU15" s="84"/>
      <c r="OV15" s="84"/>
      <c r="OW15" s="84"/>
      <c r="OX15" s="84"/>
      <c r="OY15" s="84"/>
      <c r="OZ15" s="84"/>
      <c r="PA15" s="84"/>
      <c r="PB15" s="84"/>
      <c r="PC15" s="84"/>
      <c r="PD15" s="84"/>
      <c r="PE15" s="84"/>
      <c r="PF15" s="84"/>
      <c r="PG15" s="84"/>
      <c r="PH15" s="84"/>
      <c r="PI15" s="84"/>
      <c r="PJ15" s="84"/>
      <c r="PK15" s="84"/>
      <c r="PL15" s="84"/>
      <c r="PM15" s="84"/>
      <c r="PN15" s="84"/>
      <c r="PO15" s="84"/>
      <c r="PP15" s="84"/>
      <c r="PQ15" s="84"/>
      <c r="PR15" s="84"/>
      <c r="PS15" s="84"/>
      <c r="PT15" s="84"/>
      <c r="PU15" s="84"/>
      <c r="PV15" s="84"/>
      <c r="PW15" s="84"/>
      <c r="PX15" s="84"/>
      <c r="PY15" s="84"/>
      <c r="PZ15" s="84"/>
      <c r="QA15" s="84"/>
      <c r="QB15" s="84"/>
      <c r="QC15" s="84"/>
      <c r="QD15" s="84"/>
      <c r="QE15" s="84"/>
      <c r="QF15" s="84"/>
      <c r="QG15" s="84"/>
      <c r="QH15" s="84"/>
      <c r="QI15" s="84"/>
      <c r="QJ15" s="84"/>
      <c r="QK15" s="84"/>
      <c r="QL15" s="84"/>
      <c r="QM15" s="84"/>
      <c r="QN15" s="84"/>
      <c r="QO15" s="84"/>
      <c r="QP15" s="84"/>
      <c r="QQ15" s="84"/>
      <c r="QR15" s="84"/>
      <c r="QS15" s="84"/>
      <c r="QT15" s="84"/>
      <c r="QU15" s="84"/>
      <c r="QV15" s="84"/>
      <c r="QW15" s="84"/>
      <c r="QX15" s="84"/>
      <c r="QY15" s="84"/>
      <c r="QZ15" s="84"/>
      <c r="RA15" s="84"/>
      <c r="RB15" s="84"/>
      <c r="RC15" s="84"/>
      <c r="RD15" s="84"/>
      <c r="RE15" s="84"/>
      <c r="RF15" s="84"/>
      <c r="RG15" s="84"/>
      <c r="RH15" s="84"/>
      <c r="RI15" s="84"/>
      <c r="RJ15" s="84"/>
      <c r="RK15" s="84"/>
      <c r="RL15" s="84"/>
      <c r="RM15" s="84"/>
      <c r="RN15" s="84"/>
      <c r="RO15" s="84"/>
      <c r="RP15" s="84"/>
      <c r="RQ15" s="84"/>
      <c r="RR15" s="84"/>
      <c r="RS15" s="84"/>
      <c r="RT15" s="84"/>
      <c r="RU15" s="84"/>
      <c r="RV15" s="84"/>
      <c r="RW15" s="84"/>
      <c r="RX15" s="84"/>
      <c r="RY15" s="84"/>
      <c r="RZ15" s="84"/>
      <c r="SA15" s="84"/>
      <c r="SB15" s="84"/>
      <c r="SC15" s="84"/>
      <c r="SD15" s="84"/>
      <c r="SE15" s="84"/>
      <c r="SF15" s="84"/>
      <c r="SG15" s="84"/>
      <c r="SH15" s="84"/>
      <c r="SI15" s="84"/>
      <c r="SJ15" s="84"/>
      <c r="SK15" s="84"/>
      <c r="SL15" s="84"/>
      <c r="SM15" s="84"/>
      <c r="SN15" s="84"/>
      <c r="SO15" s="84"/>
      <c r="SP15" s="84"/>
      <c r="SQ15" s="84"/>
      <c r="SR15" s="84"/>
      <c r="SS15" s="84"/>
      <c r="ST15" s="84"/>
      <c r="SU15" s="84"/>
      <c r="SV15" s="84"/>
      <c r="SW15" s="84"/>
      <c r="SX15" s="84"/>
      <c r="SY15" s="84"/>
      <c r="SZ15" s="84"/>
      <c r="TA15" s="84"/>
      <c r="TB15" s="84"/>
      <c r="TC15" s="84"/>
      <c r="TD15" s="84"/>
      <c r="TE15" s="84"/>
      <c r="TF15" s="84"/>
      <c r="TG15" s="84"/>
      <c r="TH15" s="84"/>
      <c r="TI15" s="84"/>
      <c r="TJ15" s="84"/>
      <c r="TK15" s="84"/>
      <c r="TL15" s="84"/>
      <c r="TM15" s="84"/>
      <c r="TN15" s="84"/>
      <c r="TO15" s="84"/>
      <c r="TP15" s="84"/>
      <c r="TQ15" s="84"/>
      <c r="TR15" s="84"/>
      <c r="TS15" s="84"/>
      <c r="TT15" s="84"/>
      <c r="TU15" s="84"/>
      <c r="TV15" s="84"/>
      <c r="TW15" s="84"/>
      <c r="TX15" s="84"/>
      <c r="TY15" s="84"/>
      <c r="TZ15" s="84"/>
      <c r="UA15" s="84"/>
      <c r="UB15" s="84"/>
      <c r="UC15" s="84"/>
      <c r="UD15" s="84"/>
      <c r="UE15" s="84"/>
      <c r="UF15" s="84"/>
      <c r="UG15" s="84"/>
      <c r="UH15" s="84"/>
      <c r="UI15" s="84"/>
      <c r="UJ15" s="84"/>
      <c r="UK15" s="84"/>
      <c r="UL15" s="84"/>
      <c r="UM15" s="84"/>
      <c r="UN15" s="84"/>
      <c r="UO15" s="84"/>
      <c r="UP15" s="84"/>
      <c r="UQ15" s="84"/>
      <c r="UR15" s="84"/>
      <c r="US15" s="84"/>
      <c r="UT15" s="84"/>
      <c r="UU15" s="84"/>
      <c r="UV15" s="84"/>
      <c r="UW15" s="84"/>
      <c r="UX15" s="84"/>
      <c r="UY15" s="84"/>
      <c r="UZ15" s="84"/>
      <c r="VA15" s="84"/>
      <c r="VB15" s="84"/>
      <c r="VC15" s="84"/>
      <c r="VD15" s="84"/>
      <c r="VE15" s="84"/>
      <c r="VF15" s="84"/>
      <c r="VG15" s="84"/>
      <c r="VH15" s="84"/>
      <c r="VI15" s="84"/>
      <c r="VJ15" s="84"/>
      <c r="VK15" s="84"/>
      <c r="VL15" s="84"/>
      <c r="VM15" s="84"/>
      <c r="VN15" s="84"/>
      <c r="VO15" s="84"/>
      <c r="VP15" s="84"/>
      <c r="VQ15" s="84"/>
      <c r="VR15" s="84"/>
      <c r="VS15" s="84"/>
      <c r="VT15" s="84"/>
      <c r="VU15" s="84"/>
      <c r="VV15" s="84"/>
      <c r="VW15" s="84"/>
      <c r="VX15" s="84"/>
      <c r="VY15" s="84"/>
      <c r="VZ15" s="84"/>
      <c r="WA15" s="84"/>
      <c r="WB15" s="84"/>
      <c r="WC15" s="84"/>
      <c r="WD15" s="84"/>
      <c r="WE15" s="84"/>
      <c r="WF15" s="84"/>
      <c r="WG15" s="84"/>
      <c r="WH15" s="84"/>
      <c r="WI15" s="84"/>
      <c r="WJ15" s="84"/>
      <c r="WK15" s="84"/>
      <c r="WL15" s="84"/>
      <c r="WM15" s="84"/>
      <c r="WN15" s="84"/>
      <c r="WO15" s="84"/>
      <c r="WP15" s="84"/>
      <c r="WQ15" s="84"/>
      <c r="WR15" s="84"/>
      <c r="WS15" s="84"/>
      <c r="WT15" s="84"/>
      <c r="WU15" s="84"/>
      <c r="WV15" s="84"/>
      <c r="WW15" s="84"/>
      <c r="WX15" s="84"/>
      <c r="WY15" s="84"/>
      <c r="WZ15" s="84"/>
      <c r="XA15" s="84"/>
      <c r="XB15" s="84"/>
      <c r="XC15" s="84"/>
      <c r="XD15" s="84"/>
      <c r="XE15" s="84"/>
      <c r="XF15" s="84"/>
      <c r="XG15" s="84"/>
      <c r="XH15" s="84"/>
      <c r="XI15" s="84"/>
      <c r="XJ15" s="84"/>
      <c r="XK15" s="84"/>
      <c r="XL15" s="84"/>
      <c r="XM15" s="84"/>
      <c r="XN15" s="84"/>
      <c r="XO15" s="84"/>
      <c r="XP15" s="84"/>
      <c r="XQ15" s="84"/>
      <c r="XR15" s="84"/>
      <c r="XS15" s="84"/>
      <c r="XT15" s="84"/>
      <c r="XU15" s="84"/>
      <c r="XV15" s="84"/>
      <c r="XW15" s="84"/>
      <c r="XX15" s="84"/>
      <c r="XY15" s="84"/>
      <c r="XZ15" s="84"/>
      <c r="YA15" s="84"/>
      <c r="YB15" s="84"/>
      <c r="YC15" s="84"/>
      <c r="YD15" s="84"/>
      <c r="YE15" s="84"/>
      <c r="YF15" s="84"/>
      <c r="YG15" s="84"/>
      <c r="YH15" s="84"/>
      <c r="YI15" s="84"/>
      <c r="YJ15" s="84"/>
      <c r="YK15" s="84"/>
      <c r="YL15" s="84"/>
      <c r="YM15" s="84"/>
      <c r="YN15" s="84"/>
      <c r="YO15" s="84"/>
      <c r="YP15" s="84"/>
      <c r="YQ15" s="84"/>
      <c r="YR15" s="84"/>
      <c r="YS15" s="84"/>
      <c r="YT15" s="84"/>
      <c r="YU15" s="84"/>
      <c r="YV15" s="84"/>
      <c r="YW15" s="84"/>
      <c r="YX15" s="84"/>
      <c r="YY15" s="84"/>
      <c r="YZ15" s="84"/>
      <c r="ZA15" s="84"/>
      <c r="ZB15" s="84"/>
      <c r="ZC15" s="84"/>
      <c r="ZD15" s="84"/>
      <c r="ZE15" s="84"/>
      <c r="ZF15" s="84"/>
      <c r="ZG15" s="84"/>
      <c r="ZH15" s="84"/>
      <c r="ZI15" s="84"/>
      <c r="ZJ15" s="84"/>
      <c r="ZK15" s="84"/>
      <c r="ZL15" s="84"/>
      <c r="ZM15" s="84"/>
      <c r="ZN15" s="84"/>
      <c r="ZO15" s="84"/>
      <c r="ZP15" s="84"/>
      <c r="ZQ15" s="84"/>
      <c r="ZR15" s="84"/>
      <c r="ZS15" s="84"/>
      <c r="ZT15" s="84"/>
      <c r="ZU15" s="84"/>
      <c r="ZV15" s="84"/>
      <c r="ZW15" s="84"/>
      <c r="ZX15" s="84"/>
      <c r="ZY15" s="84"/>
      <c r="ZZ15" s="84"/>
      <c r="AAA15" s="84"/>
      <c r="AAB15" s="84"/>
      <c r="AAC15" s="84"/>
      <c r="AAD15" s="84"/>
      <c r="AAE15" s="84"/>
      <c r="AAF15" s="84"/>
      <c r="AAG15" s="84"/>
      <c r="AAH15" s="84"/>
      <c r="AAI15" s="84"/>
      <c r="AAJ15" s="84"/>
      <c r="AAK15" s="84"/>
      <c r="AAL15" s="84"/>
      <c r="AAM15" s="84"/>
      <c r="AAN15" s="84"/>
      <c r="AAO15" s="84"/>
      <c r="AAP15" s="84"/>
      <c r="AAQ15" s="84"/>
      <c r="AAR15" s="84"/>
      <c r="AAS15" s="84"/>
      <c r="AAT15" s="84"/>
      <c r="AAU15" s="84"/>
      <c r="AAV15" s="84"/>
      <c r="AAW15" s="84"/>
      <c r="AAX15" s="84"/>
      <c r="AAY15" s="84"/>
      <c r="AAZ15" s="84"/>
      <c r="ABA15" s="84"/>
      <c r="ABB15" s="84"/>
      <c r="ABC15" s="84"/>
      <c r="ABD15" s="84"/>
      <c r="ABE15" s="84"/>
      <c r="ABF15" s="84"/>
      <c r="ABG15" s="84"/>
      <c r="ABH15" s="84"/>
      <c r="ABI15" s="84"/>
      <c r="ABJ15" s="84"/>
      <c r="ABK15" s="84"/>
      <c r="ABL15" s="84"/>
      <c r="ABM15" s="84"/>
      <c r="ABN15" s="84"/>
      <c r="ABO15" s="84"/>
      <c r="ABP15" s="84"/>
      <c r="ABQ15" s="84"/>
      <c r="ABR15" s="84"/>
      <c r="ABS15" s="84"/>
      <c r="ABT15" s="84"/>
      <c r="ABU15" s="84"/>
      <c r="ABV15" s="84"/>
      <c r="ABW15" s="84"/>
      <c r="ABX15" s="84"/>
      <c r="ABY15" s="84"/>
      <c r="ABZ15" s="84"/>
      <c r="ACA15" s="84"/>
      <c r="ACB15" s="84"/>
      <c r="ACC15" s="84"/>
      <c r="ACD15" s="84"/>
      <c r="ACE15" s="84"/>
      <c r="ACF15" s="84"/>
      <c r="ACG15" s="84"/>
      <c r="ACH15" s="84"/>
      <c r="ACI15" s="84"/>
      <c r="ACJ15" s="84"/>
      <c r="ACK15" s="84"/>
      <c r="ACL15" s="84"/>
      <c r="ACM15" s="84"/>
      <c r="ACN15" s="84"/>
      <c r="ACO15" s="84"/>
      <c r="ACP15" s="84"/>
      <c r="ACQ15" s="84"/>
      <c r="ACR15" s="84"/>
      <c r="ACS15" s="84"/>
      <c r="ACT15" s="84"/>
      <c r="ACU15" s="84"/>
      <c r="ACV15" s="84"/>
      <c r="ACW15" s="84"/>
      <c r="ACX15" s="84"/>
      <c r="ACY15" s="84"/>
      <c r="ACZ15" s="84"/>
      <c r="ADA15" s="84"/>
      <c r="ADB15" s="84"/>
      <c r="ADC15" s="84"/>
      <c r="ADD15" s="84"/>
      <c r="ADE15" s="84"/>
      <c r="ADF15" s="84"/>
      <c r="ADG15" s="84"/>
      <c r="ADH15" s="84"/>
      <c r="ADI15" s="84"/>
      <c r="ADJ15" s="84"/>
      <c r="ADK15" s="84"/>
      <c r="ADL15" s="84"/>
      <c r="ADM15" s="84"/>
      <c r="ADN15" s="84"/>
      <c r="ADO15" s="84"/>
      <c r="ADP15" s="84"/>
      <c r="ADQ15" s="84"/>
      <c r="ADR15" s="84"/>
      <c r="ADS15" s="84"/>
      <c r="ADT15" s="84"/>
      <c r="ADU15" s="84"/>
      <c r="ADV15" s="84"/>
      <c r="ADW15" s="84"/>
      <c r="ADX15" s="84"/>
      <c r="ADY15" s="84"/>
      <c r="ADZ15" s="84"/>
      <c r="AEA15" s="84"/>
      <c r="AEB15" s="84"/>
      <c r="AEC15" s="84"/>
      <c r="AED15" s="84"/>
      <c r="AEE15" s="84"/>
      <c r="AEF15" s="84"/>
      <c r="AEG15" s="84"/>
      <c r="AEH15" s="84"/>
      <c r="AEI15" s="84"/>
      <c r="AEJ15" s="84"/>
      <c r="AEK15" s="84"/>
      <c r="AEL15" s="84"/>
      <c r="AEM15" s="84"/>
      <c r="AEN15" s="84"/>
      <c r="AEO15" s="84"/>
      <c r="AEP15" s="84"/>
      <c r="AEQ15" s="84"/>
      <c r="AER15" s="84"/>
      <c r="AES15" s="84"/>
      <c r="AET15" s="84"/>
      <c r="AEU15" s="84"/>
      <c r="AEV15" s="84"/>
      <c r="AEW15" s="84"/>
      <c r="AEX15" s="84"/>
      <c r="AEY15" s="84"/>
      <c r="AEZ15" s="84"/>
      <c r="AFA15" s="84"/>
      <c r="AFB15" s="84"/>
      <c r="AFC15" s="84"/>
      <c r="AFD15" s="84"/>
      <c r="AFE15" s="84"/>
      <c r="AFF15" s="84"/>
      <c r="AFG15" s="84"/>
      <c r="AFH15" s="84"/>
      <c r="AFI15" s="84"/>
      <c r="AFJ15" s="84"/>
      <c r="AFK15" s="84"/>
      <c r="AFL15" s="84"/>
      <c r="AFM15" s="84"/>
      <c r="AFN15" s="84"/>
      <c r="AFO15" s="84"/>
      <c r="AFP15" s="84"/>
      <c r="AFQ15" s="84"/>
      <c r="AFR15" s="84"/>
      <c r="AFS15" s="84"/>
      <c r="AFT15" s="84"/>
      <c r="AFU15" s="84"/>
      <c r="AFV15" s="84"/>
      <c r="AFW15" s="84"/>
      <c r="AFX15" s="84"/>
      <c r="AFY15" s="84"/>
      <c r="AFZ15" s="84"/>
      <c r="AGA15" s="84"/>
      <c r="AGB15" s="84"/>
      <c r="AGC15" s="84"/>
      <c r="AGD15" s="84"/>
      <c r="AGE15" s="84"/>
      <c r="AGF15" s="84"/>
      <c r="AGG15" s="84"/>
      <c r="AGH15" s="84"/>
      <c r="AGI15" s="84"/>
      <c r="AGJ15" s="84"/>
      <c r="AGK15" s="84"/>
      <c r="AGL15" s="84"/>
      <c r="AGM15" s="84"/>
      <c r="AGN15" s="84"/>
      <c r="AGO15" s="84"/>
      <c r="AGP15" s="84"/>
      <c r="AGQ15" s="84"/>
      <c r="AGR15" s="84"/>
      <c r="AGS15" s="84"/>
      <c r="AGT15" s="84"/>
      <c r="AGU15" s="84"/>
      <c r="AGV15" s="84"/>
      <c r="AGW15" s="84"/>
      <c r="AGX15" s="84"/>
      <c r="AGY15" s="84"/>
      <c r="AGZ15" s="84"/>
      <c r="AHA15" s="84"/>
      <c r="AHB15" s="84"/>
      <c r="AHC15" s="84"/>
      <c r="AHD15" s="84"/>
      <c r="AHE15" s="84"/>
      <c r="AHF15" s="84"/>
      <c r="AHG15" s="84"/>
      <c r="AHH15" s="84"/>
      <c r="AHI15" s="84"/>
      <c r="AHJ15" s="84"/>
      <c r="AHK15" s="84"/>
      <c r="AHL15" s="84"/>
      <c r="AHM15" s="84"/>
      <c r="AHN15" s="84"/>
      <c r="AHO15" s="84"/>
      <c r="AHP15" s="84"/>
      <c r="AHQ15" s="84"/>
      <c r="AHR15" s="84"/>
      <c r="AHS15" s="84"/>
      <c r="AHT15" s="84"/>
      <c r="AHU15" s="84"/>
      <c r="AHV15" s="84"/>
      <c r="AHW15" s="84"/>
      <c r="AHX15" s="84"/>
      <c r="AHY15" s="84"/>
      <c r="AHZ15" s="84"/>
      <c r="AIA15" s="84"/>
      <c r="AIB15" s="84"/>
      <c r="AIC15" s="84"/>
      <c r="AID15" s="84"/>
      <c r="AIE15" s="84"/>
      <c r="AIF15" s="84"/>
      <c r="AIG15" s="84"/>
      <c r="AIH15" s="84"/>
      <c r="AII15" s="84"/>
      <c r="AIJ15" s="84"/>
      <c r="AIK15" s="84"/>
      <c r="AIL15" s="84"/>
      <c r="AIM15" s="84"/>
      <c r="AIN15" s="84"/>
      <c r="AIO15" s="84"/>
      <c r="AIP15" s="84"/>
      <c r="AIQ15" s="84"/>
      <c r="AIR15" s="84"/>
      <c r="AIS15" s="84"/>
      <c r="AIT15" s="84"/>
      <c r="AIU15" s="84"/>
      <c r="AIV15" s="84"/>
      <c r="AIW15" s="84"/>
      <c r="AIX15" s="84"/>
      <c r="AIY15" s="84"/>
      <c r="AIZ15" s="84"/>
      <c r="AJA15" s="84"/>
      <c r="AJB15" s="84"/>
      <c r="AJC15" s="84"/>
      <c r="AJD15" s="84"/>
      <c r="AJE15" s="84"/>
      <c r="AJF15" s="84"/>
      <c r="AJG15" s="84"/>
      <c r="AJH15" s="84"/>
      <c r="AJI15" s="84"/>
      <c r="AJJ15" s="84"/>
      <c r="AJK15" s="84"/>
      <c r="AJL15" s="84"/>
      <c r="AJM15" s="84"/>
      <c r="AJN15" s="84"/>
      <c r="AJO15" s="84"/>
      <c r="AJP15" s="84"/>
      <c r="AJQ15" s="84"/>
      <c r="AJR15" s="84"/>
      <c r="AJS15" s="84"/>
      <c r="AJT15" s="84"/>
      <c r="AJU15" s="84"/>
      <c r="AJV15" s="84"/>
      <c r="AJW15" s="84"/>
      <c r="AJX15" s="84"/>
      <c r="AJY15" s="84"/>
      <c r="AJZ15" s="84"/>
      <c r="AKA15" s="84"/>
      <c r="AKB15" s="84"/>
      <c r="AKC15" s="84"/>
      <c r="AKD15" s="84"/>
      <c r="AKE15" s="84"/>
      <c r="AKF15" s="84"/>
      <c r="AKG15" s="84"/>
      <c r="AKH15" s="84"/>
      <c r="AKI15" s="84"/>
      <c r="AKJ15" s="84"/>
      <c r="AKK15" s="84"/>
      <c r="AKL15" s="84"/>
      <c r="AKM15" s="84"/>
      <c r="AKN15" s="84"/>
      <c r="AKO15" s="84"/>
      <c r="AKP15" s="84"/>
      <c r="AKQ15" s="84"/>
      <c r="AKR15" s="84"/>
      <c r="AKS15" s="84"/>
      <c r="AKT15" s="84"/>
      <c r="AKU15" s="84"/>
      <c r="AKV15" s="84"/>
      <c r="AKW15" s="84"/>
      <c r="AKX15" s="84"/>
      <c r="AKY15" s="84"/>
      <c r="AKZ15" s="84"/>
      <c r="ALA15" s="84"/>
      <c r="ALB15" s="84"/>
      <c r="ALC15" s="84"/>
      <c r="ALD15" s="84"/>
      <c r="ALE15" s="84"/>
      <c r="ALF15" s="84"/>
      <c r="ALG15" s="84"/>
      <c r="ALH15" s="84"/>
      <c r="ALI15" s="84"/>
      <c r="ALJ15" s="84"/>
      <c r="ALK15" s="84"/>
      <c r="ALL15" s="84"/>
      <c r="ALM15" s="84"/>
      <c r="ALN15" s="84"/>
      <c r="ALO15" s="84"/>
      <c r="ALP15" s="84"/>
      <c r="ALQ15" s="84"/>
      <c r="ALR15" s="84"/>
      <c r="ALS15" s="84"/>
      <c r="ALT15" s="84"/>
      <c r="ALU15" s="84"/>
      <c r="ALV15" s="84"/>
      <c r="ALW15" s="84"/>
      <c r="ALX15" s="84"/>
      <c r="ALY15" s="84"/>
      <c r="ALZ15" s="84"/>
      <c r="AMA15" s="84"/>
      <c r="AMB15" s="84"/>
      <c r="AMC15" s="84"/>
      <c r="AMD15" s="84"/>
      <c r="AME15" s="84"/>
      <c r="AMF15" s="84"/>
      <c r="AMG15" s="84"/>
      <c r="AMH15" s="84"/>
      <c r="AMI15" s="84"/>
      <c r="AMJ15" s="84"/>
      <c r="AMK15" s="84"/>
      <c r="AML15" s="84"/>
      <c r="AMM15" s="84"/>
      <c r="AMN15" s="84"/>
      <c r="AMO15" s="84"/>
      <c r="AMP15" s="84"/>
      <c r="AMQ15" s="84"/>
      <c r="AMR15" s="84"/>
      <c r="AMS15" s="84"/>
      <c r="AMT15" s="84"/>
      <c r="AMU15" s="84"/>
      <c r="AMV15" s="84"/>
      <c r="AMW15" s="84"/>
      <c r="AMX15" s="84"/>
      <c r="AMY15" s="84"/>
      <c r="AMZ15" s="84"/>
      <c r="ANA15" s="84"/>
      <c r="ANB15" s="84"/>
      <c r="ANC15" s="84"/>
      <c r="AND15" s="84"/>
      <c r="ANE15" s="84"/>
      <c r="ANF15" s="84"/>
      <c r="ANG15" s="84"/>
      <c r="ANH15" s="84"/>
      <c r="ANI15" s="84"/>
      <c r="ANJ15" s="84"/>
      <c r="ANK15" s="84"/>
      <c r="ANL15" s="84"/>
      <c r="ANM15" s="84"/>
      <c r="ANN15" s="84"/>
      <c r="ANO15" s="84"/>
      <c r="ANP15" s="84"/>
      <c r="ANQ15" s="84"/>
      <c r="ANR15" s="84"/>
      <c r="ANS15" s="84"/>
      <c r="ANT15" s="84"/>
      <c r="ANU15" s="84"/>
      <c r="ANV15" s="84"/>
      <c r="ANW15" s="84"/>
      <c r="ANX15" s="84"/>
      <c r="ANY15" s="84"/>
      <c r="ANZ15" s="84"/>
      <c r="AOA15" s="84"/>
      <c r="AOB15" s="84"/>
      <c r="AOC15" s="84"/>
      <c r="AOD15" s="84"/>
      <c r="AOE15" s="84"/>
      <c r="AOF15" s="84"/>
      <c r="AOG15" s="84"/>
      <c r="AOH15" s="84"/>
      <c r="AOI15" s="84"/>
      <c r="AOJ15" s="84"/>
      <c r="AOK15" s="84"/>
      <c r="AOL15" s="84"/>
      <c r="AOM15" s="84"/>
      <c r="AON15" s="84"/>
      <c r="AOO15" s="84"/>
      <c r="AOP15" s="84"/>
      <c r="AOQ15" s="84"/>
      <c r="AOR15" s="84"/>
      <c r="AOS15" s="84"/>
      <c r="AOT15" s="84"/>
      <c r="AOU15" s="84"/>
      <c r="AOV15" s="84"/>
      <c r="AOW15" s="84"/>
      <c r="AOX15" s="84"/>
      <c r="AOY15" s="84"/>
      <c r="AOZ15" s="84"/>
      <c r="APA15" s="84"/>
      <c r="APB15" s="84"/>
      <c r="APC15" s="84"/>
      <c r="APD15" s="84"/>
      <c r="APE15" s="84"/>
      <c r="APF15" s="84"/>
      <c r="APG15" s="84"/>
      <c r="APH15" s="84"/>
      <c r="API15" s="84"/>
      <c r="APJ15" s="84"/>
      <c r="APK15" s="84"/>
      <c r="APL15" s="84"/>
      <c r="APM15" s="84"/>
      <c r="APN15" s="84"/>
      <c r="APO15" s="84"/>
      <c r="APP15" s="84"/>
      <c r="APQ15" s="84"/>
      <c r="APR15" s="84"/>
      <c r="APS15" s="84"/>
      <c r="APT15" s="84"/>
      <c r="APU15" s="84"/>
      <c r="APV15" s="84"/>
      <c r="APW15" s="84"/>
      <c r="APX15" s="84"/>
      <c r="APY15" s="84"/>
      <c r="APZ15" s="84"/>
      <c r="AQA15" s="84"/>
      <c r="AQB15" s="84"/>
      <c r="AQC15" s="84"/>
      <c r="AQD15" s="84"/>
      <c r="AQE15" s="84"/>
      <c r="AQF15" s="84"/>
      <c r="AQG15" s="84"/>
      <c r="AQH15" s="84"/>
      <c r="AQI15" s="84"/>
      <c r="AQJ15" s="84"/>
      <c r="AQK15" s="84"/>
      <c r="AQL15" s="84"/>
      <c r="AQM15" s="84"/>
      <c r="AQN15" s="84"/>
      <c r="AQO15" s="84"/>
      <c r="AQP15" s="84"/>
      <c r="AQQ15" s="84"/>
      <c r="AQR15" s="84"/>
      <c r="AQS15" s="84"/>
      <c r="AQT15" s="84"/>
      <c r="AQU15" s="84"/>
      <c r="AQV15" s="84"/>
      <c r="AQW15" s="84"/>
      <c r="AQX15" s="84"/>
      <c r="AQY15" s="84"/>
      <c r="AQZ15" s="84"/>
      <c r="ARA15" s="84"/>
      <c r="ARB15" s="84"/>
      <c r="ARC15" s="84"/>
      <c r="ARD15" s="84"/>
      <c r="ARE15" s="84"/>
      <c r="ARF15" s="84"/>
      <c r="ARG15" s="84"/>
      <c r="ARH15" s="84"/>
      <c r="ARI15" s="84"/>
      <c r="ARJ15" s="84"/>
      <c r="ARK15" s="84"/>
      <c r="ARL15" s="84"/>
      <c r="ARM15" s="84"/>
      <c r="ARN15" s="84"/>
      <c r="ARO15" s="84"/>
      <c r="ARP15" s="84"/>
      <c r="ARQ15" s="84"/>
      <c r="ARR15" s="84"/>
      <c r="ARS15" s="84"/>
      <c r="ART15" s="84"/>
      <c r="ARU15" s="84"/>
      <c r="ARV15" s="84"/>
      <c r="ARW15" s="84"/>
      <c r="ARX15" s="84"/>
      <c r="ARY15" s="84"/>
      <c r="ARZ15" s="84"/>
      <c r="ASA15" s="84"/>
      <c r="ASB15" s="84"/>
      <c r="ASC15" s="84"/>
      <c r="ASD15" s="84"/>
      <c r="ASE15" s="84"/>
      <c r="ASF15" s="84"/>
      <c r="ASG15" s="84"/>
      <c r="ASH15" s="84"/>
      <c r="ASI15" s="84"/>
      <c r="ASJ15" s="84"/>
      <c r="ASK15" s="84"/>
      <c r="ASL15" s="84"/>
      <c r="ASM15" s="84"/>
      <c r="ASN15" s="84"/>
      <c r="ASO15" s="84"/>
      <c r="ASP15" s="84"/>
      <c r="ASQ15" s="84"/>
      <c r="ASR15" s="84"/>
      <c r="ASS15" s="84"/>
      <c r="AST15" s="84"/>
      <c r="ASU15" s="84"/>
      <c r="ASV15" s="84"/>
      <c r="ASW15" s="84"/>
      <c r="ASX15" s="84"/>
      <c r="ASY15" s="84"/>
      <c r="ASZ15" s="84"/>
      <c r="ATA15" s="84"/>
      <c r="ATB15" s="84"/>
      <c r="ATC15" s="84"/>
      <c r="ATD15" s="84"/>
      <c r="ATE15" s="84"/>
      <c r="ATF15" s="84"/>
      <c r="ATG15" s="84"/>
      <c r="ATH15" s="84"/>
      <c r="ATI15" s="84"/>
      <c r="ATJ15" s="84"/>
      <c r="ATK15" s="84"/>
      <c r="ATL15" s="84"/>
      <c r="ATM15" s="84"/>
      <c r="ATN15" s="84"/>
      <c r="ATO15" s="84"/>
      <c r="ATP15" s="84"/>
      <c r="ATQ15" s="84"/>
      <c r="ATR15" s="84"/>
      <c r="ATS15" s="84"/>
      <c r="ATT15" s="84"/>
      <c r="ATU15" s="84"/>
      <c r="ATV15" s="84"/>
      <c r="ATW15" s="84"/>
      <c r="ATX15" s="84"/>
      <c r="ATY15" s="84"/>
      <c r="ATZ15" s="84"/>
      <c r="AUA15" s="84"/>
      <c r="AUB15" s="84"/>
      <c r="AUC15" s="84"/>
      <c r="AUD15" s="84"/>
      <c r="AUE15" s="84"/>
      <c r="AUF15" s="84"/>
      <c r="AUG15" s="84"/>
      <c r="AUH15" s="84"/>
      <c r="AUI15" s="84"/>
      <c r="AUJ15" s="84"/>
      <c r="AUK15" s="84"/>
      <c r="AUL15" s="84"/>
      <c r="AUM15" s="84"/>
      <c r="AUN15" s="84"/>
      <c r="AUO15" s="84"/>
      <c r="AUP15" s="84"/>
      <c r="AUQ15" s="84"/>
      <c r="AUR15" s="84"/>
      <c r="AUS15" s="84"/>
      <c r="AUT15" s="84"/>
      <c r="AUU15" s="84"/>
      <c r="AUV15" s="84"/>
      <c r="AUW15" s="84"/>
      <c r="AUX15" s="84"/>
      <c r="AUY15" s="84"/>
      <c r="AUZ15" s="84"/>
      <c r="AVA15" s="84"/>
      <c r="AVB15" s="84"/>
      <c r="AVC15" s="84"/>
      <c r="AVD15" s="84"/>
      <c r="AVE15" s="84"/>
      <c r="AVF15" s="84"/>
      <c r="AVG15" s="84"/>
      <c r="AVH15" s="84"/>
      <c r="AVI15" s="84"/>
      <c r="AVJ15" s="84"/>
      <c r="AVK15" s="84"/>
      <c r="AVL15" s="84"/>
      <c r="AVM15" s="84"/>
      <c r="AVN15" s="84"/>
      <c r="AVO15" s="84"/>
      <c r="AVP15" s="84"/>
      <c r="AVQ15" s="84"/>
      <c r="AVR15" s="84"/>
      <c r="AVS15" s="84"/>
      <c r="AVT15" s="84"/>
      <c r="AVU15" s="84"/>
      <c r="AVV15" s="84"/>
      <c r="AVW15" s="84"/>
      <c r="AVX15" s="84"/>
      <c r="AVY15" s="84"/>
      <c r="AVZ15" s="84"/>
      <c r="AWA15" s="84"/>
      <c r="AWB15" s="84"/>
      <c r="AWC15" s="84"/>
      <c r="AWD15" s="84"/>
      <c r="AWE15" s="84"/>
      <c r="AWF15" s="84"/>
      <c r="AWG15" s="84"/>
      <c r="AWH15" s="84"/>
      <c r="AWI15" s="84"/>
      <c r="AWJ15" s="84"/>
      <c r="AWK15" s="84"/>
      <c r="AWL15" s="84"/>
      <c r="AWM15" s="84"/>
      <c r="AWN15" s="84"/>
      <c r="AWO15" s="84"/>
      <c r="AWP15" s="84"/>
      <c r="AWQ15" s="84"/>
      <c r="AWR15" s="84"/>
      <c r="AWS15" s="84"/>
      <c r="AWT15" s="84"/>
      <c r="AWU15" s="84"/>
      <c r="AWV15" s="84"/>
      <c r="AWW15" s="84"/>
      <c r="AWX15" s="84"/>
      <c r="AWY15" s="84"/>
      <c r="AWZ15" s="84"/>
      <c r="AXA15" s="84"/>
      <c r="AXB15" s="84"/>
      <c r="AXC15" s="84"/>
      <c r="AXD15" s="84"/>
      <c r="AXE15" s="84"/>
      <c r="AXF15" s="84"/>
      <c r="AXG15" s="84"/>
      <c r="AXH15" s="84"/>
      <c r="AXI15" s="84"/>
      <c r="AXJ15" s="84"/>
      <c r="AXK15" s="84"/>
      <c r="AXL15" s="84"/>
      <c r="AXM15" s="84"/>
      <c r="AXN15" s="84"/>
      <c r="AXO15" s="84"/>
      <c r="AXP15" s="84"/>
      <c r="AXQ15" s="84"/>
      <c r="AXR15" s="84"/>
      <c r="AXS15" s="84"/>
      <c r="AXT15" s="84"/>
      <c r="AXU15" s="84"/>
      <c r="AXV15" s="84"/>
      <c r="AXW15" s="84"/>
      <c r="AXX15" s="84"/>
      <c r="AXY15" s="84"/>
      <c r="AXZ15" s="84"/>
      <c r="AYA15" s="84"/>
      <c r="AYB15" s="84"/>
      <c r="AYC15" s="84"/>
      <c r="AYD15" s="84"/>
      <c r="AYE15" s="84"/>
      <c r="AYF15" s="84"/>
      <c r="AYG15" s="84"/>
      <c r="AYH15" s="84"/>
      <c r="AYI15" s="84"/>
      <c r="AYJ15" s="84"/>
      <c r="AYK15" s="84"/>
      <c r="AYL15" s="84"/>
      <c r="AYM15" s="84"/>
      <c r="AYN15" s="84"/>
      <c r="AYO15" s="84"/>
      <c r="AYP15" s="84"/>
      <c r="AYQ15" s="84"/>
      <c r="AYR15" s="84"/>
      <c r="AYS15" s="84"/>
      <c r="AYT15" s="84"/>
      <c r="AYU15" s="84"/>
      <c r="AYV15" s="84"/>
      <c r="AYW15" s="84"/>
      <c r="AYX15" s="84"/>
      <c r="AYY15" s="84"/>
      <c r="AYZ15" s="84"/>
      <c r="AZA15" s="84"/>
      <c r="AZB15" s="84"/>
      <c r="AZC15" s="84"/>
      <c r="AZD15" s="84"/>
      <c r="AZE15" s="84"/>
      <c r="AZF15" s="84"/>
      <c r="AZG15" s="84"/>
      <c r="AZH15" s="84"/>
      <c r="AZI15" s="84"/>
      <c r="AZJ15" s="84"/>
      <c r="AZK15" s="84"/>
      <c r="AZL15" s="84"/>
      <c r="AZM15" s="84"/>
      <c r="AZN15" s="84"/>
      <c r="AZO15" s="84"/>
      <c r="AZP15" s="84"/>
      <c r="AZQ15" s="84"/>
      <c r="AZR15" s="84"/>
      <c r="AZS15" s="84"/>
      <c r="AZT15" s="84"/>
      <c r="AZU15" s="84"/>
      <c r="AZV15" s="84"/>
      <c r="AZW15" s="84"/>
      <c r="AZX15" s="84"/>
      <c r="AZY15" s="84"/>
      <c r="AZZ15" s="84"/>
      <c r="BAA15" s="84"/>
      <c r="BAB15" s="84"/>
      <c r="BAC15" s="84"/>
      <c r="BAD15" s="84"/>
      <c r="BAE15" s="84"/>
      <c r="BAF15" s="84"/>
      <c r="BAG15" s="84"/>
      <c r="BAH15" s="84"/>
      <c r="BAI15" s="84"/>
      <c r="BAJ15" s="84"/>
      <c r="BAK15" s="84"/>
      <c r="BAL15" s="84"/>
      <c r="BAM15" s="84"/>
      <c r="BAN15" s="84"/>
      <c r="BAO15" s="84"/>
      <c r="BAP15" s="84"/>
      <c r="BAQ15" s="84"/>
      <c r="BAR15" s="84"/>
      <c r="BAS15" s="84"/>
      <c r="BAT15" s="84"/>
      <c r="BAU15" s="84"/>
      <c r="BAV15" s="84"/>
      <c r="BAW15" s="84"/>
      <c r="BAX15" s="84"/>
      <c r="BAY15" s="84"/>
      <c r="BAZ15" s="84"/>
      <c r="BBA15" s="84"/>
      <c r="BBB15" s="84"/>
      <c r="BBC15" s="84"/>
      <c r="BBD15" s="84"/>
      <c r="BBE15" s="84"/>
      <c r="BBF15" s="84"/>
      <c r="BBG15" s="84"/>
      <c r="BBH15" s="84"/>
      <c r="BBI15" s="84"/>
      <c r="BBJ15" s="84"/>
      <c r="BBK15" s="84"/>
      <c r="BBL15" s="84"/>
      <c r="BBM15" s="84"/>
      <c r="BBN15" s="84"/>
      <c r="BBO15" s="84"/>
      <c r="BBP15" s="84"/>
      <c r="BBQ15" s="84"/>
      <c r="BBR15" s="84"/>
      <c r="BBS15" s="84"/>
      <c r="BBT15" s="84"/>
      <c r="BBU15" s="84"/>
      <c r="BBV15" s="84"/>
      <c r="BBW15" s="84"/>
      <c r="BBX15" s="84"/>
      <c r="BBY15" s="84"/>
      <c r="BBZ15" s="84"/>
      <c r="BCA15" s="84"/>
      <c r="BCB15" s="84"/>
      <c r="BCC15" s="84"/>
      <c r="BCD15" s="84"/>
      <c r="BCE15" s="84"/>
      <c r="BCF15" s="84"/>
      <c r="BCG15" s="84"/>
      <c r="BCH15" s="84"/>
      <c r="BCI15" s="84"/>
      <c r="BCJ15" s="84"/>
      <c r="BCK15" s="84"/>
      <c r="BCL15" s="84"/>
      <c r="BCM15" s="84"/>
      <c r="BCN15" s="84"/>
      <c r="BCO15" s="84"/>
      <c r="BCP15" s="84"/>
      <c r="BCQ15" s="84"/>
      <c r="BCR15" s="84"/>
      <c r="BCS15" s="84"/>
      <c r="BCT15" s="84"/>
      <c r="BCU15" s="84"/>
      <c r="BCV15" s="84"/>
      <c r="BCW15" s="84"/>
      <c r="BCX15" s="84"/>
      <c r="BCY15" s="84"/>
      <c r="BCZ15" s="84"/>
      <c r="BDA15" s="84"/>
      <c r="BDB15" s="84"/>
      <c r="BDC15" s="84"/>
      <c r="BDD15" s="84"/>
      <c r="BDE15" s="84"/>
      <c r="BDF15" s="84"/>
      <c r="BDG15" s="84"/>
      <c r="BDH15" s="84"/>
      <c r="BDI15" s="84"/>
      <c r="BDJ15" s="84"/>
      <c r="BDK15" s="84"/>
      <c r="BDL15" s="84"/>
      <c r="BDM15" s="84"/>
      <c r="BDN15" s="84"/>
      <c r="BDO15" s="84"/>
      <c r="BDP15" s="84"/>
      <c r="BDQ15" s="84"/>
      <c r="BDR15" s="84"/>
      <c r="BDS15" s="84"/>
      <c r="BDT15" s="84"/>
      <c r="BDU15" s="84"/>
      <c r="BDV15" s="84"/>
      <c r="BDW15" s="84"/>
      <c r="BDX15" s="84"/>
      <c r="BDY15" s="84"/>
      <c r="BDZ15" s="84"/>
      <c r="BEA15" s="84"/>
      <c r="BEB15" s="84"/>
      <c r="BEC15" s="84"/>
      <c r="BED15" s="84"/>
      <c r="BEE15" s="84"/>
      <c r="BEF15" s="84"/>
      <c r="BEG15" s="84"/>
      <c r="BEH15" s="84"/>
      <c r="BEI15" s="84"/>
      <c r="BEJ15" s="84"/>
      <c r="BEK15" s="84"/>
      <c r="BEL15" s="84"/>
      <c r="BEM15" s="84"/>
      <c r="BEN15" s="84"/>
      <c r="BEO15" s="84"/>
      <c r="BEP15" s="84"/>
      <c r="BEQ15" s="84"/>
      <c r="BER15" s="84"/>
      <c r="BES15" s="84"/>
      <c r="BET15" s="84"/>
      <c r="BEU15" s="84"/>
      <c r="BEV15" s="84"/>
      <c r="BEW15" s="84"/>
      <c r="BEX15" s="84"/>
      <c r="BEY15" s="84"/>
      <c r="BEZ15" s="84"/>
      <c r="BFA15" s="84"/>
      <c r="BFB15" s="84"/>
      <c r="BFC15" s="84"/>
      <c r="BFD15" s="84"/>
      <c r="BFE15" s="84"/>
      <c r="BFF15" s="84"/>
      <c r="BFG15" s="84"/>
      <c r="BFH15" s="84"/>
      <c r="BFI15" s="84"/>
      <c r="BFJ15" s="84"/>
      <c r="BFK15" s="84"/>
      <c r="BFL15" s="84"/>
      <c r="BFM15" s="84"/>
      <c r="BFN15" s="84"/>
      <c r="BFO15" s="84"/>
      <c r="BFP15" s="84"/>
      <c r="BFQ15" s="84"/>
      <c r="BFR15" s="84"/>
      <c r="BFS15" s="84"/>
      <c r="BFT15" s="84"/>
      <c r="BFU15" s="84"/>
      <c r="BFV15" s="84"/>
      <c r="BFW15" s="84"/>
      <c r="BFX15" s="84"/>
      <c r="BFY15" s="84"/>
      <c r="BFZ15" s="84"/>
      <c r="BGA15" s="84"/>
      <c r="BGB15" s="84"/>
      <c r="BGC15" s="84"/>
      <c r="BGD15" s="84"/>
      <c r="BGE15" s="84"/>
      <c r="BGF15" s="84"/>
      <c r="BGG15" s="84"/>
      <c r="BGH15" s="84"/>
      <c r="BGI15" s="84"/>
      <c r="BGJ15" s="84"/>
      <c r="BGK15" s="84"/>
      <c r="BGL15" s="84"/>
      <c r="BGM15" s="84"/>
      <c r="BGN15" s="84"/>
      <c r="BGO15" s="84"/>
      <c r="BGP15" s="84"/>
      <c r="BGQ15" s="84"/>
      <c r="BGR15" s="84"/>
      <c r="BGS15" s="84"/>
      <c r="BGT15" s="84"/>
      <c r="BGU15" s="84"/>
      <c r="BGV15" s="84"/>
      <c r="BGW15" s="84"/>
      <c r="BGX15" s="84"/>
      <c r="BGY15" s="84"/>
      <c r="BGZ15" s="84"/>
      <c r="BHA15" s="84"/>
      <c r="BHB15" s="84"/>
      <c r="BHC15" s="84"/>
      <c r="BHD15" s="84"/>
      <c r="BHE15" s="84"/>
      <c r="BHF15" s="84"/>
      <c r="BHG15" s="84"/>
      <c r="BHH15" s="84"/>
      <c r="BHI15" s="84"/>
      <c r="BHJ15" s="84"/>
      <c r="BHK15" s="84"/>
      <c r="BHL15" s="84"/>
      <c r="BHM15" s="84"/>
      <c r="BHN15" s="84"/>
      <c r="BHO15" s="84"/>
      <c r="BHP15" s="84"/>
      <c r="BHQ15" s="84"/>
      <c r="BHR15" s="84"/>
      <c r="BHS15" s="84"/>
      <c r="BHT15" s="84"/>
      <c r="BHU15" s="84"/>
      <c r="BHV15" s="84"/>
      <c r="BHW15" s="84"/>
      <c r="BHX15" s="84"/>
      <c r="BHY15" s="84"/>
      <c r="BHZ15" s="84"/>
      <c r="BIA15" s="84"/>
      <c r="BIB15" s="84"/>
      <c r="BIC15" s="84"/>
      <c r="BID15" s="84"/>
      <c r="BIE15" s="84"/>
      <c r="BIF15" s="84"/>
      <c r="BIG15" s="84"/>
      <c r="BIH15" s="84"/>
      <c r="BII15" s="84"/>
      <c r="BIJ15" s="84"/>
      <c r="BIK15" s="84"/>
      <c r="BIL15" s="84"/>
      <c r="BIM15" s="84"/>
      <c r="BIN15" s="84"/>
      <c r="BIO15" s="84"/>
      <c r="BIP15" s="84"/>
      <c r="BIQ15" s="84"/>
      <c r="BIR15" s="84"/>
      <c r="BIS15" s="84"/>
      <c r="BIT15" s="84"/>
      <c r="BIU15" s="84"/>
      <c r="BIV15" s="84"/>
      <c r="BIW15" s="84"/>
      <c r="BIX15" s="84"/>
      <c r="BIY15" s="84"/>
      <c r="BIZ15" s="84"/>
      <c r="BJA15" s="84"/>
      <c r="BJB15" s="84"/>
      <c r="BJC15" s="84"/>
      <c r="BJD15" s="84"/>
      <c r="BJE15" s="84"/>
      <c r="BJF15" s="84"/>
      <c r="BJG15" s="84"/>
      <c r="BJH15" s="84"/>
      <c r="BJI15" s="84"/>
      <c r="BJJ15" s="84"/>
      <c r="BJK15" s="84"/>
      <c r="BJL15" s="84"/>
      <c r="BJM15" s="84"/>
      <c r="BJN15" s="84"/>
      <c r="BJO15" s="84"/>
      <c r="BJP15" s="84"/>
      <c r="BJQ15" s="84"/>
      <c r="BJR15" s="84"/>
      <c r="BJS15" s="84"/>
      <c r="BJT15" s="84"/>
      <c r="BJU15" s="84"/>
      <c r="BJV15" s="84"/>
      <c r="BJW15" s="84"/>
      <c r="BJX15" s="84"/>
      <c r="BJY15" s="84"/>
      <c r="BJZ15" s="84"/>
      <c r="BKA15" s="84"/>
      <c r="BKB15" s="84"/>
      <c r="BKC15" s="84"/>
      <c r="BKD15" s="84"/>
      <c r="BKE15" s="84"/>
      <c r="BKF15" s="84"/>
      <c r="BKG15" s="84"/>
      <c r="BKH15" s="84"/>
      <c r="BKI15" s="84"/>
      <c r="BKJ15" s="84"/>
      <c r="BKK15" s="84"/>
      <c r="BKL15" s="84"/>
      <c r="BKM15" s="84"/>
      <c r="BKN15" s="84"/>
      <c r="BKO15" s="84"/>
      <c r="BKP15" s="84"/>
      <c r="BKQ15" s="84"/>
      <c r="BKR15" s="84"/>
      <c r="BKS15" s="84"/>
      <c r="BKT15" s="84"/>
      <c r="BKU15" s="84"/>
      <c r="BKV15" s="84"/>
      <c r="BKW15" s="84"/>
      <c r="BKX15" s="84"/>
      <c r="BKY15" s="84"/>
      <c r="BKZ15" s="84"/>
      <c r="BLA15" s="84"/>
      <c r="BLB15" s="84"/>
      <c r="BLC15" s="84"/>
      <c r="BLD15" s="84"/>
      <c r="BLE15" s="84"/>
      <c r="BLF15" s="84"/>
      <c r="BLG15" s="84"/>
      <c r="BLH15" s="84"/>
      <c r="BLI15" s="84"/>
      <c r="BLJ15" s="84"/>
      <c r="BLK15" s="84"/>
      <c r="BLL15" s="84"/>
      <c r="BLM15" s="84"/>
      <c r="BLN15" s="84"/>
      <c r="BLO15" s="84"/>
      <c r="BLP15" s="84"/>
      <c r="BLQ15" s="84"/>
      <c r="BLR15" s="84"/>
      <c r="BLS15" s="84"/>
      <c r="BLT15" s="84"/>
      <c r="BLU15" s="84"/>
      <c r="BLV15" s="84"/>
      <c r="BLW15" s="84"/>
      <c r="BLX15" s="84"/>
      <c r="BLY15" s="84"/>
      <c r="BLZ15" s="84"/>
      <c r="BMA15" s="84"/>
      <c r="BMB15" s="84"/>
      <c r="BMC15" s="84"/>
      <c r="BMD15" s="84"/>
      <c r="BME15" s="84"/>
      <c r="BMF15" s="84"/>
      <c r="BMG15" s="84"/>
      <c r="BMH15" s="84"/>
      <c r="BMI15" s="84"/>
      <c r="BMJ15" s="84"/>
      <c r="BMK15" s="84"/>
      <c r="BML15" s="84"/>
      <c r="BMM15" s="84"/>
      <c r="BMN15" s="84"/>
      <c r="BMO15" s="84"/>
      <c r="BMP15" s="84"/>
      <c r="BMQ15" s="84"/>
      <c r="BMR15" s="84"/>
      <c r="BMS15" s="84"/>
      <c r="BMT15" s="84"/>
      <c r="BMU15" s="84"/>
      <c r="BMV15" s="84"/>
      <c r="BMW15" s="84"/>
      <c r="BMX15" s="84"/>
      <c r="BMY15" s="84"/>
      <c r="BMZ15" s="84"/>
      <c r="BNA15" s="84"/>
      <c r="BNB15" s="84"/>
      <c r="BNC15" s="84"/>
      <c r="BND15" s="84"/>
      <c r="BNE15" s="84"/>
      <c r="BNF15" s="84"/>
      <c r="BNG15" s="84"/>
      <c r="BNH15" s="84"/>
      <c r="BNI15" s="84"/>
      <c r="BNJ15" s="84"/>
      <c r="BNK15" s="84"/>
      <c r="BNL15" s="84"/>
      <c r="BNM15" s="84"/>
      <c r="BNN15" s="84"/>
      <c r="BNO15" s="84"/>
      <c r="BNP15" s="84"/>
      <c r="BNQ15" s="84"/>
      <c r="BNR15" s="84"/>
      <c r="BNS15" s="84"/>
      <c r="BNT15" s="84"/>
      <c r="BNU15" s="84"/>
      <c r="BNV15" s="84"/>
      <c r="BNW15" s="84"/>
      <c r="BNX15" s="84"/>
      <c r="BNY15" s="84"/>
      <c r="BNZ15" s="84"/>
      <c r="BOA15" s="84"/>
      <c r="BOB15" s="84"/>
      <c r="BOC15" s="84"/>
      <c r="BOD15" s="84"/>
      <c r="BOE15" s="84"/>
      <c r="BOF15" s="84"/>
      <c r="BOG15" s="84"/>
      <c r="BOH15" s="84"/>
      <c r="BOI15" s="84"/>
      <c r="BOJ15" s="84"/>
      <c r="BOK15" s="84"/>
      <c r="BOL15" s="84"/>
      <c r="BOM15" s="84"/>
      <c r="BON15" s="84"/>
      <c r="BOO15" s="84"/>
      <c r="BOP15" s="84"/>
      <c r="BOQ15" s="84"/>
      <c r="BOR15" s="84"/>
      <c r="BOS15" s="84"/>
      <c r="BOT15" s="84"/>
      <c r="BOU15" s="84"/>
      <c r="BOV15" s="84"/>
      <c r="BOW15" s="84"/>
      <c r="BOX15" s="84"/>
      <c r="BOY15" s="84"/>
      <c r="BOZ15" s="84"/>
      <c r="BPA15" s="84"/>
      <c r="BPB15" s="84"/>
      <c r="BPC15" s="84"/>
      <c r="BPD15" s="84"/>
      <c r="BPE15" s="84"/>
      <c r="BPF15" s="84"/>
      <c r="BPG15" s="84"/>
      <c r="BPH15" s="84"/>
      <c r="BPI15" s="84"/>
      <c r="BPJ15" s="84"/>
      <c r="BPK15" s="84"/>
      <c r="BPL15" s="84"/>
      <c r="BPM15" s="84"/>
      <c r="BPN15" s="84"/>
      <c r="BPO15" s="84"/>
      <c r="BPP15" s="84"/>
      <c r="BPQ15" s="84"/>
      <c r="BPR15" s="84"/>
      <c r="BPS15" s="84"/>
      <c r="BPT15" s="84"/>
      <c r="BPU15" s="84"/>
      <c r="BPV15" s="84"/>
      <c r="BPW15" s="84"/>
      <c r="BPX15" s="84"/>
      <c r="BPY15" s="84"/>
      <c r="BPZ15" s="84"/>
      <c r="BQA15" s="84"/>
      <c r="BQB15" s="84"/>
      <c r="BQC15" s="84"/>
      <c r="BQD15" s="84"/>
      <c r="BQE15" s="84"/>
      <c r="BQF15" s="84"/>
      <c r="BQG15" s="84"/>
      <c r="BQH15" s="84"/>
      <c r="BQI15" s="84"/>
      <c r="BQJ15" s="84"/>
      <c r="BQK15" s="84"/>
      <c r="BQL15" s="84"/>
      <c r="BQM15" s="84"/>
      <c r="BQN15" s="84"/>
      <c r="BQO15" s="84"/>
      <c r="BQP15" s="84"/>
      <c r="BQQ15" s="84"/>
      <c r="BQR15" s="84"/>
      <c r="BQS15" s="84"/>
      <c r="BQT15" s="84"/>
      <c r="BQU15" s="84"/>
      <c r="BQV15" s="84"/>
      <c r="BQW15" s="84"/>
      <c r="BQX15" s="84"/>
      <c r="BQY15" s="84"/>
      <c r="BQZ15" s="84"/>
      <c r="BRA15" s="84"/>
      <c r="BRB15" s="84"/>
      <c r="BRC15" s="84"/>
      <c r="BRD15" s="84"/>
      <c r="BRE15" s="84"/>
      <c r="BRF15" s="84"/>
      <c r="BRG15" s="84"/>
      <c r="BRH15" s="84"/>
      <c r="BRI15" s="84"/>
      <c r="BRJ15" s="84"/>
      <c r="BRK15" s="84"/>
      <c r="BRL15" s="84"/>
      <c r="BRM15" s="84"/>
      <c r="BRN15" s="84"/>
      <c r="BRO15" s="84"/>
      <c r="BRP15" s="84"/>
      <c r="BRQ15" s="84"/>
      <c r="BRR15" s="84"/>
      <c r="BRS15" s="84"/>
      <c r="BRT15" s="84"/>
      <c r="BRU15" s="84"/>
      <c r="BRV15" s="84"/>
      <c r="BRW15" s="84"/>
      <c r="BRX15" s="84"/>
      <c r="BRY15" s="84"/>
      <c r="BRZ15" s="84"/>
      <c r="BSA15" s="84"/>
      <c r="BSB15" s="84"/>
      <c r="BSC15" s="84"/>
      <c r="BSD15" s="84"/>
      <c r="BSE15" s="84"/>
      <c r="BSF15" s="84"/>
      <c r="BSG15" s="84"/>
      <c r="BSH15" s="84"/>
      <c r="BSI15" s="84"/>
      <c r="BSJ15" s="84"/>
      <c r="BSK15" s="84"/>
      <c r="BSL15" s="84"/>
      <c r="BSM15" s="84"/>
      <c r="BSN15" s="84"/>
      <c r="BSO15" s="84"/>
      <c r="BSP15" s="84"/>
      <c r="BSQ15" s="84"/>
      <c r="BSR15" s="84"/>
      <c r="BSS15" s="84"/>
      <c r="BST15" s="84"/>
      <c r="BSU15" s="84"/>
      <c r="BSV15" s="84"/>
      <c r="BSW15" s="84"/>
      <c r="BSX15" s="84"/>
      <c r="BSY15" s="84"/>
      <c r="BSZ15" s="84"/>
      <c r="BTA15" s="84"/>
      <c r="BTB15" s="84"/>
      <c r="BTC15" s="84"/>
      <c r="BTD15" s="84"/>
      <c r="BTE15" s="84"/>
      <c r="BTF15" s="84"/>
      <c r="BTG15" s="84"/>
      <c r="BTH15" s="84"/>
      <c r="BTI15" s="84"/>
      <c r="BTJ15" s="84"/>
      <c r="BTK15" s="84"/>
      <c r="BTL15" s="84"/>
      <c r="BTM15" s="84"/>
      <c r="BTN15" s="84"/>
      <c r="BTO15" s="84"/>
      <c r="BTP15" s="84"/>
      <c r="BTQ15" s="84"/>
      <c r="BTR15" s="84"/>
      <c r="BTS15" s="84"/>
      <c r="BTT15" s="84"/>
      <c r="BTU15" s="84"/>
      <c r="BTV15" s="84"/>
      <c r="BTW15" s="84"/>
      <c r="BTX15" s="84"/>
      <c r="BTY15" s="84"/>
      <c r="BTZ15" s="84"/>
      <c r="BUA15" s="84"/>
      <c r="BUB15" s="84"/>
      <c r="BUC15" s="84"/>
      <c r="BUD15" s="84"/>
      <c r="BUE15" s="84"/>
      <c r="BUF15" s="84"/>
      <c r="BUG15" s="84"/>
      <c r="BUH15" s="84"/>
      <c r="BUI15" s="84"/>
      <c r="BUJ15" s="84"/>
      <c r="BUK15" s="84"/>
      <c r="BUL15" s="84"/>
      <c r="BUM15" s="84"/>
      <c r="BUN15" s="84"/>
      <c r="BUO15" s="84"/>
      <c r="BUP15" s="84"/>
      <c r="BUQ15" s="84"/>
      <c r="BUR15" s="84"/>
      <c r="BUS15" s="84"/>
      <c r="BUT15" s="84"/>
      <c r="BUU15" s="84"/>
      <c r="BUV15" s="84"/>
      <c r="BUW15" s="84"/>
      <c r="BUX15" s="84"/>
      <c r="BUY15" s="84"/>
      <c r="BUZ15" s="84"/>
      <c r="BVA15" s="84"/>
      <c r="BVB15" s="84"/>
      <c r="BVC15" s="84"/>
      <c r="BVD15" s="84"/>
      <c r="BVE15" s="84"/>
      <c r="BVF15" s="84"/>
      <c r="BVG15" s="84"/>
      <c r="BVH15" s="84"/>
      <c r="BVI15" s="84"/>
      <c r="BVJ15" s="84"/>
      <c r="BVK15" s="84"/>
      <c r="BVL15" s="84"/>
      <c r="BVM15" s="84"/>
      <c r="BVN15" s="84"/>
      <c r="BVO15" s="84"/>
      <c r="BVP15" s="84"/>
      <c r="BVQ15" s="84"/>
      <c r="BVR15" s="84"/>
      <c r="BVS15" s="84"/>
      <c r="BVT15" s="84"/>
      <c r="BVU15" s="84"/>
      <c r="BVV15" s="84"/>
      <c r="BVW15" s="84"/>
      <c r="BVX15" s="84"/>
      <c r="BVY15" s="84"/>
      <c r="BVZ15" s="84"/>
      <c r="BWA15" s="84"/>
      <c r="BWB15" s="84"/>
      <c r="BWC15" s="84"/>
      <c r="BWD15" s="84"/>
      <c r="BWE15" s="84"/>
      <c r="BWF15" s="84"/>
      <c r="BWG15" s="84"/>
      <c r="BWH15" s="84"/>
      <c r="BWI15" s="84"/>
      <c r="BWJ15" s="84"/>
      <c r="BWK15" s="84"/>
      <c r="BWL15" s="84"/>
      <c r="BWM15" s="84"/>
      <c r="BWN15" s="84"/>
      <c r="BWO15" s="84"/>
      <c r="BWP15" s="84"/>
      <c r="BWQ15" s="84"/>
      <c r="BWR15" s="84"/>
      <c r="BWS15" s="84"/>
      <c r="BWT15" s="84"/>
      <c r="BWU15" s="84"/>
      <c r="BWV15" s="84"/>
      <c r="BWW15" s="84"/>
      <c r="BWX15" s="84"/>
      <c r="BWY15" s="84"/>
      <c r="BWZ15" s="84"/>
      <c r="BXA15" s="84"/>
      <c r="BXB15" s="84"/>
      <c r="BXC15" s="84"/>
      <c r="BXD15" s="84"/>
      <c r="BXE15" s="84"/>
      <c r="BXF15" s="84"/>
      <c r="BXG15" s="84"/>
      <c r="BXH15" s="84"/>
      <c r="BXI15" s="84"/>
      <c r="BXJ15" s="84"/>
      <c r="BXK15" s="84"/>
      <c r="BXL15" s="84"/>
      <c r="BXM15" s="84"/>
      <c r="BXN15" s="84"/>
      <c r="BXO15" s="84"/>
      <c r="BXP15" s="84"/>
      <c r="BXQ15" s="84"/>
      <c r="BXR15" s="84"/>
      <c r="BXS15" s="84"/>
      <c r="BXT15" s="84"/>
      <c r="BXU15" s="84"/>
      <c r="BXV15" s="84"/>
      <c r="BXW15" s="84"/>
      <c r="BXX15" s="84"/>
      <c r="BXY15" s="84"/>
      <c r="BXZ15" s="84"/>
      <c r="BYA15" s="84"/>
      <c r="BYB15" s="84"/>
      <c r="BYC15" s="84"/>
      <c r="BYD15" s="84"/>
      <c r="BYE15" s="84"/>
      <c r="BYF15" s="84"/>
      <c r="BYG15" s="84"/>
      <c r="BYH15" s="84"/>
      <c r="BYI15" s="84"/>
      <c r="BYJ15" s="84"/>
      <c r="BYK15" s="84"/>
      <c r="BYL15" s="84"/>
      <c r="BYM15" s="84"/>
      <c r="BYN15" s="84"/>
      <c r="BYO15" s="84"/>
      <c r="BYP15" s="84"/>
      <c r="BYQ15" s="84"/>
      <c r="BYR15" s="84"/>
      <c r="BYS15" s="84"/>
      <c r="BYT15" s="84"/>
      <c r="BYU15" s="84"/>
      <c r="BYV15" s="84"/>
      <c r="BYW15" s="84"/>
      <c r="BYX15" s="84"/>
      <c r="BYY15" s="84"/>
      <c r="BYZ15" s="84"/>
      <c r="BZA15" s="84"/>
      <c r="BZB15" s="84"/>
      <c r="BZC15" s="84"/>
      <c r="BZD15" s="84"/>
      <c r="BZE15" s="84"/>
      <c r="BZF15" s="84"/>
      <c r="BZG15" s="84"/>
      <c r="BZH15" s="84"/>
      <c r="BZI15" s="84"/>
      <c r="BZJ15" s="84"/>
      <c r="BZK15" s="84"/>
      <c r="BZL15" s="84"/>
      <c r="BZM15" s="84"/>
      <c r="BZN15" s="84"/>
      <c r="BZO15" s="84"/>
      <c r="BZP15" s="84"/>
      <c r="BZQ15" s="84"/>
      <c r="BZR15" s="84"/>
      <c r="BZS15" s="84"/>
      <c r="BZT15" s="84"/>
      <c r="BZU15" s="84"/>
      <c r="BZV15" s="84"/>
      <c r="BZW15" s="84"/>
      <c r="BZX15" s="84"/>
      <c r="BZY15" s="84"/>
      <c r="BZZ15" s="84"/>
      <c r="CAA15" s="84"/>
      <c r="CAB15" s="84"/>
      <c r="CAC15" s="84"/>
      <c r="CAD15" s="84"/>
      <c r="CAE15" s="84"/>
      <c r="CAF15" s="84"/>
      <c r="CAG15" s="84"/>
      <c r="CAH15" s="84"/>
      <c r="CAI15" s="84"/>
      <c r="CAJ15" s="84"/>
      <c r="CAK15" s="84"/>
      <c r="CAL15" s="84"/>
      <c r="CAM15" s="84"/>
      <c r="CAN15" s="84"/>
      <c r="CAO15" s="84"/>
      <c r="CAP15" s="84"/>
      <c r="CAQ15" s="84"/>
      <c r="CAR15" s="84"/>
      <c r="CAS15" s="84"/>
      <c r="CAT15" s="84"/>
      <c r="CAU15" s="84"/>
      <c r="CAV15" s="84"/>
      <c r="CAW15" s="84"/>
      <c r="CAX15" s="84"/>
      <c r="CAY15" s="84"/>
      <c r="CAZ15" s="84"/>
      <c r="CBA15" s="84"/>
      <c r="CBB15" s="84"/>
      <c r="CBC15" s="84"/>
      <c r="CBD15" s="84"/>
      <c r="CBE15" s="84"/>
      <c r="CBF15" s="84"/>
      <c r="CBG15" s="84"/>
      <c r="CBH15" s="84"/>
      <c r="CBI15" s="84"/>
      <c r="CBJ15" s="84"/>
      <c r="CBK15" s="84"/>
      <c r="CBL15" s="84"/>
      <c r="CBM15" s="84"/>
      <c r="CBN15" s="84"/>
      <c r="CBO15" s="84"/>
      <c r="CBP15" s="84"/>
      <c r="CBQ15" s="84"/>
      <c r="CBR15" s="84"/>
      <c r="CBS15" s="84"/>
      <c r="CBT15" s="84"/>
      <c r="CBU15" s="84"/>
      <c r="CBV15" s="84"/>
      <c r="CBW15" s="84"/>
      <c r="CBX15" s="84"/>
      <c r="CBY15" s="84"/>
      <c r="CBZ15" s="84"/>
      <c r="CCA15" s="84"/>
      <c r="CCB15" s="84"/>
      <c r="CCC15" s="84"/>
      <c r="CCD15" s="84"/>
      <c r="CCE15" s="84"/>
      <c r="CCF15" s="84"/>
      <c r="CCG15" s="84"/>
      <c r="CCH15" s="84"/>
      <c r="CCI15" s="84"/>
      <c r="CCJ15" s="84"/>
      <c r="CCK15" s="84"/>
      <c r="CCL15" s="84"/>
      <c r="CCM15" s="84"/>
      <c r="CCN15" s="84"/>
      <c r="CCO15" s="84"/>
      <c r="CCP15" s="84"/>
      <c r="CCQ15" s="84"/>
      <c r="CCR15" s="84"/>
      <c r="CCS15" s="84"/>
      <c r="CCT15" s="84"/>
      <c r="CCU15" s="84"/>
      <c r="CCV15" s="84"/>
      <c r="CCW15" s="84"/>
      <c r="CCX15" s="84"/>
      <c r="CCY15" s="84"/>
      <c r="CCZ15" s="84"/>
      <c r="CDA15" s="84"/>
      <c r="CDB15" s="84"/>
      <c r="CDC15" s="84"/>
      <c r="CDD15" s="84"/>
      <c r="CDE15" s="84"/>
      <c r="CDF15" s="84"/>
      <c r="CDG15" s="84"/>
      <c r="CDH15" s="84"/>
      <c r="CDI15" s="84"/>
      <c r="CDJ15" s="84"/>
      <c r="CDK15" s="84"/>
      <c r="CDL15" s="84"/>
      <c r="CDM15" s="84"/>
      <c r="CDN15" s="84"/>
      <c r="CDO15" s="84"/>
      <c r="CDP15" s="84"/>
      <c r="CDQ15" s="84"/>
      <c r="CDR15" s="84"/>
      <c r="CDS15" s="84"/>
      <c r="CDT15" s="84"/>
      <c r="CDU15" s="84"/>
      <c r="CDV15" s="84"/>
      <c r="CDW15" s="84"/>
      <c r="CDX15" s="84"/>
      <c r="CDY15" s="84"/>
      <c r="CDZ15" s="84"/>
      <c r="CEA15" s="84"/>
      <c r="CEB15" s="84"/>
      <c r="CEC15" s="84"/>
      <c r="CED15" s="84"/>
      <c r="CEE15" s="84"/>
      <c r="CEF15" s="84"/>
      <c r="CEG15" s="84"/>
      <c r="CEH15" s="84"/>
      <c r="CEI15" s="84"/>
      <c r="CEJ15" s="84"/>
      <c r="CEK15" s="84"/>
      <c r="CEL15" s="84"/>
      <c r="CEM15" s="84"/>
      <c r="CEN15" s="84"/>
      <c r="CEO15" s="84"/>
      <c r="CEP15" s="84"/>
      <c r="CEQ15" s="84"/>
      <c r="CER15" s="84"/>
      <c r="CES15" s="84"/>
      <c r="CET15" s="84"/>
      <c r="CEU15" s="84"/>
      <c r="CEV15" s="84"/>
      <c r="CEW15" s="84"/>
      <c r="CEX15" s="84"/>
      <c r="CEY15" s="84"/>
      <c r="CEZ15" s="84"/>
      <c r="CFA15" s="84"/>
      <c r="CFB15" s="84"/>
      <c r="CFC15" s="84"/>
      <c r="CFD15" s="84"/>
      <c r="CFE15" s="84"/>
      <c r="CFF15" s="84"/>
      <c r="CFG15" s="84"/>
      <c r="CFH15" s="84"/>
      <c r="CFI15" s="84"/>
      <c r="CFJ15" s="84"/>
      <c r="CFK15" s="84"/>
      <c r="CFL15" s="84"/>
      <c r="CFM15" s="84"/>
      <c r="CFN15" s="84"/>
      <c r="CFO15" s="84"/>
      <c r="CFP15" s="84"/>
      <c r="CFQ15" s="84"/>
      <c r="CFR15" s="84"/>
      <c r="CFS15" s="84"/>
      <c r="CFT15" s="84"/>
      <c r="CFU15" s="84"/>
      <c r="CFV15" s="84"/>
      <c r="CFW15" s="84"/>
      <c r="CFX15" s="84"/>
      <c r="CFY15" s="84"/>
      <c r="CFZ15" s="84"/>
      <c r="CGA15" s="84"/>
      <c r="CGB15" s="84"/>
      <c r="CGC15" s="84"/>
      <c r="CGD15" s="84"/>
      <c r="CGE15" s="84"/>
      <c r="CGF15" s="84"/>
      <c r="CGG15" s="84"/>
      <c r="CGH15" s="84"/>
      <c r="CGI15" s="84"/>
      <c r="CGJ15" s="84"/>
      <c r="CGK15" s="84"/>
      <c r="CGL15" s="84"/>
      <c r="CGM15" s="84"/>
      <c r="CGN15" s="84"/>
      <c r="CGO15" s="84"/>
      <c r="CGP15" s="84"/>
      <c r="CGQ15" s="84"/>
      <c r="CGR15" s="84"/>
      <c r="CGS15" s="84"/>
      <c r="CGT15" s="84"/>
      <c r="CGU15" s="84"/>
      <c r="CGV15" s="84"/>
      <c r="CGW15" s="84"/>
      <c r="CGX15" s="84"/>
      <c r="CGY15" s="84"/>
      <c r="CGZ15" s="84"/>
      <c r="CHA15" s="84"/>
      <c r="CHB15" s="84"/>
      <c r="CHC15" s="84"/>
      <c r="CHD15" s="84"/>
      <c r="CHE15" s="84"/>
      <c r="CHF15" s="84"/>
      <c r="CHG15" s="84"/>
      <c r="CHH15" s="84"/>
      <c r="CHI15" s="84"/>
      <c r="CHJ15" s="84"/>
      <c r="CHK15" s="84"/>
      <c r="CHL15" s="84"/>
      <c r="CHM15" s="84"/>
      <c r="CHN15" s="84"/>
      <c r="CHO15" s="84"/>
      <c r="CHP15" s="84"/>
      <c r="CHQ15" s="84"/>
      <c r="CHR15" s="84"/>
      <c r="CHS15" s="84"/>
      <c r="CHT15" s="84"/>
      <c r="CHU15" s="84"/>
      <c r="CHV15" s="84"/>
      <c r="CHW15" s="84"/>
      <c r="CHX15" s="84"/>
      <c r="CHY15" s="84"/>
      <c r="CHZ15" s="84"/>
      <c r="CIA15" s="84"/>
      <c r="CIB15" s="84"/>
      <c r="CIC15" s="84"/>
      <c r="CID15" s="84"/>
      <c r="CIE15" s="84"/>
      <c r="CIF15" s="84"/>
      <c r="CIG15" s="84"/>
      <c r="CIH15" s="84"/>
      <c r="CII15" s="84"/>
      <c r="CIJ15" s="84"/>
      <c r="CIK15" s="84"/>
      <c r="CIL15" s="84"/>
      <c r="CIM15" s="84"/>
      <c r="CIN15" s="84"/>
      <c r="CIO15" s="84"/>
      <c r="CIP15" s="84"/>
      <c r="CIQ15" s="84"/>
      <c r="CIR15" s="84"/>
      <c r="CIS15" s="84"/>
      <c r="CIT15" s="84"/>
      <c r="CIU15" s="84"/>
      <c r="CIV15" s="84"/>
      <c r="CIW15" s="84"/>
      <c r="CIX15" s="84"/>
      <c r="CIY15" s="84"/>
      <c r="CIZ15" s="84"/>
      <c r="CJA15" s="84"/>
      <c r="CJB15" s="84"/>
      <c r="CJC15" s="84"/>
      <c r="CJD15" s="84"/>
      <c r="CJE15" s="84"/>
      <c r="CJF15" s="84"/>
      <c r="CJG15" s="84"/>
      <c r="CJH15" s="84"/>
      <c r="CJI15" s="84"/>
      <c r="CJJ15" s="84"/>
      <c r="CJK15" s="84"/>
      <c r="CJL15" s="84"/>
      <c r="CJM15" s="84"/>
      <c r="CJN15" s="84"/>
      <c r="CJO15" s="84"/>
      <c r="CJP15" s="84"/>
      <c r="CJQ15" s="84"/>
      <c r="CJR15" s="84"/>
      <c r="CJS15" s="84"/>
      <c r="CJT15" s="84"/>
      <c r="CJU15" s="84"/>
      <c r="CJV15" s="84"/>
      <c r="CJW15" s="84"/>
      <c r="CJX15" s="84"/>
      <c r="CJY15" s="84"/>
      <c r="CJZ15" s="84"/>
      <c r="CKA15" s="84"/>
      <c r="CKB15" s="84"/>
      <c r="CKC15" s="84"/>
      <c r="CKD15" s="84"/>
      <c r="CKE15" s="84"/>
      <c r="CKF15" s="84"/>
      <c r="CKG15" s="84"/>
      <c r="CKH15" s="84"/>
      <c r="CKI15" s="84"/>
      <c r="CKJ15" s="84"/>
      <c r="CKK15" s="84"/>
      <c r="CKL15" s="84"/>
      <c r="CKM15" s="84"/>
      <c r="CKN15" s="84"/>
      <c r="CKO15" s="84"/>
      <c r="CKP15" s="84"/>
      <c r="CKQ15" s="84"/>
      <c r="CKR15" s="84"/>
      <c r="CKS15" s="84"/>
      <c r="CKT15" s="84"/>
      <c r="CKU15" s="84"/>
      <c r="CKV15" s="84"/>
      <c r="CKW15" s="84"/>
      <c r="CKX15" s="84"/>
      <c r="CKY15" s="84"/>
      <c r="CKZ15" s="84"/>
      <c r="CLA15" s="84"/>
      <c r="CLB15" s="84"/>
      <c r="CLC15" s="84"/>
      <c r="CLD15" s="84"/>
      <c r="CLE15" s="84"/>
      <c r="CLF15" s="84"/>
      <c r="CLG15" s="84"/>
      <c r="CLH15" s="84"/>
      <c r="CLI15" s="84"/>
      <c r="CLJ15" s="84"/>
      <c r="CLK15" s="84"/>
      <c r="CLL15" s="84"/>
      <c r="CLM15" s="84"/>
      <c r="CLN15" s="84"/>
      <c r="CLO15" s="84"/>
      <c r="CLP15" s="84"/>
      <c r="CLQ15" s="84"/>
      <c r="CLR15" s="84"/>
      <c r="CLS15" s="84"/>
      <c r="CLT15" s="84"/>
      <c r="CLU15" s="84"/>
      <c r="CLV15" s="84"/>
      <c r="CLW15" s="84"/>
      <c r="CLX15" s="84"/>
      <c r="CLY15" s="84"/>
      <c r="CLZ15" s="84"/>
      <c r="CMA15" s="84"/>
      <c r="CMB15" s="84"/>
      <c r="CMC15" s="84"/>
      <c r="CMD15" s="84"/>
      <c r="CME15" s="84"/>
      <c r="CMF15" s="84"/>
      <c r="CMG15" s="84"/>
      <c r="CMH15" s="84"/>
      <c r="CMI15" s="84"/>
      <c r="CMJ15" s="84"/>
      <c r="CMK15" s="84"/>
      <c r="CML15" s="84"/>
      <c r="CMM15" s="84"/>
      <c r="CMN15" s="84"/>
      <c r="CMO15" s="84"/>
      <c r="CMP15" s="84"/>
      <c r="CMQ15" s="84"/>
      <c r="CMR15" s="84"/>
      <c r="CMS15" s="84"/>
      <c r="CMT15" s="84"/>
      <c r="CMU15" s="84"/>
      <c r="CMV15" s="84"/>
      <c r="CMW15" s="84"/>
      <c r="CMX15" s="84"/>
      <c r="CMY15" s="84"/>
      <c r="CMZ15" s="84"/>
      <c r="CNA15" s="84"/>
      <c r="CNB15" s="84"/>
      <c r="CNC15" s="84"/>
      <c r="CND15" s="84"/>
      <c r="CNE15" s="84"/>
      <c r="CNF15" s="84"/>
      <c r="CNG15" s="84"/>
      <c r="CNH15" s="84"/>
      <c r="CNI15" s="84"/>
      <c r="CNJ15" s="84"/>
      <c r="CNK15" s="84"/>
      <c r="CNL15" s="84"/>
      <c r="CNM15" s="84"/>
      <c r="CNN15" s="84"/>
      <c r="CNO15" s="84"/>
      <c r="CNP15" s="84"/>
      <c r="CNQ15" s="84"/>
      <c r="CNR15" s="84"/>
      <c r="CNS15" s="84"/>
      <c r="CNT15" s="84"/>
      <c r="CNU15" s="84"/>
      <c r="CNV15" s="84"/>
      <c r="CNW15" s="84"/>
      <c r="CNX15" s="84"/>
      <c r="CNY15" s="84"/>
      <c r="CNZ15" s="84"/>
      <c r="COA15" s="84"/>
      <c r="COB15" s="84"/>
      <c r="COC15" s="84"/>
      <c r="COD15" s="84"/>
      <c r="COE15" s="84"/>
      <c r="COF15" s="84"/>
      <c r="COG15" s="84"/>
      <c r="COH15" s="84"/>
      <c r="COI15" s="84"/>
      <c r="COJ15" s="84"/>
      <c r="COK15" s="84"/>
      <c r="COL15" s="84"/>
      <c r="COM15" s="84"/>
      <c r="CON15" s="84"/>
      <c r="COO15" s="84"/>
      <c r="COP15" s="84"/>
      <c r="COQ15" s="84"/>
      <c r="COR15" s="84"/>
      <c r="COS15" s="84"/>
      <c r="COT15" s="84"/>
      <c r="COU15" s="84"/>
      <c r="COV15" s="84"/>
      <c r="COW15" s="84"/>
      <c r="COX15" s="84"/>
      <c r="COY15" s="84"/>
      <c r="COZ15" s="84"/>
      <c r="CPA15" s="84"/>
      <c r="CPB15" s="84"/>
      <c r="CPC15" s="84"/>
      <c r="CPD15" s="84"/>
      <c r="CPE15" s="84"/>
      <c r="CPF15" s="84"/>
      <c r="CPG15" s="84"/>
      <c r="CPH15" s="84"/>
      <c r="CPI15" s="84"/>
      <c r="CPJ15" s="84"/>
      <c r="CPK15" s="84"/>
      <c r="CPL15" s="84"/>
      <c r="CPM15" s="84"/>
      <c r="CPN15" s="84"/>
      <c r="CPO15" s="84"/>
      <c r="CPP15" s="84"/>
      <c r="CPQ15" s="84"/>
      <c r="CPR15" s="84"/>
      <c r="CPS15" s="84"/>
      <c r="CPT15" s="84"/>
      <c r="CPU15" s="84"/>
      <c r="CPV15" s="84"/>
      <c r="CPW15" s="84"/>
      <c r="CPX15" s="84"/>
      <c r="CPY15" s="84"/>
      <c r="CPZ15" s="84"/>
      <c r="CQA15" s="84"/>
      <c r="CQB15" s="84"/>
      <c r="CQC15" s="84"/>
      <c r="CQD15" s="84"/>
      <c r="CQE15" s="84"/>
      <c r="CQF15" s="84"/>
      <c r="CQG15" s="84"/>
      <c r="CQH15" s="84"/>
      <c r="CQI15" s="84"/>
      <c r="CQJ15" s="84"/>
      <c r="CQK15" s="84"/>
      <c r="CQL15" s="84"/>
      <c r="CQM15" s="84"/>
      <c r="CQN15" s="84"/>
      <c r="CQO15" s="84"/>
      <c r="CQP15" s="84"/>
      <c r="CQQ15" s="84"/>
      <c r="CQR15" s="84"/>
      <c r="CQS15" s="84"/>
      <c r="CQT15" s="84"/>
      <c r="CQU15" s="84"/>
      <c r="CQV15" s="84"/>
      <c r="CQW15" s="84"/>
      <c r="CQX15" s="84"/>
      <c r="CQY15" s="84"/>
      <c r="CQZ15" s="84"/>
      <c r="CRA15" s="84"/>
      <c r="CRB15" s="84"/>
      <c r="CRC15" s="84"/>
      <c r="CRD15" s="84"/>
      <c r="CRE15" s="84"/>
      <c r="CRF15" s="84"/>
      <c r="CRG15" s="84"/>
      <c r="CRH15" s="84"/>
      <c r="CRI15" s="84"/>
      <c r="CRJ15" s="84"/>
      <c r="CRK15" s="84"/>
      <c r="CRL15" s="84"/>
      <c r="CRM15" s="84"/>
      <c r="CRN15" s="84"/>
      <c r="CRO15" s="84"/>
      <c r="CRP15" s="84"/>
      <c r="CRQ15" s="84"/>
      <c r="CRR15" s="84"/>
      <c r="CRS15" s="84"/>
      <c r="CRT15" s="84"/>
      <c r="CRU15" s="84"/>
      <c r="CRV15" s="84"/>
      <c r="CRW15" s="84"/>
      <c r="CRX15" s="84"/>
      <c r="CRY15" s="84"/>
      <c r="CRZ15" s="84"/>
      <c r="CSA15" s="84"/>
      <c r="CSB15" s="84"/>
      <c r="CSC15" s="84"/>
      <c r="CSD15" s="84"/>
      <c r="CSE15" s="84"/>
      <c r="CSF15" s="84"/>
      <c r="CSG15" s="84"/>
      <c r="CSH15" s="84"/>
      <c r="CSI15" s="84"/>
      <c r="CSJ15" s="84"/>
      <c r="CSK15" s="84"/>
      <c r="CSL15" s="84"/>
      <c r="CSM15" s="84"/>
      <c r="CSN15" s="84"/>
      <c r="CSO15" s="84"/>
      <c r="CSP15" s="84"/>
      <c r="CSQ15" s="84"/>
      <c r="CSR15" s="84"/>
      <c r="CSS15" s="84"/>
      <c r="CST15" s="84"/>
      <c r="CSU15" s="84"/>
      <c r="CSV15" s="84"/>
      <c r="CSW15" s="84"/>
      <c r="CSX15" s="84"/>
      <c r="CSY15" s="84"/>
      <c r="CSZ15" s="84"/>
      <c r="CTA15" s="84"/>
      <c r="CTB15" s="84"/>
      <c r="CTC15" s="84"/>
      <c r="CTD15" s="84"/>
      <c r="CTE15" s="84"/>
      <c r="CTF15" s="84"/>
      <c r="CTG15" s="84"/>
      <c r="CTH15" s="84"/>
      <c r="CTI15" s="84"/>
      <c r="CTJ15" s="84"/>
      <c r="CTK15" s="84"/>
      <c r="CTL15" s="84"/>
      <c r="CTM15" s="84"/>
      <c r="CTN15" s="84"/>
      <c r="CTO15" s="84"/>
      <c r="CTP15" s="84"/>
      <c r="CTQ15" s="84"/>
      <c r="CTR15" s="84"/>
      <c r="CTS15" s="84"/>
      <c r="CTT15" s="84"/>
      <c r="CTU15" s="84"/>
      <c r="CTV15" s="84"/>
      <c r="CTW15" s="84"/>
      <c r="CTX15" s="84"/>
      <c r="CTY15" s="84"/>
      <c r="CTZ15" s="84"/>
      <c r="CUA15" s="84"/>
      <c r="CUB15" s="84"/>
      <c r="CUC15" s="84"/>
      <c r="CUD15" s="84"/>
      <c r="CUE15" s="84"/>
      <c r="CUF15" s="84"/>
      <c r="CUG15" s="84"/>
      <c r="CUH15" s="84"/>
      <c r="CUI15" s="84"/>
      <c r="CUJ15" s="84"/>
      <c r="CUK15" s="84"/>
      <c r="CUL15" s="84"/>
      <c r="CUM15" s="84"/>
      <c r="CUN15" s="84"/>
      <c r="CUO15" s="84"/>
      <c r="CUP15" s="84"/>
      <c r="CUQ15" s="84"/>
      <c r="CUR15" s="84"/>
      <c r="CUS15" s="84"/>
      <c r="CUT15" s="84"/>
      <c r="CUU15" s="84"/>
      <c r="CUV15" s="84"/>
      <c r="CUW15" s="84"/>
      <c r="CUX15" s="84"/>
      <c r="CUY15" s="84"/>
      <c r="CUZ15" s="84"/>
      <c r="CVA15" s="84"/>
      <c r="CVB15" s="84"/>
      <c r="CVC15" s="84"/>
      <c r="CVD15" s="84"/>
      <c r="CVE15" s="84"/>
      <c r="CVF15" s="84"/>
      <c r="CVG15" s="84"/>
      <c r="CVH15" s="84"/>
      <c r="CVI15" s="84"/>
      <c r="CVJ15" s="84"/>
      <c r="CVK15" s="84"/>
      <c r="CVL15" s="84"/>
      <c r="CVM15" s="84"/>
      <c r="CVN15" s="84"/>
      <c r="CVO15" s="84"/>
      <c r="CVP15" s="84"/>
      <c r="CVQ15" s="84"/>
      <c r="CVR15" s="84"/>
      <c r="CVS15" s="84"/>
      <c r="CVT15" s="84"/>
      <c r="CVU15" s="84"/>
      <c r="CVV15" s="84"/>
      <c r="CVW15" s="84"/>
      <c r="CVX15" s="84"/>
      <c r="CVY15" s="84"/>
      <c r="CVZ15" s="84"/>
      <c r="CWA15" s="84"/>
      <c r="CWB15" s="84"/>
      <c r="CWC15" s="84"/>
      <c r="CWD15" s="84"/>
      <c r="CWE15" s="84"/>
      <c r="CWF15" s="84"/>
      <c r="CWG15" s="84"/>
      <c r="CWH15" s="84"/>
      <c r="CWI15" s="84"/>
      <c r="CWJ15" s="84"/>
      <c r="CWK15" s="84"/>
      <c r="CWL15" s="84"/>
      <c r="CWM15" s="84"/>
      <c r="CWN15" s="84"/>
      <c r="CWO15" s="84"/>
      <c r="CWP15" s="84"/>
      <c r="CWQ15" s="84"/>
      <c r="CWR15" s="84"/>
      <c r="CWS15" s="84"/>
      <c r="CWT15" s="84"/>
      <c r="CWU15" s="84"/>
      <c r="CWV15" s="84"/>
      <c r="CWW15" s="84"/>
      <c r="CWX15" s="84"/>
      <c r="CWY15" s="84"/>
      <c r="CWZ15" s="84"/>
      <c r="CXA15" s="84"/>
      <c r="CXB15" s="84"/>
      <c r="CXC15" s="84"/>
      <c r="CXD15" s="84"/>
      <c r="CXE15" s="84"/>
      <c r="CXF15" s="84"/>
      <c r="CXG15" s="84"/>
      <c r="CXH15" s="84"/>
      <c r="CXI15" s="84"/>
      <c r="CXJ15" s="84"/>
      <c r="CXK15" s="84"/>
      <c r="CXL15" s="84"/>
      <c r="CXM15" s="84"/>
      <c r="CXN15" s="84"/>
      <c r="CXO15" s="84"/>
      <c r="CXP15" s="84"/>
      <c r="CXQ15" s="84"/>
      <c r="CXR15" s="84"/>
      <c r="CXS15" s="84"/>
      <c r="CXT15" s="84"/>
      <c r="CXU15" s="84"/>
      <c r="CXV15" s="84"/>
      <c r="CXW15" s="84"/>
      <c r="CXX15" s="84"/>
      <c r="CXY15" s="84"/>
      <c r="CXZ15" s="84"/>
      <c r="CYA15" s="84"/>
      <c r="CYB15" s="84"/>
      <c r="CYC15" s="84"/>
      <c r="CYD15" s="84"/>
      <c r="CYE15" s="84"/>
      <c r="CYF15" s="84"/>
      <c r="CYG15" s="84"/>
      <c r="CYH15" s="84"/>
      <c r="CYI15" s="84"/>
      <c r="CYJ15" s="84"/>
      <c r="CYK15" s="84"/>
      <c r="CYL15" s="84"/>
      <c r="CYM15" s="84"/>
      <c r="CYN15" s="84"/>
      <c r="CYO15" s="84"/>
      <c r="CYP15" s="84"/>
      <c r="CYQ15" s="84"/>
      <c r="CYR15" s="84"/>
      <c r="CYS15" s="84"/>
      <c r="CYT15" s="84"/>
      <c r="CYU15" s="84"/>
      <c r="CYV15" s="84"/>
      <c r="CYW15" s="84"/>
      <c r="CYX15" s="84"/>
      <c r="CYY15" s="84"/>
      <c r="CYZ15" s="84"/>
      <c r="CZA15" s="84"/>
      <c r="CZB15" s="84"/>
      <c r="CZC15" s="84"/>
      <c r="CZD15" s="84"/>
      <c r="CZE15" s="84"/>
      <c r="CZF15" s="84"/>
      <c r="CZG15" s="84"/>
      <c r="CZH15" s="84"/>
      <c r="CZI15" s="84"/>
      <c r="CZJ15" s="84"/>
      <c r="CZK15" s="84"/>
      <c r="CZL15" s="84"/>
      <c r="CZM15" s="84"/>
      <c r="CZN15" s="84"/>
      <c r="CZO15" s="84"/>
      <c r="CZP15" s="84"/>
      <c r="CZQ15" s="84"/>
      <c r="CZR15" s="84"/>
      <c r="CZS15" s="84"/>
      <c r="CZT15" s="84"/>
      <c r="CZU15" s="84"/>
      <c r="CZV15" s="84"/>
      <c r="CZW15" s="84"/>
      <c r="CZX15" s="84"/>
      <c r="CZY15" s="84"/>
      <c r="CZZ15" s="84"/>
      <c r="DAA15" s="84"/>
      <c r="DAB15" s="84"/>
      <c r="DAC15" s="84"/>
      <c r="DAD15" s="84"/>
      <c r="DAE15" s="84"/>
      <c r="DAF15" s="84"/>
      <c r="DAG15" s="84"/>
      <c r="DAH15" s="84"/>
      <c r="DAI15" s="84"/>
      <c r="DAJ15" s="84"/>
      <c r="DAK15" s="84"/>
      <c r="DAL15" s="84"/>
      <c r="DAM15" s="84"/>
      <c r="DAN15" s="84"/>
      <c r="DAO15" s="84"/>
      <c r="DAP15" s="84"/>
      <c r="DAQ15" s="84"/>
      <c r="DAR15" s="84"/>
      <c r="DAS15" s="84"/>
      <c r="DAT15" s="84"/>
      <c r="DAU15" s="84"/>
      <c r="DAV15" s="84"/>
      <c r="DAW15" s="84"/>
      <c r="DAX15" s="84"/>
      <c r="DAY15" s="84"/>
      <c r="DAZ15" s="84"/>
      <c r="DBA15" s="84"/>
      <c r="DBB15" s="84"/>
      <c r="DBC15" s="84"/>
      <c r="DBD15" s="84"/>
      <c r="DBE15" s="84"/>
      <c r="DBF15" s="84"/>
      <c r="DBG15" s="84"/>
      <c r="DBH15" s="84"/>
      <c r="DBI15" s="84"/>
      <c r="DBJ15" s="84"/>
      <c r="DBK15" s="84"/>
      <c r="DBL15" s="84"/>
      <c r="DBM15" s="84"/>
      <c r="DBN15" s="84"/>
      <c r="DBO15" s="84"/>
      <c r="DBP15" s="84"/>
      <c r="DBQ15" s="84"/>
      <c r="DBR15" s="84"/>
      <c r="DBS15" s="84"/>
      <c r="DBT15" s="84"/>
      <c r="DBU15" s="84"/>
      <c r="DBV15" s="84"/>
      <c r="DBW15" s="84"/>
      <c r="DBX15" s="84"/>
      <c r="DBY15" s="84"/>
      <c r="DBZ15" s="84"/>
      <c r="DCA15" s="84"/>
      <c r="DCB15" s="84"/>
      <c r="DCC15" s="84"/>
      <c r="DCD15" s="84"/>
      <c r="DCE15" s="84"/>
      <c r="DCF15" s="84"/>
      <c r="DCG15" s="84"/>
      <c r="DCH15" s="84"/>
      <c r="DCI15" s="84"/>
      <c r="DCJ15" s="84"/>
      <c r="DCK15" s="84"/>
      <c r="DCL15" s="84"/>
      <c r="DCM15" s="84"/>
      <c r="DCN15" s="84"/>
      <c r="DCO15" s="84"/>
      <c r="DCP15" s="84"/>
      <c r="DCQ15" s="84"/>
      <c r="DCR15" s="84"/>
      <c r="DCS15" s="84"/>
      <c r="DCT15" s="84"/>
      <c r="DCU15" s="84"/>
      <c r="DCV15" s="84"/>
      <c r="DCW15" s="84"/>
      <c r="DCX15" s="84"/>
      <c r="DCY15" s="84"/>
      <c r="DCZ15" s="84"/>
      <c r="DDA15" s="84"/>
      <c r="DDB15" s="84"/>
      <c r="DDC15" s="84"/>
      <c r="DDD15" s="84"/>
      <c r="DDE15" s="84"/>
      <c r="DDF15" s="84"/>
      <c r="DDG15" s="84"/>
      <c r="DDH15" s="84"/>
      <c r="DDI15" s="84"/>
      <c r="DDJ15" s="84"/>
      <c r="DDK15" s="84"/>
      <c r="DDL15" s="84"/>
      <c r="DDM15" s="84"/>
      <c r="DDN15" s="84"/>
      <c r="DDO15" s="84"/>
      <c r="DDP15" s="84"/>
      <c r="DDQ15" s="84"/>
      <c r="DDR15" s="84"/>
      <c r="DDS15" s="84"/>
      <c r="DDT15" s="84"/>
      <c r="DDU15" s="84"/>
      <c r="DDV15" s="84"/>
      <c r="DDW15" s="84"/>
      <c r="DDX15" s="84"/>
      <c r="DDY15" s="84"/>
      <c r="DDZ15" s="84"/>
      <c r="DEA15" s="84"/>
      <c r="DEB15" s="84"/>
      <c r="DEC15" s="84"/>
      <c r="DED15" s="84"/>
      <c r="DEE15" s="84"/>
      <c r="DEF15" s="84"/>
      <c r="DEG15" s="84"/>
      <c r="DEH15" s="84"/>
      <c r="DEI15" s="84"/>
      <c r="DEJ15" s="84"/>
      <c r="DEK15" s="84"/>
      <c r="DEL15" s="84"/>
      <c r="DEM15" s="84"/>
      <c r="DEN15" s="84"/>
      <c r="DEO15" s="84"/>
      <c r="DEP15" s="84"/>
      <c r="DEQ15" s="84"/>
      <c r="DER15" s="84"/>
      <c r="DES15" s="84"/>
      <c r="DET15" s="84"/>
      <c r="DEU15" s="84"/>
      <c r="DEV15" s="84"/>
      <c r="DEW15" s="84"/>
      <c r="DEX15" s="84"/>
      <c r="DEY15" s="84"/>
      <c r="DEZ15" s="84"/>
      <c r="DFA15" s="84"/>
      <c r="DFB15" s="84"/>
      <c r="DFC15" s="84"/>
      <c r="DFD15" s="84"/>
      <c r="DFE15" s="84"/>
      <c r="DFF15" s="84"/>
      <c r="DFG15" s="84"/>
      <c r="DFH15" s="84"/>
      <c r="DFI15" s="84"/>
      <c r="DFJ15" s="84"/>
      <c r="DFK15" s="84"/>
      <c r="DFL15" s="84"/>
      <c r="DFM15" s="84"/>
      <c r="DFN15" s="84"/>
      <c r="DFO15" s="84"/>
      <c r="DFP15" s="84"/>
      <c r="DFQ15" s="84"/>
      <c r="DFR15" s="84"/>
      <c r="DFS15" s="84"/>
      <c r="DFT15" s="84"/>
      <c r="DFU15" s="84"/>
      <c r="DFV15" s="84"/>
      <c r="DFW15" s="84"/>
      <c r="DFX15" s="84"/>
      <c r="DFY15" s="84"/>
      <c r="DFZ15" s="84"/>
      <c r="DGA15" s="84"/>
      <c r="DGB15" s="84"/>
      <c r="DGC15" s="84"/>
      <c r="DGD15" s="84"/>
      <c r="DGE15" s="84"/>
      <c r="DGF15" s="84"/>
      <c r="DGG15" s="84"/>
      <c r="DGH15" s="84"/>
      <c r="DGI15" s="84"/>
      <c r="DGJ15" s="84"/>
      <c r="DGK15" s="84"/>
      <c r="DGL15" s="84"/>
      <c r="DGM15" s="84"/>
      <c r="DGN15" s="84"/>
      <c r="DGO15" s="84"/>
      <c r="DGP15" s="84"/>
      <c r="DGQ15" s="84"/>
      <c r="DGR15" s="84"/>
      <c r="DGS15" s="84"/>
      <c r="DGT15" s="84"/>
      <c r="DGU15" s="84"/>
      <c r="DGV15" s="84"/>
      <c r="DGW15" s="84"/>
      <c r="DGX15" s="84"/>
      <c r="DGY15" s="84"/>
      <c r="DGZ15" s="84"/>
      <c r="DHA15" s="84"/>
      <c r="DHB15" s="84"/>
      <c r="DHC15" s="84"/>
      <c r="DHD15" s="84"/>
      <c r="DHE15" s="84"/>
      <c r="DHF15" s="84"/>
      <c r="DHG15" s="84"/>
      <c r="DHH15" s="84"/>
      <c r="DHI15" s="84"/>
      <c r="DHJ15" s="84"/>
      <c r="DHK15" s="84"/>
      <c r="DHL15" s="84"/>
      <c r="DHM15" s="84"/>
      <c r="DHN15" s="84"/>
      <c r="DHO15" s="84"/>
      <c r="DHP15" s="84"/>
      <c r="DHQ15" s="84"/>
      <c r="DHR15" s="84"/>
      <c r="DHS15" s="84"/>
      <c r="DHT15" s="84"/>
      <c r="DHU15" s="84"/>
      <c r="DHV15" s="84"/>
      <c r="DHW15" s="84"/>
      <c r="DHX15" s="84"/>
      <c r="DHY15" s="84"/>
      <c r="DHZ15" s="84"/>
      <c r="DIA15" s="84"/>
      <c r="DIB15" s="84"/>
      <c r="DIC15" s="84"/>
      <c r="DID15" s="84"/>
      <c r="DIE15" s="84"/>
      <c r="DIF15" s="84"/>
      <c r="DIG15" s="84"/>
      <c r="DIH15" s="84"/>
      <c r="DII15" s="84"/>
      <c r="DIJ15" s="84"/>
      <c r="DIK15" s="84"/>
      <c r="DIL15" s="84"/>
      <c r="DIM15" s="84"/>
      <c r="DIN15" s="84"/>
      <c r="DIO15" s="84"/>
      <c r="DIP15" s="84"/>
      <c r="DIQ15" s="84"/>
      <c r="DIR15" s="84"/>
      <c r="DIS15" s="84"/>
      <c r="DIT15" s="84"/>
      <c r="DIU15" s="84"/>
      <c r="DIV15" s="84"/>
      <c r="DIW15" s="84"/>
      <c r="DIX15" s="84"/>
      <c r="DIY15" s="84"/>
      <c r="DIZ15" s="84"/>
      <c r="DJA15" s="84"/>
      <c r="DJB15" s="84"/>
      <c r="DJC15" s="84"/>
      <c r="DJD15" s="84"/>
      <c r="DJE15" s="84"/>
      <c r="DJF15" s="84"/>
      <c r="DJG15" s="84"/>
      <c r="DJH15" s="84"/>
      <c r="DJI15" s="84"/>
      <c r="DJJ15" s="84"/>
      <c r="DJK15" s="84"/>
      <c r="DJL15" s="84"/>
      <c r="DJM15" s="84"/>
      <c r="DJN15" s="84"/>
      <c r="DJO15" s="84"/>
      <c r="DJP15" s="84"/>
      <c r="DJQ15" s="84"/>
      <c r="DJR15" s="84"/>
      <c r="DJS15" s="84"/>
      <c r="DJT15" s="84"/>
      <c r="DJU15" s="84"/>
      <c r="DJV15" s="84"/>
      <c r="DJW15" s="84"/>
      <c r="DJX15" s="84"/>
      <c r="DJY15" s="84"/>
      <c r="DJZ15" s="84"/>
      <c r="DKA15" s="84"/>
      <c r="DKB15" s="84"/>
      <c r="DKC15" s="84"/>
      <c r="DKD15" s="84"/>
      <c r="DKE15" s="84"/>
      <c r="DKF15" s="84"/>
      <c r="DKG15" s="84"/>
      <c r="DKH15" s="84"/>
      <c r="DKI15" s="84"/>
      <c r="DKJ15" s="84"/>
      <c r="DKK15" s="84"/>
      <c r="DKL15" s="84"/>
      <c r="DKM15" s="84"/>
      <c r="DKN15" s="84"/>
      <c r="DKO15" s="84"/>
      <c r="DKP15" s="84"/>
      <c r="DKQ15" s="84"/>
      <c r="DKR15" s="84"/>
      <c r="DKS15" s="84"/>
      <c r="DKT15" s="84"/>
      <c r="DKU15" s="84"/>
      <c r="DKV15" s="84"/>
      <c r="DKW15" s="84"/>
      <c r="DKX15" s="84"/>
      <c r="DKY15" s="84"/>
      <c r="DKZ15" s="84"/>
      <c r="DLA15" s="84"/>
      <c r="DLB15" s="84"/>
      <c r="DLC15" s="84"/>
      <c r="DLD15" s="84"/>
      <c r="DLE15" s="84"/>
      <c r="DLF15" s="84"/>
      <c r="DLG15" s="84"/>
      <c r="DLH15" s="84"/>
      <c r="DLI15" s="84"/>
      <c r="DLJ15" s="84"/>
      <c r="DLK15" s="84"/>
      <c r="DLL15" s="84"/>
      <c r="DLM15" s="84"/>
      <c r="DLN15" s="84"/>
      <c r="DLO15" s="84"/>
      <c r="DLP15" s="84"/>
      <c r="DLQ15" s="84"/>
      <c r="DLR15" s="84"/>
      <c r="DLS15" s="84"/>
      <c r="DLT15" s="84"/>
      <c r="DLU15" s="84"/>
      <c r="DLV15" s="84"/>
      <c r="DLW15" s="84"/>
      <c r="DLX15" s="84"/>
      <c r="DLY15" s="84"/>
      <c r="DLZ15" s="84"/>
      <c r="DMA15" s="84"/>
      <c r="DMB15" s="84"/>
      <c r="DMC15" s="84"/>
      <c r="DMD15" s="84"/>
      <c r="DME15" s="84"/>
      <c r="DMF15" s="84"/>
      <c r="DMG15" s="84"/>
      <c r="DMH15" s="84"/>
      <c r="DMI15" s="84"/>
      <c r="DMJ15" s="84"/>
      <c r="DMK15" s="84"/>
      <c r="DML15" s="84"/>
      <c r="DMM15" s="84"/>
      <c r="DMN15" s="84"/>
      <c r="DMO15" s="84"/>
      <c r="DMP15" s="84"/>
      <c r="DMQ15" s="84"/>
      <c r="DMR15" s="84"/>
      <c r="DMS15" s="84"/>
      <c r="DMT15" s="84"/>
      <c r="DMU15" s="84"/>
      <c r="DMV15" s="84"/>
      <c r="DMW15" s="84"/>
      <c r="DMX15" s="84"/>
      <c r="DMY15" s="84"/>
      <c r="DMZ15" s="84"/>
      <c r="DNA15" s="84"/>
      <c r="DNB15" s="84"/>
      <c r="DNC15" s="84"/>
      <c r="DND15" s="84"/>
      <c r="DNE15" s="84"/>
      <c r="DNF15" s="84"/>
      <c r="DNG15" s="84"/>
      <c r="DNH15" s="84"/>
      <c r="DNI15" s="84"/>
      <c r="DNJ15" s="84"/>
      <c r="DNK15" s="84"/>
      <c r="DNL15" s="84"/>
      <c r="DNM15" s="84"/>
      <c r="DNN15" s="84"/>
      <c r="DNO15" s="84"/>
      <c r="DNP15" s="84"/>
      <c r="DNQ15" s="84"/>
      <c r="DNR15" s="84"/>
      <c r="DNS15" s="84"/>
      <c r="DNT15" s="84"/>
      <c r="DNU15" s="84"/>
      <c r="DNV15" s="84"/>
      <c r="DNW15" s="84"/>
      <c r="DNX15" s="84"/>
      <c r="DNY15" s="84"/>
      <c r="DNZ15" s="84"/>
      <c r="DOA15" s="84"/>
      <c r="DOB15" s="84"/>
      <c r="DOC15" s="84"/>
      <c r="DOD15" s="84"/>
      <c r="DOE15" s="84"/>
      <c r="DOF15" s="84"/>
      <c r="DOG15" s="84"/>
      <c r="DOH15" s="84"/>
      <c r="DOI15" s="84"/>
      <c r="DOJ15" s="84"/>
      <c r="DOK15" s="84"/>
      <c r="DOL15" s="84"/>
      <c r="DOM15" s="84"/>
      <c r="DON15" s="84"/>
      <c r="DOO15" s="84"/>
      <c r="DOP15" s="84"/>
      <c r="DOQ15" s="84"/>
      <c r="DOR15" s="84"/>
      <c r="DOS15" s="84"/>
      <c r="DOT15" s="84"/>
      <c r="DOU15" s="84"/>
      <c r="DOV15" s="84"/>
      <c r="DOW15" s="84"/>
      <c r="DOX15" s="84"/>
      <c r="DOY15" s="84"/>
      <c r="DOZ15" s="84"/>
      <c r="DPA15" s="84"/>
      <c r="DPB15" s="84"/>
      <c r="DPC15" s="84"/>
      <c r="DPD15" s="84"/>
      <c r="DPE15" s="84"/>
      <c r="DPF15" s="84"/>
      <c r="DPG15" s="84"/>
      <c r="DPH15" s="84"/>
      <c r="DPI15" s="84"/>
      <c r="DPJ15" s="84"/>
      <c r="DPK15" s="84"/>
      <c r="DPL15" s="84"/>
      <c r="DPM15" s="84"/>
      <c r="DPN15" s="84"/>
      <c r="DPO15" s="84"/>
      <c r="DPP15" s="84"/>
      <c r="DPQ15" s="84"/>
      <c r="DPR15" s="84"/>
      <c r="DPS15" s="84"/>
      <c r="DPT15" s="84"/>
      <c r="DPU15" s="84"/>
      <c r="DPV15" s="84"/>
      <c r="DPW15" s="84"/>
      <c r="DPX15" s="84"/>
      <c r="DPY15" s="84"/>
      <c r="DPZ15" s="84"/>
      <c r="DQA15" s="84"/>
      <c r="DQB15" s="84"/>
      <c r="DQC15" s="84"/>
      <c r="DQD15" s="84"/>
      <c r="DQE15" s="84"/>
      <c r="DQF15" s="84"/>
      <c r="DQG15" s="84"/>
      <c r="DQH15" s="84"/>
      <c r="DQI15" s="84"/>
      <c r="DQJ15" s="84"/>
      <c r="DQK15" s="84"/>
      <c r="DQL15" s="84"/>
      <c r="DQM15" s="84"/>
      <c r="DQN15" s="84"/>
      <c r="DQO15" s="84"/>
      <c r="DQP15" s="84"/>
      <c r="DQQ15" s="84"/>
      <c r="DQR15" s="84"/>
      <c r="DQS15" s="84"/>
      <c r="DQT15" s="84"/>
      <c r="DQU15" s="84"/>
      <c r="DQV15" s="84"/>
      <c r="DQW15" s="84"/>
      <c r="DQX15" s="84"/>
      <c r="DQY15" s="84"/>
      <c r="DQZ15" s="84"/>
      <c r="DRA15" s="84"/>
      <c r="DRB15" s="84"/>
      <c r="DRC15" s="84"/>
      <c r="DRD15" s="84"/>
      <c r="DRE15" s="84"/>
      <c r="DRF15" s="84"/>
      <c r="DRG15" s="84"/>
      <c r="DRH15" s="84"/>
      <c r="DRI15" s="84"/>
      <c r="DRJ15" s="84"/>
      <c r="DRK15" s="84"/>
      <c r="DRL15" s="84"/>
      <c r="DRM15" s="84"/>
      <c r="DRN15" s="84"/>
      <c r="DRO15" s="84"/>
      <c r="DRP15" s="84"/>
      <c r="DRQ15" s="84"/>
      <c r="DRR15" s="84"/>
      <c r="DRS15" s="84"/>
      <c r="DRT15" s="84"/>
      <c r="DRU15" s="84"/>
      <c r="DRV15" s="84"/>
      <c r="DRW15" s="84"/>
      <c r="DRX15" s="84"/>
      <c r="DRY15" s="84"/>
      <c r="DRZ15" s="84"/>
      <c r="DSA15" s="84"/>
      <c r="DSB15" s="84"/>
      <c r="DSC15" s="84"/>
      <c r="DSD15" s="84"/>
      <c r="DSE15" s="84"/>
      <c r="DSF15" s="84"/>
      <c r="DSG15" s="84"/>
      <c r="DSH15" s="84"/>
      <c r="DSI15" s="84"/>
      <c r="DSJ15" s="84"/>
      <c r="DSK15" s="84"/>
      <c r="DSL15" s="84"/>
      <c r="DSM15" s="84"/>
      <c r="DSN15" s="84"/>
      <c r="DSO15" s="84"/>
      <c r="DSP15" s="84"/>
      <c r="DSQ15" s="84"/>
      <c r="DSR15" s="84"/>
      <c r="DSS15" s="84"/>
      <c r="DST15" s="84"/>
      <c r="DSU15" s="84"/>
      <c r="DSV15" s="84"/>
      <c r="DSW15" s="84"/>
      <c r="DSX15" s="84"/>
      <c r="DSY15" s="84"/>
      <c r="DSZ15" s="84"/>
      <c r="DTA15" s="84"/>
      <c r="DTB15" s="84"/>
      <c r="DTC15" s="84"/>
      <c r="DTD15" s="84"/>
      <c r="DTE15" s="84"/>
      <c r="DTF15" s="84"/>
      <c r="DTG15" s="84"/>
      <c r="DTH15" s="84"/>
      <c r="DTI15" s="84"/>
      <c r="DTJ15" s="84"/>
      <c r="DTK15" s="84"/>
      <c r="DTL15" s="84"/>
      <c r="DTM15" s="84"/>
      <c r="DTN15" s="84"/>
      <c r="DTO15" s="84"/>
      <c r="DTP15" s="84"/>
      <c r="DTQ15" s="84"/>
      <c r="DTR15" s="84"/>
      <c r="DTS15" s="84"/>
      <c r="DTT15" s="84"/>
      <c r="DTU15" s="84"/>
      <c r="DTV15" s="84"/>
      <c r="DTW15" s="84"/>
      <c r="DTX15" s="84"/>
      <c r="DTY15" s="84"/>
      <c r="DTZ15" s="84"/>
      <c r="DUA15" s="84"/>
      <c r="DUB15" s="84"/>
      <c r="DUC15" s="84"/>
      <c r="DUD15" s="84"/>
      <c r="DUE15" s="84"/>
      <c r="DUF15" s="84"/>
      <c r="DUG15" s="84"/>
      <c r="DUH15" s="84"/>
      <c r="DUI15" s="84"/>
      <c r="DUJ15" s="84"/>
      <c r="DUK15" s="84"/>
      <c r="DUL15" s="84"/>
      <c r="DUM15" s="84"/>
      <c r="DUN15" s="84"/>
      <c r="DUO15" s="84"/>
      <c r="DUP15" s="84"/>
      <c r="DUQ15" s="84"/>
      <c r="DUR15" s="84"/>
      <c r="DUS15" s="84"/>
      <c r="DUT15" s="84"/>
      <c r="DUU15" s="84"/>
      <c r="DUV15" s="84"/>
      <c r="DUW15" s="84"/>
      <c r="DUX15" s="84"/>
      <c r="DUY15" s="84"/>
      <c r="DUZ15" s="84"/>
      <c r="DVA15" s="84"/>
      <c r="DVB15" s="84"/>
      <c r="DVC15" s="84"/>
      <c r="DVD15" s="84"/>
      <c r="DVE15" s="84"/>
      <c r="DVF15" s="84"/>
      <c r="DVG15" s="84"/>
      <c r="DVH15" s="84"/>
      <c r="DVI15" s="84"/>
      <c r="DVJ15" s="84"/>
      <c r="DVK15" s="84"/>
      <c r="DVL15" s="84"/>
      <c r="DVM15" s="84"/>
      <c r="DVN15" s="84"/>
      <c r="DVO15" s="84"/>
      <c r="DVP15" s="84"/>
      <c r="DVQ15" s="84"/>
      <c r="DVR15" s="84"/>
      <c r="DVS15" s="84"/>
      <c r="DVT15" s="84"/>
      <c r="DVU15" s="84"/>
      <c r="DVV15" s="84"/>
      <c r="DVW15" s="84"/>
      <c r="DVX15" s="84"/>
      <c r="DVY15" s="84"/>
      <c r="DVZ15" s="84"/>
      <c r="DWA15" s="84"/>
      <c r="DWB15" s="84"/>
      <c r="DWC15" s="84"/>
      <c r="DWD15" s="84"/>
      <c r="DWE15" s="84"/>
      <c r="DWF15" s="84"/>
      <c r="DWG15" s="84"/>
      <c r="DWH15" s="84"/>
      <c r="DWI15" s="84"/>
      <c r="DWJ15" s="84"/>
      <c r="DWK15" s="84"/>
      <c r="DWL15" s="84"/>
      <c r="DWM15" s="84"/>
      <c r="DWN15" s="84"/>
      <c r="DWO15" s="84"/>
      <c r="DWP15" s="84"/>
      <c r="DWQ15" s="84"/>
      <c r="DWR15" s="84"/>
      <c r="DWS15" s="84"/>
      <c r="DWT15" s="84"/>
      <c r="DWU15" s="84"/>
      <c r="DWV15" s="84"/>
      <c r="DWW15" s="84"/>
      <c r="DWX15" s="84"/>
      <c r="DWY15" s="84"/>
      <c r="DWZ15" s="84"/>
      <c r="DXA15" s="84"/>
      <c r="DXB15" s="84"/>
      <c r="DXC15" s="84"/>
      <c r="DXD15" s="84"/>
      <c r="DXE15" s="84"/>
      <c r="DXF15" s="84"/>
      <c r="DXG15" s="84"/>
      <c r="DXH15" s="84"/>
      <c r="DXI15" s="84"/>
      <c r="DXJ15" s="84"/>
      <c r="DXK15" s="84"/>
      <c r="DXL15" s="84"/>
      <c r="DXM15" s="84"/>
      <c r="DXN15" s="84"/>
      <c r="DXO15" s="84"/>
      <c r="DXP15" s="84"/>
      <c r="DXQ15" s="84"/>
      <c r="DXR15" s="84"/>
      <c r="DXS15" s="84"/>
      <c r="DXT15" s="84"/>
      <c r="DXU15" s="84"/>
      <c r="DXV15" s="84"/>
      <c r="DXW15" s="84"/>
      <c r="DXX15" s="84"/>
      <c r="DXY15" s="84"/>
      <c r="DXZ15" s="84"/>
      <c r="DYA15" s="84"/>
      <c r="DYB15" s="84"/>
      <c r="DYC15" s="84"/>
      <c r="DYD15" s="84"/>
      <c r="DYE15" s="84"/>
      <c r="DYF15" s="84"/>
      <c r="DYG15" s="84"/>
      <c r="DYH15" s="84"/>
      <c r="DYI15" s="84"/>
      <c r="DYJ15" s="84"/>
      <c r="DYK15" s="84"/>
      <c r="DYL15" s="84"/>
      <c r="DYM15" s="84"/>
      <c r="DYN15" s="84"/>
      <c r="DYO15" s="84"/>
      <c r="DYP15" s="84"/>
      <c r="DYQ15" s="84"/>
      <c r="DYR15" s="84"/>
      <c r="DYS15" s="84"/>
      <c r="DYT15" s="84"/>
      <c r="DYU15" s="84"/>
      <c r="DYV15" s="84"/>
      <c r="DYW15" s="84"/>
      <c r="DYX15" s="84"/>
      <c r="DYY15" s="84"/>
      <c r="DYZ15" s="84"/>
      <c r="DZA15" s="84"/>
      <c r="DZB15" s="84"/>
      <c r="DZC15" s="84"/>
      <c r="DZD15" s="84"/>
      <c r="DZE15" s="84"/>
      <c r="DZF15" s="84"/>
      <c r="DZG15" s="84"/>
      <c r="DZH15" s="84"/>
      <c r="DZI15" s="84"/>
      <c r="DZJ15" s="84"/>
      <c r="DZK15" s="84"/>
      <c r="DZL15" s="84"/>
      <c r="DZM15" s="84"/>
      <c r="DZN15" s="84"/>
      <c r="DZO15" s="84"/>
      <c r="DZP15" s="84"/>
      <c r="DZQ15" s="84"/>
      <c r="DZR15" s="84"/>
      <c r="DZS15" s="84"/>
      <c r="DZT15" s="84"/>
      <c r="DZU15" s="84"/>
      <c r="DZV15" s="84"/>
      <c r="DZW15" s="84"/>
      <c r="DZX15" s="84"/>
      <c r="DZY15" s="84"/>
      <c r="DZZ15" s="84"/>
      <c r="EAA15" s="84"/>
      <c r="EAB15" s="84"/>
      <c r="EAC15" s="84"/>
      <c r="EAD15" s="84"/>
      <c r="EAE15" s="84"/>
      <c r="EAF15" s="84"/>
      <c r="EAG15" s="84"/>
      <c r="EAH15" s="84"/>
      <c r="EAI15" s="84"/>
      <c r="EAJ15" s="84"/>
      <c r="EAK15" s="84"/>
      <c r="EAL15" s="84"/>
      <c r="EAM15" s="84"/>
      <c r="EAN15" s="84"/>
      <c r="EAO15" s="84"/>
      <c r="EAP15" s="84"/>
      <c r="EAQ15" s="84"/>
      <c r="EAR15" s="84"/>
      <c r="EAS15" s="84"/>
      <c r="EAT15" s="84"/>
      <c r="EAU15" s="84"/>
      <c r="EAV15" s="84"/>
      <c r="EAW15" s="84"/>
      <c r="EAX15" s="84"/>
      <c r="EAY15" s="84"/>
      <c r="EAZ15" s="84"/>
      <c r="EBA15" s="84"/>
      <c r="EBB15" s="84"/>
      <c r="EBC15" s="84"/>
      <c r="EBD15" s="84"/>
      <c r="EBE15" s="84"/>
      <c r="EBF15" s="84"/>
      <c r="EBG15" s="84"/>
      <c r="EBH15" s="84"/>
      <c r="EBI15" s="84"/>
      <c r="EBJ15" s="84"/>
      <c r="EBK15" s="84"/>
      <c r="EBL15" s="84"/>
      <c r="EBM15" s="84"/>
      <c r="EBN15" s="84"/>
      <c r="EBO15" s="84"/>
      <c r="EBP15" s="84"/>
      <c r="EBQ15" s="84"/>
      <c r="EBR15" s="84"/>
      <c r="EBS15" s="84"/>
      <c r="EBT15" s="84"/>
      <c r="EBU15" s="84"/>
      <c r="EBV15" s="84"/>
      <c r="EBW15" s="84"/>
      <c r="EBX15" s="84"/>
      <c r="EBY15" s="84"/>
      <c r="EBZ15" s="84"/>
      <c r="ECA15" s="84"/>
      <c r="ECB15" s="84"/>
      <c r="ECC15" s="84"/>
      <c r="ECD15" s="84"/>
      <c r="ECE15" s="84"/>
      <c r="ECF15" s="84"/>
      <c r="ECG15" s="84"/>
      <c r="ECH15" s="84"/>
      <c r="ECI15" s="84"/>
      <c r="ECJ15" s="84"/>
      <c r="ECK15" s="84"/>
      <c r="ECL15" s="84"/>
      <c r="ECM15" s="84"/>
      <c r="ECN15" s="84"/>
      <c r="ECO15" s="84"/>
      <c r="ECP15" s="84"/>
      <c r="ECQ15" s="84"/>
      <c r="ECR15" s="84"/>
      <c r="ECS15" s="84"/>
      <c r="ECT15" s="84"/>
      <c r="ECU15" s="84"/>
      <c r="ECV15" s="84"/>
      <c r="ECW15" s="84"/>
      <c r="ECX15" s="84"/>
      <c r="ECY15" s="84"/>
      <c r="ECZ15" s="84"/>
      <c r="EDA15" s="84"/>
      <c r="EDB15" s="84"/>
      <c r="EDC15" s="84"/>
      <c r="EDD15" s="84"/>
      <c r="EDE15" s="84"/>
      <c r="EDF15" s="84"/>
      <c r="EDG15" s="84"/>
      <c r="EDH15" s="84"/>
      <c r="EDI15" s="84"/>
      <c r="EDJ15" s="84"/>
      <c r="EDK15" s="84"/>
      <c r="EDL15" s="84"/>
      <c r="EDM15" s="84"/>
      <c r="EDN15" s="84"/>
      <c r="EDO15" s="84"/>
      <c r="EDP15" s="84"/>
      <c r="EDQ15" s="84"/>
      <c r="EDR15" s="84"/>
      <c r="EDS15" s="84"/>
      <c r="EDT15" s="84"/>
      <c r="EDU15" s="84"/>
      <c r="EDV15" s="84"/>
      <c r="EDW15" s="84"/>
      <c r="EDX15" s="84"/>
      <c r="EDY15" s="84"/>
      <c r="EDZ15" s="84"/>
      <c r="EEA15" s="84"/>
      <c r="EEB15" s="84"/>
      <c r="EEC15" s="84"/>
      <c r="EED15" s="84"/>
      <c r="EEE15" s="84"/>
      <c r="EEF15" s="84"/>
      <c r="EEG15" s="84"/>
      <c r="EEH15" s="84"/>
      <c r="EEI15" s="84"/>
      <c r="EEJ15" s="84"/>
      <c r="EEK15" s="84"/>
      <c r="EEL15" s="84"/>
      <c r="EEM15" s="84"/>
      <c r="EEN15" s="84"/>
      <c r="EEO15" s="84"/>
      <c r="EEP15" s="84"/>
      <c r="EEQ15" s="84"/>
      <c r="EER15" s="84"/>
      <c r="EES15" s="84"/>
      <c r="EET15" s="84"/>
      <c r="EEU15" s="84"/>
      <c r="EEV15" s="84"/>
      <c r="EEW15" s="84"/>
      <c r="EEX15" s="84"/>
      <c r="EEY15" s="84"/>
      <c r="EEZ15" s="84"/>
      <c r="EFA15" s="84"/>
      <c r="EFB15" s="84"/>
      <c r="EFC15" s="84"/>
      <c r="EFD15" s="84"/>
      <c r="EFE15" s="84"/>
      <c r="EFF15" s="84"/>
      <c r="EFG15" s="84"/>
      <c r="EFH15" s="84"/>
      <c r="EFI15" s="84"/>
      <c r="EFJ15" s="84"/>
      <c r="EFK15" s="84"/>
      <c r="EFL15" s="84"/>
      <c r="EFM15" s="84"/>
      <c r="EFN15" s="84"/>
      <c r="EFO15" s="84"/>
      <c r="EFP15" s="84"/>
      <c r="EFQ15" s="84"/>
      <c r="EFR15" s="84"/>
      <c r="EFS15" s="84"/>
      <c r="EFT15" s="84"/>
      <c r="EFU15" s="84"/>
      <c r="EFV15" s="84"/>
      <c r="EFW15" s="84"/>
      <c r="EFX15" s="84"/>
      <c r="EFY15" s="84"/>
      <c r="EFZ15" s="84"/>
      <c r="EGA15" s="84"/>
      <c r="EGB15" s="84"/>
      <c r="EGC15" s="84"/>
      <c r="EGD15" s="84"/>
      <c r="EGE15" s="84"/>
      <c r="EGF15" s="84"/>
      <c r="EGG15" s="84"/>
      <c r="EGH15" s="84"/>
      <c r="EGI15" s="84"/>
      <c r="EGJ15" s="84"/>
      <c r="EGK15" s="84"/>
      <c r="EGL15" s="84"/>
      <c r="EGM15" s="84"/>
      <c r="EGN15" s="84"/>
      <c r="EGO15" s="84"/>
      <c r="EGP15" s="84"/>
      <c r="EGQ15" s="84"/>
      <c r="EGR15" s="84"/>
      <c r="EGS15" s="84"/>
      <c r="EGT15" s="84"/>
      <c r="EGU15" s="84"/>
      <c r="EGV15" s="84"/>
      <c r="EGW15" s="84"/>
      <c r="EGX15" s="84"/>
      <c r="EGY15" s="84"/>
      <c r="EGZ15" s="84"/>
      <c r="EHA15" s="84"/>
      <c r="EHB15" s="84"/>
      <c r="EHC15" s="84"/>
      <c r="EHD15" s="84"/>
      <c r="EHE15" s="84"/>
      <c r="EHF15" s="84"/>
      <c r="EHG15" s="84"/>
      <c r="EHH15" s="84"/>
      <c r="EHI15" s="84"/>
      <c r="EHJ15" s="84"/>
      <c r="EHK15" s="84"/>
      <c r="EHL15" s="84"/>
      <c r="EHM15" s="84"/>
      <c r="EHN15" s="84"/>
      <c r="EHO15" s="84"/>
      <c r="EHP15" s="84"/>
      <c r="EHQ15" s="84"/>
      <c r="EHR15" s="84"/>
      <c r="EHS15" s="84"/>
      <c r="EHT15" s="84"/>
      <c r="EHU15" s="84"/>
      <c r="EHV15" s="84"/>
      <c r="EHW15" s="84"/>
      <c r="EHX15" s="84"/>
      <c r="EHY15" s="84"/>
      <c r="EHZ15" s="84"/>
      <c r="EIA15" s="84"/>
      <c r="EIB15" s="84"/>
      <c r="EIC15" s="84"/>
      <c r="EID15" s="84"/>
      <c r="EIE15" s="84"/>
      <c r="EIF15" s="84"/>
      <c r="EIG15" s="84"/>
      <c r="EIH15" s="84"/>
      <c r="EII15" s="84"/>
      <c r="EIJ15" s="84"/>
      <c r="EIK15" s="84"/>
      <c r="EIL15" s="84"/>
      <c r="EIM15" s="84"/>
      <c r="EIN15" s="84"/>
      <c r="EIO15" s="84"/>
      <c r="EIP15" s="84"/>
      <c r="EIQ15" s="84"/>
      <c r="EIR15" s="84"/>
      <c r="EIS15" s="84"/>
      <c r="EIT15" s="84"/>
      <c r="EIU15" s="84"/>
      <c r="EIV15" s="84"/>
      <c r="EIW15" s="84"/>
      <c r="EIX15" s="84"/>
      <c r="EIY15" s="84"/>
      <c r="EIZ15" s="84"/>
      <c r="EJA15" s="84"/>
      <c r="EJB15" s="84"/>
      <c r="EJC15" s="84"/>
      <c r="EJD15" s="84"/>
      <c r="EJE15" s="84"/>
      <c r="EJF15" s="84"/>
      <c r="EJG15" s="84"/>
      <c r="EJH15" s="84"/>
      <c r="EJI15" s="84"/>
      <c r="EJJ15" s="84"/>
      <c r="EJK15" s="84"/>
      <c r="EJL15" s="84"/>
      <c r="EJM15" s="84"/>
      <c r="EJN15" s="84"/>
      <c r="EJO15" s="84"/>
      <c r="EJP15" s="84"/>
      <c r="EJQ15" s="84"/>
      <c r="EJR15" s="84"/>
      <c r="EJS15" s="84"/>
      <c r="EJT15" s="84"/>
      <c r="EJU15" s="84"/>
      <c r="EJV15" s="84"/>
      <c r="EJW15" s="84"/>
      <c r="EJX15" s="84"/>
      <c r="EJY15" s="84"/>
      <c r="EJZ15" s="84"/>
      <c r="EKA15" s="84"/>
      <c r="EKB15" s="84"/>
      <c r="EKC15" s="84"/>
      <c r="EKD15" s="84"/>
      <c r="EKE15" s="84"/>
      <c r="EKF15" s="84"/>
      <c r="EKG15" s="84"/>
      <c r="EKH15" s="84"/>
      <c r="EKI15" s="84"/>
      <c r="EKJ15" s="84"/>
      <c r="EKK15" s="84"/>
      <c r="EKL15" s="84"/>
      <c r="EKM15" s="84"/>
      <c r="EKN15" s="84"/>
      <c r="EKO15" s="84"/>
      <c r="EKP15" s="84"/>
      <c r="EKQ15" s="84"/>
      <c r="EKR15" s="84"/>
      <c r="EKS15" s="84"/>
      <c r="EKT15" s="84"/>
      <c r="EKU15" s="84"/>
      <c r="EKV15" s="84"/>
      <c r="EKW15" s="84"/>
      <c r="EKX15" s="84"/>
      <c r="EKY15" s="84"/>
      <c r="EKZ15" s="84"/>
      <c r="ELA15" s="84"/>
      <c r="ELB15" s="84"/>
      <c r="ELC15" s="84"/>
      <c r="ELD15" s="84"/>
      <c r="ELE15" s="84"/>
      <c r="ELF15" s="84"/>
      <c r="ELG15" s="84"/>
      <c r="ELH15" s="84"/>
      <c r="ELI15" s="84"/>
      <c r="ELJ15" s="84"/>
      <c r="ELK15" s="84"/>
      <c r="ELL15" s="84"/>
      <c r="ELM15" s="84"/>
      <c r="ELN15" s="84"/>
      <c r="ELO15" s="84"/>
      <c r="ELP15" s="84"/>
      <c r="ELQ15" s="84"/>
      <c r="ELR15" s="84"/>
      <c r="ELS15" s="84"/>
      <c r="ELT15" s="84"/>
      <c r="ELU15" s="84"/>
      <c r="ELV15" s="84"/>
      <c r="ELW15" s="84"/>
      <c r="ELX15" s="84"/>
      <c r="ELY15" s="84"/>
      <c r="ELZ15" s="84"/>
      <c r="EMA15" s="84"/>
      <c r="EMB15" s="84"/>
      <c r="EMC15" s="84"/>
      <c r="EMD15" s="84"/>
      <c r="EME15" s="84"/>
      <c r="EMF15" s="84"/>
      <c r="EMG15" s="84"/>
      <c r="EMH15" s="84"/>
      <c r="EMI15" s="84"/>
      <c r="EMJ15" s="84"/>
      <c r="EMK15" s="84"/>
      <c r="EML15" s="84"/>
      <c r="EMM15" s="84"/>
      <c r="EMN15" s="84"/>
      <c r="EMO15" s="84"/>
      <c r="EMP15" s="84"/>
      <c r="EMQ15" s="84"/>
      <c r="EMR15" s="84"/>
      <c r="EMS15" s="84"/>
      <c r="EMT15" s="84"/>
      <c r="EMU15" s="84"/>
      <c r="EMV15" s="84"/>
      <c r="EMW15" s="84"/>
      <c r="EMX15" s="84"/>
      <c r="EMY15" s="84"/>
      <c r="EMZ15" s="84"/>
      <c r="ENA15" s="84"/>
      <c r="ENB15" s="84"/>
      <c r="ENC15" s="84"/>
      <c r="END15" s="84"/>
      <c r="ENE15" s="84"/>
      <c r="ENF15" s="84"/>
      <c r="ENG15" s="84"/>
      <c r="ENH15" s="84"/>
      <c r="ENI15" s="84"/>
      <c r="ENJ15" s="84"/>
      <c r="ENK15" s="84"/>
      <c r="ENL15" s="84"/>
      <c r="ENM15" s="84"/>
      <c r="ENN15" s="84"/>
      <c r="ENO15" s="84"/>
      <c r="ENP15" s="84"/>
      <c r="ENQ15" s="84"/>
      <c r="ENR15" s="84"/>
      <c r="ENS15" s="84"/>
      <c r="ENT15" s="84"/>
      <c r="ENU15" s="84"/>
      <c r="ENV15" s="84"/>
      <c r="ENW15" s="84"/>
      <c r="ENX15" s="84"/>
      <c r="ENY15" s="84"/>
      <c r="ENZ15" s="84"/>
      <c r="EOA15" s="84"/>
      <c r="EOB15" s="84"/>
      <c r="EOC15" s="84"/>
      <c r="EOD15" s="84"/>
      <c r="EOE15" s="84"/>
      <c r="EOF15" s="84"/>
      <c r="EOG15" s="84"/>
      <c r="EOH15" s="84"/>
      <c r="EOI15" s="84"/>
      <c r="EOJ15" s="84"/>
      <c r="EOK15" s="84"/>
      <c r="EOL15" s="84"/>
      <c r="EOM15" s="84"/>
      <c r="EON15" s="84"/>
      <c r="EOO15" s="84"/>
      <c r="EOP15" s="84"/>
      <c r="EOQ15" s="84"/>
      <c r="EOR15" s="84"/>
      <c r="EOS15" s="84"/>
      <c r="EOT15" s="84"/>
      <c r="EOU15" s="84"/>
      <c r="EOV15" s="84"/>
      <c r="EOW15" s="84"/>
      <c r="EOX15" s="84"/>
      <c r="EOY15" s="84"/>
      <c r="EOZ15" s="84"/>
      <c r="EPA15" s="84"/>
      <c r="EPB15" s="84"/>
      <c r="EPC15" s="84"/>
      <c r="EPD15" s="84"/>
      <c r="EPE15" s="84"/>
      <c r="EPF15" s="84"/>
      <c r="EPG15" s="84"/>
      <c r="EPH15" s="84"/>
      <c r="EPI15" s="84"/>
      <c r="EPJ15" s="84"/>
      <c r="EPK15" s="84"/>
      <c r="EPL15" s="84"/>
      <c r="EPM15" s="84"/>
      <c r="EPN15" s="84"/>
      <c r="EPO15" s="84"/>
      <c r="EPP15" s="84"/>
      <c r="EPQ15" s="84"/>
      <c r="EPR15" s="84"/>
      <c r="EPS15" s="84"/>
      <c r="EPT15" s="84"/>
      <c r="EPU15" s="84"/>
      <c r="EPV15" s="84"/>
      <c r="EPW15" s="84"/>
      <c r="EPX15" s="84"/>
      <c r="EPY15" s="84"/>
      <c r="EPZ15" s="84"/>
      <c r="EQA15" s="84"/>
      <c r="EQB15" s="84"/>
      <c r="EQC15" s="84"/>
      <c r="EQD15" s="84"/>
      <c r="EQE15" s="84"/>
      <c r="EQF15" s="84"/>
      <c r="EQG15" s="84"/>
      <c r="EQH15" s="84"/>
      <c r="EQI15" s="84"/>
      <c r="EQJ15" s="84"/>
      <c r="EQK15" s="84"/>
      <c r="EQL15" s="84"/>
      <c r="EQM15" s="84"/>
      <c r="EQN15" s="84"/>
      <c r="EQO15" s="84"/>
      <c r="EQP15" s="84"/>
      <c r="EQQ15" s="84"/>
      <c r="EQR15" s="84"/>
      <c r="EQS15" s="84"/>
      <c r="EQT15" s="84"/>
      <c r="EQU15" s="84"/>
      <c r="EQV15" s="84"/>
      <c r="EQW15" s="84"/>
      <c r="EQX15" s="84"/>
      <c r="EQY15" s="84"/>
      <c r="EQZ15" s="84"/>
      <c r="ERA15" s="84"/>
      <c r="ERB15" s="84"/>
      <c r="ERC15" s="84"/>
      <c r="ERD15" s="84"/>
      <c r="ERE15" s="84"/>
      <c r="ERF15" s="84"/>
      <c r="ERG15" s="84"/>
      <c r="ERH15" s="84"/>
      <c r="ERI15" s="84"/>
      <c r="ERJ15" s="84"/>
      <c r="ERK15" s="84"/>
      <c r="ERL15" s="84"/>
      <c r="ERM15" s="84"/>
      <c r="ERN15" s="84"/>
      <c r="ERO15" s="84"/>
      <c r="ERP15" s="84"/>
      <c r="ERQ15" s="84"/>
      <c r="ERR15" s="84"/>
      <c r="ERS15" s="84"/>
      <c r="ERT15" s="84"/>
      <c r="ERU15" s="84"/>
      <c r="ERV15" s="84"/>
      <c r="ERW15" s="84"/>
      <c r="ERX15" s="84"/>
      <c r="ERY15" s="84"/>
      <c r="ERZ15" s="84"/>
      <c r="ESA15" s="84"/>
      <c r="ESB15" s="84"/>
      <c r="ESC15" s="84"/>
      <c r="ESD15" s="84"/>
      <c r="ESE15" s="84"/>
      <c r="ESF15" s="84"/>
      <c r="ESG15" s="84"/>
      <c r="ESH15" s="84"/>
      <c r="ESI15" s="84"/>
      <c r="ESJ15" s="84"/>
      <c r="ESK15" s="84"/>
      <c r="ESL15" s="84"/>
      <c r="ESM15" s="84"/>
      <c r="ESN15" s="84"/>
      <c r="ESO15" s="84"/>
      <c r="ESP15" s="84"/>
      <c r="ESQ15" s="84"/>
      <c r="ESR15" s="84"/>
      <c r="ESS15" s="84"/>
      <c r="EST15" s="84"/>
      <c r="ESU15" s="84"/>
      <c r="ESV15" s="84"/>
      <c r="ESW15" s="84"/>
      <c r="ESX15" s="84"/>
      <c r="ESY15" s="84"/>
      <c r="ESZ15" s="84"/>
      <c r="ETA15" s="84"/>
      <c r="ETB15" s="84"/>
      <c r="ETC15" s="84"/>
      <c r="ETD15" s="84"/>
      <c r="ETE15" s="84"/>
      <c r="ETF15" s="84"/>
      <c r="ETG15" s="84"/>
      <c r="ETH15" s="84"/>
      <c r="ETI15" s="84"/>
      <c r="ETJ15" s="84"/>
      <c r="ETK15" s="84"/>
      <c r="ETL15" s="84"/>
      <c r="ETM15" s="84"/>
      <c r="ETN15" s="84"/>
      <c r="ETO15" s="84"/>
      <c r="ETP15" s="84"/>
      <c r="ETQ15" s="84"/>
      <c r="ETR15" s="84"/>
      <c r="ETS15" s="84"/>
      <c r="ETT15" s="84"/>
      <c r="ETU15" s="84"/>
      <c r="ETV15" s="84"/>
      <c r="ETW15" s="84"/>
      <c r="ETX15" s="84"/>
      <c r="ETY15" s="84"/>
      <c r="ETZ15" s="84"/>
      <c r="EUA15" s="84"/>
      <c r="EUB15" s="84"/>
      <c r="EUC15" s="84"/>
      <c r="EUD15" s="84"/>
      <c r="EUE15" s="84"/>
      <c r="EUF15" s="84"/>
      <c r="EUG15" s="84"/>
      <c r="EUH15" s="84"/>
      <c r="EUI15" s="84"/>
      <c r="EUJ15" s="84"/>
      <c r="EUK15" s="84"/>
      <c r="EUL15" s="84"/>
      <c r="EUM15" s="84"/>
      <c r="EUN15" s="84"/>
      <c r="EUO15" s="84"/>
      <c r="EUP15" s="84"/>
      <c r="EUQ15" s="84"/>
      <c r="EUR15" s="84"/>
      <c r="EUS15" s="84"/>
      <c r="EUT15" s="84"/>
      <c r="EUU15" s="84"/>
      <c r="EUV15" s="84"/>
      <c r="EUW15" s="84"/>
      <c r="EUX15" s="84"/>
      <c r="EUY15" s="84"/>
      <c r="EUZ15" s="84"/>
      <c r="EVA15" s="84"/>
      <c r="EVB15" s="84"/>
      <c r="EVC15" s="84"/>
      <c r="EVD15" s="84"/>
      <c r="EVE15" s="84"/>
      <c r="EVF15" s="84"/>
      <c r="EVG15" s="84"/>
      <c r="EVH15" s="84"/>
      <c r="EVI15" s="84"/>
      <c r="EVJ15" s="84"/>
      <c r="EVK15" s="84"/>
      <c r="EVL15" s="84"/>
      <c r="EVM15" s="84"/>
      <c r="EVN15" s="84"/>
      <c r="EVO15" s="84"/>
      <c r="EVP15" s="84"/>
      <c r="EVQ15" s="84"/>
      <c r="EVR15" s="84"/>
      <c r="EVS15" s="84"/>
      <c r="EVT15" s="84"/>
      <c r="EVU15" s="84"/>
      <c r="EVV15" s="84"/>
      <c r="EVW15" s="84"/>
      <c r="EVX15" s="84"/>
      <c r="EVY15" s="84"/>
      <c r="EVZ15" s="84"/>
      <c r="EWA15" s="84"/>
      <c r="EWB15" s="84"/>
      <c r="EWC15" s="84"/>
      <c r="EWD15" s="84"/>
      <c r="EWE15" s="84"/>
      <c r="EWF15" s="84"/>
      <c r="EWG15" s="84"/>
      <c r="EWH15" s="84"/>
      <c r="EWI15" s="84"/>
      <c r="EWJ15" s="84"/>
      <c r="EWK15" s="84"/>
      <c r="EWL15" s="84"/>
      <c r="EWM15" s="84"/>
      <c r="EWN15" s="84"/>
      <c r="EWO15" s="84"/>
      <c r="EWP15" s="84"/>
      <c r="EWQ15" s="84"/>
      <c r="EWR15" s="84"/>
      <c r="EWS15" s="84"/>
      <c r="EWT15" s="84"/>
      <c r="EWU15" s="84"/>
      <c r="EWV15" s="84"/>
      <c r="EWW15" s="84"/>
      <c r="EWX15" s="84"/>
      <c r="EWY15" s="84"/>
      <c r="EWZ15" s="84"/>
      <c r="EXA15" s="84"/>
      <c r="EXB15" s="84"/>
      <c r="EXC15" s="84"/>
      <c r="EXD15" s="84"/>
      <c r="EXE15" s="84"/>
      <c r="EXF15" s="84"/>
      <c r="EXG15" s="84"/>
      <c r="EXH15" s="84"/>
      <c r="EXI15" s="84"/>
      <c r="EXJ15" s="84"/>
      <c r="EXK15" s="84"/>
      <c r="EXL15" s="84"/>
      <c r="EXM15" s="84"/>
      <c r="EXN15" s="84"/>
      <c r="EXO15" s="84"/>
      <c r="EXP15" s="84"/>
      <c r="EXQ15" s="84"/>
      <c r="EXR15" s="84"/>
      <c r="EXS15" s="84"/>
      <c r="EXT15" s="84"/>
      <c r="EXU15" s="84"/>
      <c r="EXV15" s="84"/>
      <c r="EXW15" s="84"/>
      <c r="EXX15" s="84"/>
      <c r="EXY15" s="84"/>
      <c r="EXZ15" s="84"/>
      <c r="EYA15" s="84"/>
      <c r="EYB15" s="84"/>
      <c r="EYC15" s="84"/>
      <c r="EYD15" s="84"/>
      <c r="EYE15" s="84"/>
      <c r="EYF15" s="84"/>
      <c r="EYG15" s="84"/>
      <c r="EYH15" s="84"/>
      <c r="EYI15" s="84"/>
      <c r="EYJ15" s="84"/>
      <c r="EYK15" s="84"/>
      <c r="EYL15" s="84"/>
      <c r="EYM15" s="84"/>
      <c r="EYN15" s="84"/>
      <c r="EYO15" s="84"/>
      <c r="EYP15" s="84"/>
      <c r="EYQ15" s="84"/>
      <c r="EYR15" s="84"/>
      <c r="EYS15" s="84"/>
      <c r="EYT15" s="84"/>
      <c r="EYU15" s="84"/>
      <c r="EYV15" s="84"/>
      <c r="EYW15" s="84"/>
      <c r="EYX15" s="84"/>
      <c r="EYY15" s="84"/>
      <c r="EYZ15" s="84"/>
      <c r="EZA15" s="84"/>
      <c r="EZB15" s="84"/>
      <c r="EZC15" s="84"/>
      <c r="EZD15" s="84"/>
      <c r="EZE15" s="84"/>
      <c r="EZF15" s="84"/>
      <c r="EZG15" s="84"/>
      <c r="EZH15" s="84"/>
      <c r="EZI15" s="84"/>
      <c r="EZJ15" s="84"/>
      <c r="EZK15" s="84"/>
      <c r="EZL15" s="84"/>
      <c r="EZM15" s="84"/>
      <c r="EZN15" s="84"/>
      <c r="EZO15" s="84"/>
      <c r="EZP15" s="84"/>
      <c r="EZQ15" s="84"/>
      <c r="EZR15" s="84"/>
      <c r="EZS15" s="84"/>
      <c r="EZT15" s="84"/>
      <c r="EZU15" s="84"/>
      <c r="EZV15" s="84"/>
      <c r="EZW15" s="84"/>
      <c r="EZX15" s="84"/>
      <c r="EZY15" s="84"/>
      <c r="EZZ15" s="84"/>
      <c r="FAA15" s="84"/>
      <c r="FAB15" s="84"/>
      <c r="FAC15" s="84"/>
      <c r="FAD15" s="84"/>
      <c r="FAE15" s="84"/>
      <c r="FAF15" s="84"/>
      <c r="FAG15" s="84"/>
      <c r="FAH15" s="84"/>
      <c r="FAI15" s="84"/>
      <c r="FAJ15" s="84"/>
      <c r="FAK15" s="84"/>
      <c r="FAL15" s="84"/>
      <c r="FAM15" s="84"/>
      <c r="FAN15" s="84"/>
      <c r="FAO15" s="84"/>
      <c r="FAP15" s="84"/>
      <c r="FAQ15" s="84"/>
      <c r="FAR15" s="84"/>
      <c r="FAS15" s="84"/>
      <c r="FAT15" s="84"/>
      <c r="FAU15" s="84"/>
      <c r="FAV15" s="84"/>
      <c r="FAW15" s="84"/>
      <c r="FAX15" s="84"/>
      <c r="FAY15" s="84"/>
      <c r="FAZ15" s="84"/>
      <c r="FBA15" s="84"/>
      <c r="FBB15" s="84"/>
      <c r="FBC15" s="84"/>
      <c r="FBD15" s="84"/>
      <c r="FBE15" s="84"/>
      <c r="FBF15" s="84"/>
      <c r="FBG15" s="84"/>
      <c r="FBH15" s="84"/>
      <c r="FBI15" s="84"/>
      <c r="FBJ15" s="84"/>
      <c r="FBK15" s="84"/>
      <c r="FBL15" s="84"/>
      <c r="FBM15" s="84"/>
      <c r="FBN15" s="84"/>
      <c r="FBO15" s="84"/>
      <c r="FBP15" s="84"/>
      <c r="FBQ15" s="84"/>
      <c r="FBR15" s="84"/>
      <c r="FBS15" s="84"/>
      <c r="FBT15" s="84"/>
      <c r="FBU15" s="84"/>
      <c r="FBV15" s="84"/>
      <c r="FBW15" s="84"/>
      <c r="FBX15" s="84"/>
      <c r="FBY15" s="84"/>
      <c r="FBZ15" s="84"/>
      <c r="FCA15" s="84"/>
      <c r="FCB15" s="84"/>
      <c r="FCC15" s="84"/>
      <c r="FCD15" s="84"/>
      <c r="FCE15" s="84"/>
      <c r="FCF15" s="84"/>
      <c r="FCG15" s="84"/>
      <c r="FCH15" s="84"/>
      <c r="FCI15" s="84"/>
      <c r="FCJ15" s="84"/>
      <c r="FCK15" s="84"/>
      <c r="FCL15" s="84"/>
      <c r="FCM15" s="84"/>
      <c r="FCN15" s="84"/>
      <c r="FCO15" s="84"/>
      <c r="FCP15" s="84"/>
      <c r="FCQ15" s="84"/>
      <c r="FCR15" s="84"/>
      <c r="FCS15" s="84"/>
      <c r="FCT15" s="84"/>
      <c r="FCU15" s="84"/>
      <c r="FCV15" s="84"/>
      <c r="FCW15" s="84"/>
      <c r="FCX15" s="84"/>
      <c r="FCY15" s="84"/>
      <c r="FCZ15" s="84"/>
      <c r="FDA15" s="84"/>
      <c r="FDB15" s="84"/>
      <c r="FDC15" s="84"/>
      <c r="FDD15" s="84"/>
      <c r="FDE15" s="84"/>
      <c r="FDF15" s="84"/>
      <c r="FDG15" s="84"/>
      <c r="FDH15" s="84"/>
      <c r="FDI15" s="84"/>
      <c r="FDJ15" s="84"/>
      <c r="FDK15" s="84"/>
      <c r="FDL15" s="84"/>
      <c r="FDM15" s="84"/>
      <c r="FDN15" s="84"/>
      <c r="FDO15" s="84"/>
      <c r="FDP15" s="84"/>
      <c r="FDQ15" s="84"/>
      <c r="FDR15" s="84"/>
      <c r="FDS15" s="84"/>
      <c r="FDT15" s="84"/>
      <c r="FDU15" s="84"/>
      <c r="FDV15" s="84"/>
      <c r="FDW15" s="84"/>
      <c r="FDX15" s="84"/>
      <c r="FDY15" s="84"/>
      <c r="FDZ15" s="84"/>
      <c r="FEA15" s="84"/>
      <c r="FEB15" s="84"/>
      <c r="FEC15" s="84"/>
      <c r="FED15" s="84"/>
      <c r="FEE15" s="84"/>
      <c r="FEF15" s="84"/>
      <c r="FEG15" s="84"/>
      <c r="FEH15" s="84"/>
      <c r="FEI15" s="84"/>
      <c r="FEJ15" s="84"/>
      <c r="FEK15" s="84"/>
      <c r="FEL15" s="84"/>
      <c r="FEM15" s="84"/>
      <c r="FEN15" s="84"/>
      <c r="FEO15" s="84"/>
      <c r="FEP15" s="84"/>
      <c r="FEQ15" s="84"/>
      <c r="FER15" s="84"/>
      <c r="FES15" s="84"/>
      <c r="FET15" s="84"/>
      <c r="FEU15" s="84"/>
      <c r="FEV15" s="84"/>
      <c r="FEW15" s="84"/>
      <c r="FEX15" s="84"/>
      <c r="FEY15" s="84"/>
      <c r="FEZ15" s="84"/>
      <c r="FFA15" s="84"/>
      <c r="FFB15" s="84"/>
      <c r="FFC15" s="84"/>
      <c r="FFD15" s="84"/>
      <c r="FFE15" s="84"/>
      <c r="FFF15" s="84"/>
      <c r="FFG15" s="84"/>
      <c r="FFH15" s="84"/>
      <c r="FFI15" s="84"/>
      <c r="FFJ15" s="84"/>
      <c r="FFK15" s="84"/>
      <c r="FFL15" s="84"/>
      <c r="FFM15" s="84"/>
      <c r="FFN15" s="84"/>
      <c r="FFO15" s="84"/>
      <c r="FFP15" s="84"/>
      <c r="FFQ15" s="84"/>
      <c r="FFR15" s="84"/>
      <c r="FFS15" s="84"/>
      <c r="FFT15" s="84"/>
      <c r="FFU15" s="84"/>
      <c r="FFV15" s="84"/>
      <c r="FFW15" s="84"/>
      <c r="FFX15" s="84"/>
      <c r="FFY15" s="84"/>
      <c r="FFZ15" s="84"/>
      <c r="FGA15" s="84"/>
      <c r="FGB15" s="84"/>
      <c r="FGC15" s="84"/>
      <c r="FGD15" s="84"/>
      <c r="FGE15" s="84"/>
      <c r="FGF15" s="84"/>
      <c r="FGG15" s="84"/>
      <c r="FGH15" s="84"/>
      <c r="FGI15" s="84"/>
      <c r="FGJ15" s="84"/>
      <c r="FGK15" s="84"/>
      <c r="FGL15" s="84"/>
      <c r="FGM15" s="84"/>
      <c r="FGN15" s="84"/>
      <c r="FGO15" s="84"/>
      <c r="FGP15" s="84"/>
      <c r="FGQ15" s="84"/>
      <c r="FGR15" s="84"/>
      <c r="FGS15" s="84"/>
      <c r="FGT15" s="84"/>
      <c r="FGU15" s="84"/>
      <c r="FGV15" s="84"/>
      <c r="FGW15" s="84"/>
      <c r="FGX15" s="84"/>
      <c r="FGY15" s="84"/>
      <c r="FGZ15" s="84"/>
      <c r="FHA15" s="84"/>
      <c r="FHB15" s="84"/>
      <c r="FHC15" s="84"/>
      <c r="FHD15" s="84"/>
      <c r="FHE15" s="84"/>
      <c r="FHF15" s="84"/>
      <c r="FHG15" s="84"/>
      <c r="FHH15" s="84"/>
      <c r="FHI15" s="84"/>
      <c r="FHJ15" s="84"/>
      <c r="FHK15" s="84"/>
      <c r="FHL15" s="84"/>
      <c r="FHM15" s="84"/>
      <c r="FHN15" s="84"/>
      <c r="FHO15" s="84"/>
      <c r="FHP15" s="84"/>
      <c r="FHQ15" s="84"/>
      <c r="FHR15" s="84"/>
      <c r="FHS15" s="84"/>
      <c r="FHT15" s="84"/>
      <c r="FHU15" s="84"/>
      <c r="FHV15" s="84"/>
      <c r="FHW15" s="84"/>
      <c r="FHX15" s="84"/>
      <c r="FHY15" s="84"/>
      <c r="FHZ15" s="84"/>
      <c r="FIA15" s="84"/>
      <c r="FIB15" s="84"/>
      <c r="FIC15" s="84"/>
      <c r="FID15" s="84"/>
      <c r="FIE15" s="84"/>
      <c r="FIF15" s="84"/>
      <c r="FIG15" s="84"/>
      <c r="FIH15" s="84"/>
      <c r="FII15" s="84"/>
      <c r="FIJ15" s="84"/>
      <c r="FIK15" s="84"/>
      <c r="FIL15" s="84"/>
      <c r="FIM15" s="84"/>
      <c r="FIN15" s="84"/>
      <c r="FIO15" s="84"/>
      <c r="FIP15" s="84"/>
      <c r="FIQ15" s="84"/>
      <c r="FIR15" s="84"/>
      <c r="FIS15" s="84"/>
      <c r="FIT15" s="84"/>
      <c r="FIU15" s="84"/>
      <c r="FIV15" s="84"/>
      <c r="FIW15" s="84"/>
      <c r="FIX15" s="84"/>
      <c r="FIY15" s="84"/>
      <c r="FIZ15" s="84"/>
      <c r="FJA15" s="84"/>
      <c r="FJB15" s="84"/>
      <c r="FJC15" s="84"/>
      <c r="FJD15" s="84"/>
      <c r="FJE15" s="84"/>
      <c r="FJF15" s="84"/>
      <c r="FJG15" s="84"/>
      <c r="FJH15" s="84"/>
      <c r="FJI15" s="84"/>
      <c r="FJJ15" s="84"/>
      <c r="FJK15" s="84"/>
      <c r="FJL15" s="84"/>
      <c r="FJM15" s="84"/>
      <c r="FJN15" s="84"/>
      <c r="FJO15" s="84"/>
      <c r="FJP15" s="84"/>
      <c r="FJQ15" s="84"/>
      <c r="FJR15" s="84"/>
      <c r="FJS15" s="84"/>
      <c r="FJT15" s="84"/>
      <c r="FJU15" s="84"/>
      <c r="FJV15" s="84"/>
      <c r="FJW15" s="84"/>
      <c r="FJX15" s="84"/>
      <c r="FJY15" s="84"/>
      <c r="FJZ15" s="84"/>
      <c r="FKA15" s="84"/>
      <c r="FKB15" s="84"/>
      <c r="FKC15" s="84"/>
      <c r="FKD15" s="84"/>
      <c r="FKE15" s="84"/>
      <c r="FKF15" s="84"/>
      <c r="FKG15" s="84"/>
      <c r="FKH15" s="84"/>
      <c r="FKI15" s="84"/>
      <c r="FKJ15" s="84"/>
      <c r="FKK15" s="84"/>
      <c r="FKL15" s="84"/>
      <c r="FKM15" s="84"/>
      <c r="FKN15" s="84"/>
      <c r="FKO15" s="84"/>
      <c r="FKP15" s="84"/>
      <c r="FKQ15" s="84"/>
      <c r="FKR15" s="84"/>
      <c r="FKS15" s="84"/>
      <c r="FKT15" s="84"/>
      <c r="FKU15" s="84"/>
      <c r="FKV15" s="84"/>
      <c r="FKW15" s="84"/>
      <c r="FKX15" s="84"/>
      <c r="FKY15" s="84"/>
      <c r="FKZ15" s="84"/>
      <c r="FLA15" s="84"/>
      <c r="FLB15" s="84"/>
      <c r="FLC15" s="84"/>
      <c r="FLD15" s="84"/>
      <c r="FLE15" s="84"/>
      <c r="FLF15" s="84"/>
      <c r="FLG15" s="84"/>
      <c r="FLH15" s="84"/>
      <c r="FLI15" s="84"/>
      <c r="FLJ15" s="84"/>
      <c r="FLK15" s="84"/>
      <c r="FLL15" s="84"/>
      <c r="FLM15" s="84"/>
      <c r="FLN15" s="84"/>
      <c r="FLO15" s="84"/>
      <c r="FLP15" s="84"/>
      <c r="FLQ15" s="84"/>
      <c r="FLR15" s="84"/>
      <c r="FLS15" s="84"/>
      <c r="FLT15" s="84"/>
      <c r="FLU15" s="84"/>
      <c r="FLV15" s="84"/>
      <c r="FLW15" s="84"/>
      <c r="FLX15" s="84"/>
      <c r="FLY15" s="84"/>
      <c r="FLZ15" s="84"/>
      <c r="FMA15" s="84"/>
      <c r="FMB15" s="84"/>
      <c r="FMC15" s="84"/>
      <c r="FMD15" s="84"/>
      <c r="FME15" s="84"/>
      <c r="FMF15" s="84"/>
      <c r="FMG15" s="84"/>
      <c r="FMH15" s="84"/>
      <c r="FMI15" s="84"/>
      <c r="FMJ15" s="84"/>
      <c r="FMK15" s="84"/>
      <c r="FML15" s="84"/>
      <c r="FMM15" s="84"/>
      <c r="FMN15" s="84"/>
      <c r="FMO15" s="84"/>
      <c r="FMP15" s="84"/>
      <c r="FMQ15" s="84"/>
      <c r="FMR15" s="84"/>
      <c r="FMS15" s="84"/>
      <c r="FMT15" s="84"/>
      <c r="FMU15" s="84"/>
      <c r="FMV15" s="84"/>
      <c r="FMW15" s="84"/>
      <c r="FMX15" s="84"/>
      <c r="FMY15" s="84"/>
      <c r="FMZ15" s="84"/>
      <c r="FNA15" s="84"/>
      <c r="FNB15" s="84"/>
      <c r="FNC15" s="84"/>
      <c r="FND15" s="84"/>
      <c r="FNE15" s="84"/>
      <c r="FNF15" s="84"/>
      <c r="FNG15" s="84"/>
      <c r="FNH15" s="84"/>
      <c r="FNI15" s="84"/>
      <c r="FNJ15" s="84"/>
      <c r="FNK15" s="84"/>
      <c r="FNL15" s="84"/>
      <c r="FNM15" s="84"/>
      <c r="FNN15" s="84"/>
      <c r="FNO15" s="84"/>
      <c r="FNP15" s="84"/>
      <c r="FNQ15" s="84"/>
      <c r="FNR15" s="84"/>
      <c r="FNS15" s="84"/>
      <c r="FNT15" s="84"/>
      <c r="FNU15" s="84"/>
      <c r="FNV15" s="84"/>
      <c r="FNW15" s="84"/>
      <c r="FNX15" s="84"/>
      <c r="FNY15" s="84"/>
      <c r="FNZ15" s="84"/>
      <c r="FOA15" s="84"/>
      <c r="FOB15" s="84"/>
      <c r="FOC15" s="84"/>
      <c r="FOD15" s="84"/>
      <c r="FOE15" s="84"/>
      <c r="FOF15" s="84"/>
      <c r="FOG15" s="84"/>
      <c r="FOH15" s="84"/>
      <c r="FOI15" s="84"/>
      <c r="FOJ15" s="84"/>
      <c r="FOK15" s="84"/>
      <c r="FOL15" s="84"/>
      <c r="FOM15" s="84"/>
      <c r="FON15" s="84"/>
      <c r="FOO15" s="84"/>
      <c r="FOP15" s="84"/>
      <c r="FOQ15" s="84"/>
      <c r="FOR15" s="84"/>
      <c r="FOS15" s="84"/>
      <c r="FOT15" s="84"/>
      <c r="FOU15" s="84"/>
      <c r="FOV15" s="84"/>
      <c r="FOW15" s="84"/>
      <c r="FOX15" s="84"/>
      <c r="FOY15" s="84"/>
      <c r="FOZ15" s="84"/>
      <c r="FPA15" s="84"/>
      <c r="FPB15" s="84"/>
      <c r="FPC15" s="84"/>
      <c r="FPD15" s="84"/>
      <c r="FPE15" s="84"/>
      <c r="FPF15" s="84"/>
      <c r="FPG15" s="84"/>
      <c r="FPH15" s="84"/>
      <c r="FPI15" s="84"/>
      <c r="FPJ15" s="84"/>
      <c r="FPK15" s="84"/>
      <c r="FPL15" s="84"/>
      <c r="FPM15" s="84"/>
      <c r="FPN15" s="84"/>
      <c r="FPO15" s="84"/>
      <c r="FPP15" s="84"/>
      <c r="FPQ15" s="84"/>
      <c r="FPR15" s="84"/>
      <c r="FPS15" s="84"/>
      <c r="FPT15" s="84"/>
      <c r="FPU15" s="84"/>
      <c r="FPV15" s="84"/>
      <c r="FPW15" s="84"/>
      <c r="FPX15" s="84"/>
      <c r="FPY15" s="84"/>
      <c r="FPZ15" s="84"/>
      <c r="FQA15" s="84"/>
      <c r="FQB15" s="84"/>
      <c r="FQC15" s="84"/>
      <c r="FQD15" s="84"/>
      <c r="FQE15" s="84"/>
      <c r="FQF15" s="84"/>
      <c r="FQG15" s="84"/>
      <c r="FQH15" s="84"/>
      <c r="FQI15" s="84"/>
      <c r="FQJ15" s="84"/>
      <c r="FQK15" s="84"/>
      <c r="FQL15" s="84"/>
      <c r="FQM15" s="84"/>
      <c r="FQN15" s="84"/>
      <c r="FQO15" s="84"/>
      <c r="FQP15" s="84"/>
      <c r="FQQ15" s="84"/>
      <c r="FQR15" s="84"/>
      <c r="FQS15" s="84"/>
      <c r="FQT15" s="84"/>
      <c r="FQU15" s="84"/>
      <c r="FQV15" s="84"/>
      <c r="FQW15" s="84"/>
      <c r="FQX15" s="84"/>
      <c r="FQY15" s="84"/>
      <c r="FQZ15" s="84"/>
      <c r="FRA15" s="84"/>
      <c r="FRB15" s="84"/>
      <c r="FRC15" s="84"/>
      <c r="FRD15" s="84"/>
      <c r="FRE15" s="84"/>
      <c r="FRF15" s="84"/>
      <c r="FRG15" s="84"/>
      <c r="FRH15" s="84"/>
      <c r="FRI15" s="84"/>
      <c r="FRJ15" s="84"/>
      <c r="FRK15" s="84"/>
      <c r="FRL15" s="84"/>
      <c r="FRM15" s="84"/>
      <c r="FRN15" s="84"/>
      <c r="FRO15" s="84"/>
      <c r="FRP15" s="84"/>
      <c r="FRQ15" s="84"/>
      <c r="FRR15" s="84"/>
      <c r="FRS15" s="84"/>
      <c r="FRT15" s="84"/>
      <c r="FRU15" s="84"/>
      <c r="FRV15" s="84"/>
      <c r="FRW15" s="84"/>
      <c r="FRX15" s="84"/>
      <c r="FRY15" s="84"/>
      <c r="FRZ15" s="84"/>
      <c r="FSA15" s="84"/>
      <c r="FSB15" s="84"/>
      <c r="FSC15" s="84"/>
      <c r="FSD15" s="84"/>
      <c r="FSE15" s="84"/>
      <c r="FSF15" s="84"/>
      <c r="FSG15" s="84"/>
      <c r="FSH15" s="84"/>
      <c r="FSI15" s="84"/>
      <c r="FSJ15" s="84"/>
      <c r="FSK15" s="84"/>
      <c r="FSL15" s="84"/>
      <c r="FSM15" s="84"/>
      <c r="FSN15" s="84"/>
      <c r="FSO15" s="84"/>
      <c r="FSP15" s="84"/>
      <c r="FSQ15" s="84"/>
      <c r="FSR15" s="84"/>
      <c r="FSS15" s="84"/>
      <c r="FST15" s="84"/>
      <c r="FSU15" s="84"/>
      <c r="FSV15" s="84"/>
      <c r="FSW15" s="84"/>
      <c r="FSX15" s="84"/>
      <c r="FSY15" s="84"/>
      <c r="FSZ15" s="84"/>
      <c r="FTA15" s="84"/>
      <c r="FTB15" s="84"/>
      <c r="FTC15" s="84"/>
      <c r="FTD15" s="84"/>
      <c r="FTE15" s="84"/>
      <c r="FTF15" s="84"/>
      <c r="FTG15" s="84"/>
      <c r="FTH15" s="84"/>
      <c r="FTI15" s="84"/>
      <c r="FTJ15" s="84"/>
      <c r="FTK15" s="84"/>
      <c r="FTL15" s="84"/>
      <c r="FTM15" s="84"/>
      <c r="FTN15" s="84"/>
      <c r="FTO15" s="84"/>
      <c r="FTP15" s="84"/>
      <c r="FTQ15" s="84"/>
      <c r="FTR15" s="84"/>
      <c r="FTS15" s="84"/>
      <c r="FTT15" s="84"/>
      <c r="FTU15" s="84"/>
      <c r="FTV15" s="84"/>
      <c r="FTW15" s="84"/>
      <c r="FTX15" s="84"/>
      <c r="FTY15" s="84"/>
      <c r="FTZ15" s="84"/>
      <c r="FUA15" s="84"/>
      <c r="FUB15" s="84"/>
      <c r="FUC15" s="84"/>
      <c r="FUD15" s="84"/>
      <c r="FUE15" s="84"/>
      <c r="FUF15" s="84"/>
      <c r="FUG15" s="84"/>
      <c r="FUH15" s="84"/>
      <c r="FUI15" s="84"/>
      <c r="FUJ15" s="84"/>
      <c r="FUK15" s="84"/>
      <c r="FUL15" s="84"/>
      <c r="FUM15" s="84"/>
      <c r="FUN15" s="84"/>
      <c r="FUO15" s="84"/>
      <c r="FUP15" s="84"/>
      <c r="FUQ15" s="84"/>
      <c r="FUR15" s="84"/>
      <c r="FUS15" s="84"/>
      <c r="FUT15" s="84"/>
      <c r="FUU15" s="84"/>
      <c r="FUV15" s="84"/>
      <c r="FUW15" s="84"/>
      <c r="FUX15" s="84"/>
      <c r="FUY15" s="84"/>
      <c r="FUZ15" s="84"/>
      <c r="FVA15" s="84"/>
      <c r="FVB15" s="84"/>
      <c r="FVC15" s="84"/>
      <c r="FVD15" s="84"/>
      <c r="FVE15" s="84"/>
      <c r="FVF15" s="84"/>
      <c r="FVG15" s="84"/>
      <c r="FVH15" s="84"/>
      <c r="FVI15" s="84"/>
      <c r="FVJ15" s="84"/>
      <c r="FVK15" s="84"/>
      <c r="FVL15" s="84"/>
      <c r="FVM15" s="84"/>
      <c r="FVN15" s="84"/>
      <c r="FVO15" s="84"/>
      <c r="FVP15" s="84"/>
      <c r="FVQ15" s="84"/>
      <c r="FVR15" s="84"/>
      <c r="FVS15" s="84"/>
      <c r="FVT15" s="84"/>
      <c r="FVU15" s="84"/>
      <c r="FVV15" s="84"/>
      <c r="FVW15" s="84"/>
      <c r="FVX15" s="84"/>
      <c r="FVY15" s="84"/>
      <c r="FVZ15" s="84"/>
      <c r="FWA15" s="84"/>
      <c r="FWB15" s="84"/>
      <c r="FWC15" s="84"/>
      <c r="FWD15" s="84"/>
      <c r="FWE15" s="84"/>
      <c r="FWF15" s="84"/>
      <c r="FWG15" s="84"/>
      <c r="FWH15" s="84"/>
      <c r="FWI15" s="84"/>
      <c r="FWJ15" s="84"/>
      <c r="FWK15" s="84"/>
      <c r="FWL15" s="84"/>
      <c r="FWM15" s="84"/>
      <c r="FWN15" s="84"/>
      <c r="FWO15" s="84"/>
      <c r="FWP15" s="84"/>
      <c r="FWQ15" s="84"/>
      <c r="FWR15" s="84"/>
      <c r="FWS15" s="84"/>
      <c r="FWT15" s="84"/>
      <c r="FWU15" s="84"/>
      <c r="FWV15" s="84"/>
      <c r="FWW15" s="84"/>
      <c r="FWX15" s="84"/>
      <c r="FWY15" s="84"/>
      <c r="FWZ15" s="84"/>
      <c r="FXA15" s="84"/>
      <c r="FXB15" s="84"/>
      <c r="FXC15" s="84"/>
      <c r="FXD15" s="84"/>
      <c r="FXE15" s="84"/>
      <c r="FXF15" s="84"/>
      <c r="FXG15" s="84"/>
      <c r="FXH15" s="84"/>
      <c r="FXI15" s="84"/>
      <c r="FXJ15" s="84"/>
      <c r="FXK15" s="84"/>
      <c r="FXL15" s="84"/>
      <c r="FXM15" s="84"/>
      <c r="FXN15" s="84"/>
      <c r="FXO15" s="84"/>
      <c r="FXP15" s="84"/>
      <c r="FXQ15" s="84"/>
      <c r="FXR15" s="84"/>
      <c r="FXS15" s="84"/>
      <c r="FXT15" s="84"/>
      <c r="FXU15" s="84"/>
      <c r="FXV15" s="84"/>
      <c r="FXW15" s="84"/>
      <c r="FXX15" s="84"/>
      <c r="FXY15" s="84"/>
      <c r="FXZ15" s="84"/>
      <c r="FYA15" s="84"/>
      <c r="FYB15" s="84"/>
      <c r="FYC15" s="84"/>
      <c r="FYD15" s="84"/>
      <c r="FYE15" s="84"/>
      <c r="FYF15" s="84"/>
      <c r="FYG15" s="84"/>
      <c r="FYH15" s="84"/>
      <c r="FYI15" s="84"/>
      <c r="FYJ15" s="84"/>
      <c r="FYK15" s="84"/>
      <c r="FYL15" s="84"/>
      <c r="FYM15" s="84"/>
      <c r="FYN15" s="84"/>
      <c r="FYO15" s="84"/>
      <c r="FYP15" s="84"/>
      <c r="FYQ15" s="84"/>
      <c r="FYR15" s="84"/>
      <c r="FYS15" s="84"/>
      <c r="FYT15" s="84"/>
      <c r="FYU15" s="84"/>
      <c r="FYV15" s="84"/>
      <c r="FYW15" s="84"/>
      <c r="FYX15" s="84"/>
      <c r="FYY15" s="84"/>
      <c r="FYZ15" s="84"/>
      <c r="FZA15" s="84"/>
      <c r="FZB15" s="84"/>
      <c r="FZC15" s="84"/>
      <c r="FZD15" s="84"/>
      <c r="FZE15" s="84"/>
      <c r="FZF15" s="84"/>
      <c r="FZG15" s="84"/>
      <c r="FZH15" s="84"/>
      <c r="FZI15" s="84"/>
      <c r="FZJ15" s="84"/>
      <c r="FZK15" s="84"/>
      <c r="FZL15" s="84"/>
      <c r="FZM15" s="84"/>
      <c r="FZN15" s="84"/>
      <c r="FZO15" s="84"/>
      <c r="FZP15" s="84"/>
      <c r="FZQ15" s="84"/>
      <c r="FZR15" s="84"/>
      <c r="FZS15" s="84"/>
      <c r="FZT15" s="84"/>
      <c r="FZU15" s="84"/>
      <c r="FZV15" s="84"/>
      <c r="FZW15" s="84"/>
      <c r="FZX15" s="84"/>
      <c r="FZY15" s="84"/>
      <c r="FZZ15" s="84"/>
      <c r="GAA15" s="84"/>
      <c r="GAB15" s="84"/>
      <c r="GAC15" s="84"/>
      <c r="GAD15" s="84"/>
      <c r="GAE15" s="84"/>
      <c r="GAF15" s="84"/>
      <c r="GAG15" s="84"/>
      <c r="GAH15" s="84"/>
      <c r="GAI15" s="84"/>
      <c r="GAJ15" s="84"/>
      <c r="GAK15" s="84"/>
      <c r="GAL15" s="84"/>
      <c r="GAM15" s="84"/>
      <c r="GAN15" s="84"/>
      <c r="GAO15" s="84"/>
      <c r="GAP15" s="84"/>
      <c r="GAQ15" s="84"/>
      <c r="GAR15" s="84"/>
      <c r="GAS15" s="84"/>
      <c r="GAT15" s="84"/>
      <c r="GAU15" s="84"/>
      <c r="GAV15" s="84"/>
      <c r="GAW15" s="84"/>
      <c r="GAX15" s="84"/>
      <c r="GAY15" s="84"/>
      <c r="GAZ15" s="84"/>
      <c r="GBA15" s="84"/>
      <c r="GBB15" s="84"/>
      <c r="GBC15" s="84"/>
      <c r="GBD15" s="84"/>
      <c r="GBE15" s="84"/>
      <c r="GBF15" s="84"/>
      <c r="GBG15" s="84"/>
      <c r="GBH15" s="84"/>
      <c r="GBI15" s="84"/>
      <c r="GBJ15" s="84"/>
      <c r="GBK15" s="84"/>
      <c r="GBL15" s="84"/>
      <c r="GBM15" s="84"/>
      <c r="GBN15" s="84"/>
      <c r="GBO15" s="84"/>
      <c r="GBP15" s="84"/>
      <c r="GBQ15" s="84"/>
      <c r="GBR15" s="84"/>
      <c r="GBS15" s="84"/>
      <c r="GBT15" s="84"/>
      <c r="GBU15" s="84"/>
      <c r="GBV15" s="84"/>
      <c r="GBW15" s="84"/>
      <c r="GBX15" s="84"/>
      <c r="GBY15" s="84"/>
      <c r="GBZ15" s="84"/>
      <c r="GCA15" s="84"/>
      <c r="GCB15" s="84"/>
      <c r="GCC15" s="84"/>
      <c r="GCD15" s="84"/>
      <c r="GCE15" s="84"/>
      <c r="GCF15" s="84"/>
      <c r="GCG15" s="84"/>
      <c r="GCH15" s="84"/>
      <c r="GCI15" s="84"/>
      <c r="GCJ15" s="84"/>
      <c r="GCK15" s="84"/>
      <c r="GCL15" s="84"/>
      <c r="GCM15" s="84"/>
      <c r="GCN15" s="84"/>
      <c r="GCO15" s="84"/>
      <c r="GCP15" s="84"/>
      <c r="GCQ15" s="84"/>
      <c r="GCR15" s="84"/>
      <c r="GCS15" s="84"/>
      <c r="GCT15" s="84"/>
      <c r="GCU15" s="84"/>
      <c r="GCV15" s="84"/>
      <c r="GCW15" s="84"/>
      <c r="GCX15" s="84"/>
      <c r="GCY15" s="84"/>
      <c r="GCZ15" s="84"/>
      <c r="GDA15" s="84"/>
      <c r="GDB15" s="84"/>
      <c r="GDC15" s="84"/>
      <c r="GDD15" s="84"/>
      <c r="GDE15" s="84"/>
      <c r="GDF15" s="84"/>
      <c r="GDG15" s="84"/>
      <c r="GDH15" s="84"/>
      <c r="GDI15" s="84"/>
      <c r="GDJ15" s="84"/>
      <c r="GDK15" s="84"/>
      <c r="GDL15" s="84"/>
      <c r="GDM15" s="84"/>
      <c r="GDN15" s="84"/>
      <c r="GDO15" s="84"/>
      <c r="GDP15" s="84"/>
      <c r="GDQ15" s="84"/>
      <c r="GDR15" s="84"/>
      <c r="GDS15" s="84"/>
      <c r="GDT15" s="84"/>
      <c r="GDU15" s="84"/>
      <c r="GDV15" s="84"/>
      <c r="GDW15" s="84"/>
      <c r="GDX15" s="84"/>
      <c r="GDY15" s="84"/>
      <c r="GDZ15" s="84"/>
      <c r="GEA15" s="84"/>
      <c r="GEB15" s="84"/>
      <c r="GEC15" s="84"/>
      <c r="GED15" s="84"/>
      <c r="GEE15" s="84"/>
      <c r="GEF15" s="84"/>
      <c r="GEG15" s="84"/>
      <c r="GEH15" s="84"/>
      <c r="GEI15" s="84"/>
      <c r="GEJ15" s="84"/>
      <c r="GEK15" s="84"/>
      <c r="GEL15" s="84"/>
      <c r="GEM15" s="84"/>
      <c r="GEN15" s="84"/>
      <c r="GEO15" s="84"/>
      <c r="GEP15" s="84"/>
      <c r="GEQ15" s="84"/>
      <c r="GER15" s="84"/>
      <c r="GES15" s="84"/>
      <c r="GET15" s="84"/>
      <c r="GEU15" s="84"/>
      <c r="GEV15" s="84"/>
      <c r="GEW15" s="84"/>
      <c r="GEX15" s="84"/>
      <c r="GEY15" s="84"/>
      <c r="GEZ15" s="84"/>
      <c r="GFA15" s="84"/>
      <c r="GFB15" s="84"/>
      <c r="GFC15" s="84"/>
      <c r="GFD15" s="84"/>
      <c r="GFE15" s="84"/>
      <c r="GFF15" s="84"/>
      <c r="GFG15" s="84"/>
      <c r="GFH15" s="84"/>
      <c r="GFI15" s="84"/>
      <c r="GFJ15" s="84"/>
      <c r="GFK15" s="84"/>
      <c r="GFL15" s="84"/>
      <c r="GFM15" s="84"/>
      <c r="GFN15" s="84"/>
      <c r="GFO15" s="84"/>
      <c r="GFP15" s="84"/>
      <c r="GFQ15" s="84"/>
      <c r="GFR15" s="84"/>
      <c r="GFS15" s="84"/>
      <c r="GFT15" s="84"/>
      <c r="GFU15" s="84"/>
      <c r="GFV15" s="84"/>
      <c r="GFW15" s="84"/>
      <c r="GFX15" s="84"/>
      <c r="GFY15" s="84"/>
      <c r="GFZ15" s="84"/>
      <c r="GGA15" s="84"/>
      <c r="GGB15" s="84"/>
      <c r="GGC15" s="84"/>
      <c r="GGD15" s="84"/>
      <c r="GGE15" s="84"/>
      <c r="GGF15" s="84"/>
      <c r="GGG15" s="84"/>
      <c r="GGH15" s="84"/>
      <c r="GGI15" s="84"/>
      <c r="GGJ15" s="84"/>
      <c r="GGK15" s="84"/>
      <c r="GGL15" s="84"/>
      <c r="GGM15" s="84"/>
      <c r="GGN15" s="84"/>
      <c r="GGO15" s="84"/>
      <c r="GGP15" s="84"/>
      <c r="GGQ15" s="84"/>
      <c r="GGR15" s="84"/>
      <c r="GGS15" s="84"/>
      <c r="GGT15" s="84"/>
      <c r="GGU15" s="84"/>
      <c r="GGV15" s="84"/>
      <c r="GGW15" s="84"/>
      <c r="GGX15" s="84"/>
      <c r="GGY15" s="84"/>
      <c r="GGZ15" s="84"/>
      <c r="GHA15" s="84"/>
      <c r="GHB15" s="84"/>
      <c r="GHC15" s="84"/>
      <c r="GHD15" s="84"/>
      <c r="GHE15" s="84"/>
      <c r="GHF15" s="84"/>
      <c r="GHG15" s="84"/>
      <c r="GHH15" s="84"/>
      <c r="GHI15" s="84"/>
      <c r="GHJ15" s="84"/>
      <c r="GHK15" s="84"/>
      <c r="GHL15" s="84"/>
      <c r="GHM15" s="84"/>
      <c r="GHN15" s="84"/>
      <c r="GHO15" s="84"/>
      <c r="GHP15" s="84"/>
      <c r="GHQ15" s="84"/>
      <c r="GHR15" s="84"/>
      <c r="GHS15" s="84"/>
      <c r="GHT15" s="84"/>
      <c r="GHU15" s="84"/>
      <c r="GHV15" s="84"/>
      <c r="GHW15" s="84"/>
      <c r="GHX15" s="84"/>
      <c r="GHY15" s="84"/>
      <c r="GHZ15" s="84"/>
      <c r="GIA15" s="84"/>
      <c r="GIB15" s="84"/>
      <c r="GIC15" s="84"/>
      <c r="GID15" s="84"/>
      <c r="GIE15" s="84"/>
      <c r="GIF15" s="84"/>
      <c r="GIG15" s="84"/>
      <c r="GIH15" s="84"/>
      <c r="GII15" s="84"/>
      <c r="GIJ15" s="84"/>
      <c r="GIK15" s="84"/>
      <c r="GIL15" s="84"/>
      <c r="GIM15" s="84"/>
      <c r="GIN15" s="84"/>
      <c r="GIO15" s="84"/>
      <c r="GIP15" s="84"/>
      <c r="GIQ15" s="84"/>
      <c r="GIR15" s="84"/>
      <c r="GIS15" s="84"/>
      <c r="GIT15" s="84"/>
      <c r="GIU15" s="84"/>
      <c r="GIV15" s="84"/>
      <c r="GIW15" s="84"/>
      <c r="GIX15" s="84"/>
      <c r="GIY15" s="84"/>
      <c r="GIZ15" s="84"/>
      <c r="GJA15" s="84"/>
      <c r="GJB15" s="84"/>
      <c r="GJC15" s="84"/>
      <c r="GJD15" s="84"/>
      <c r="GJE15" s="84"/>
      <c r="GJF15" s="84"/>
      <c r="GJG15" s="84"/>
      <c r="GJH15" s="84"/>
      <c r="GJI15" s="84"/>
      <c r="GJJ15" s="84"/>
      <c r="GJK15" s="84"/>
      <c r="GJL15" s="84"/>
      <c r="GJM15" s="84"/>
      <c r="GJN15" s="84"/>
      <c r="GJO15" s="84"/>
      <c r="GJP15" s="84"/>
      <c r="GJQ15" s="84"/>
      <c r="GJR15" s="84"/>
      <c r="GJS15" s="84"/>
      <c r="GJT15" s="84"/>
      <c r="GJU15" s="84"/>
      <c r="GJV15" s="84"/>
      <c r="GJW15" s="84"/>
      <c r="GJX15" s="84"/>
      <c r="GJY15" s="84"/>
      <c r="GJZ15" s="84"/>
      <c r="GKA15" s="84"/>
      <c r="GKB15" s="84"/>
      <c r="GKC15" s="84"/>
      <c r="GKD15" s="84"/>
      <c r="GKE15" s="84"/>
      <c r="GKF15" s="84"/>
      <c r="GKG15" s="84"/>
      <c r="GKH15" s="84"/>
      <c r="GKI15" s="84"/>
      <c r="GKJ15" s="84"/>
      <c r="GKK15" s="84"/>
      <c r="GKL15" s="84"/>
      <c r="GKM15" s="84"/>
      <c r="GKN15" s="84"/>
      <c r="GKO15" s="84"/>
      <c r="GKP15" s="84"/>
      <c r="GKQ15" s="84"/>
      <c r="GKR15" s="84"/>
      <c r="GKS15" s="84"/>
      <c r="GKT15" s="84"/>
      <c r="GKU15" s="84"/>
      <c r="GKV15" s="84"/>
      <c r="GKW15" s="84"/>
      <c r="GKX15" s="84"/>
      <c r="GKY15" s="84"/>
      <c r="GKZ15" s="84"/>
      <c r="GLA15" s="84"/>
      <c r="GLB15" s="84"/>
      <c r="GLC15" s="84"/>
      <c r="GLD15" s="84"/>
      <c r="GLE15" s="84"/>
      <c r="GLF15" s="84"/>
      <c r="GLG15" s="84"/>
      <c r="GLH15" s="84"/>
      <c r="GLI15" s="84"/>
      <c r="GLJ15" s="84"/>
      <c r="GLK15" s="84"/>
      <c r="GLL15" s="84"/>
      <c r="GLM15" s="84"/>
      <c r="GLN15" s="84"/>
      <c r="GLO15" s="84"/>
      <c r="GLP15" s="84"/>
      <c r="GLQ15" s="84"/>
      <c r="GLR15" s="84"/>
      <c r="GLS15" s="84"/>
      <c r="GLT15" s="84"/>
      <c r="GLU15" s="84"/>
      <c r="GLV15" s="84"/>
      <c r="GLW15" s="84"/>
      <c r="GLX15" s="84"/>
      <c r="GLY15" s="84"/>
      <c r="GLZ15" s="84"/>
      <c r="GMA15" s="84"/>
      <c r="GMB15" s="84"/>
      <c r="GMC15" s="84"/>
      <c r="GMD15" s="84"/>
      <c r="GME15" s="84"/>
      <c r="GMF15" s="84"/>
      <c r="GMG15" s="84"/>
      <c r="GMH15" s="84"/>
      <c r="GMI15" s="84"/>
      <c r="GMJ15" s="84"/>
      <c r="GMK15" s="84"/>
      <c r="GML15" s="84"/>
      <c r="GMM15" s="84"/>
      <c r="GMN15" s="84"/>
      <c r="GMO15" s="84"/>
      <c r="GMP15" s="84"/>
      <c r="GMQ15" s="84"/>
      <c r="GMR15" s="84"/>
      <c r="GMS15" s="84"/>
      <c r="GMT15" s="84"/>
      <c r="GMU15" s="84"/>
      <c r="GMV15" s="84"/>
      <c r="GMW15" s="84"/>
      <c r="GMX15" s="84"/>
      <c r="GMY15" s="84"/>
      <c r="GMZ15" s="84"/>
      <c r="GNA15" s="84"/>
      <c r="GNB15" s="84"/>
      <c r="GNC15" s="84"/>
      <c r="GND15" s="84"/>
      <c r="GNE15" s="84"/>
      <c r="GNF15" s="84"/>
      <c r="GNG15" s="84"/>
      <c r="GNH15" s="84"/>
      <c r="GNI15" s="84"/>
      <c r="GNJ15" s="84"/>
      <c r="GNK15" s="84"/>
      <c r="GNL15" s="84"/>
      <c r="GNM15" s="84"/>
      <c r="GNN15" s="84"/>
      <c r="GNO15" s="84"/>
      <c r="GNP15" s="84"/>
      <c r="GNQ15" s="84"/>
      <c r="GNR15" s="84"/>
      <c r="GNS15" s="84"/>
      <c r="GNT15" s="84"/>
      <c r="GNU15" s="84"/>
      <c r="GNV15" s="84"/>
      <c r="GNW15" s="84"/>
      <c r="GNX15" s="84"/>
      <c r="GNY15" s="84"/>
      <c r="GNZ15" s="84"/>
      <c r="GOA15" s="84"/>
      <c r="GOB15" s="84"/>
      <c r="GOC15" s="84"/>
      <c r="GOD15" s="84"/>
      <c r="GOE15" s="84"/>
      <c r="GOF15" s="84"/>
      <c r="GOG15" s="84"/>
      <c r="GOH15" s="84"/>
      <c r="GOI15" s="84"/>
      <c r="GOJ15" s="84"/>
      <c r="GOK15" s="84"/>
      <c r="GOL15" s="84"/>
      <c r="GOM15" s="84"/>
      <c r="GON15" s="84"/>
      <c r="GOO15" s="84"/>
      <c r="GOP15" s="84"/>
      <c r="GOQ15" s="84"/>
      <c r="GOR15" s="84"/>
      <c r="GOS15" s="84"/>
      <c r="GOT15" s="84"/>
      <c r="GOU15" s="84"/>
      <c r="GOV15" s="84"/>
      <c r="GOW15" s="84"/>
      <c r="GOX15" s="84"/>
      <c r="GOY15" s="84"/>
      <c r="GOZ15" s="84"/>
      <c r="GPA15" s="84"/>
      <c r="GPB15" s="84"/>
      <c r="GPC15" s="84"/>
      <c r="GPD15" s="84"/>
      <c r="GPE15" s="84"/>
      <c r="GPF15" s="84"/>
      <c r="GPG15" s="84"/>
      <c r="GPH15" s="84"/>
      <c r="GPI15" s="84"/>
      <c r="GPJ15" s="84"/>
      <c r="GPK15" s="84"/>
      <c r="GPL15" s="84"/>
      <c r="GPM15" s="84"/>
      <c r="GPN15" s="84"/>
      <c r="GPO15" s="84"/>
      <c r="GPP15" s="84"/>
      <c r="GPQ15" s="84"/>
      <c r="GPR15" s="84"/>
      <c r="GPS15" s="84"/>
      <c r="GPT15" s="84"/>
      <c r="GPU15" s="84"/>
      <c r="GPV15" s="84"/>
      <c r="GPW15" s="84"/>
      <c r="GPX15" s="84"/>
      <c r="GPY15" s="84"/>
      <c r="GPZ15" s="84"/>
      <c r="GQA15" s="84"/>
      <c r="GQB15" s="84"/>
      <c r="GQC15" s="84"/>
      <c r="GQD15" s="84"/>
      <c r="GQE15" s="84"/>
      <c r="GQF15" s="84"/>
      <c r="GQG15" s="84"/>
      <c r="GQH15" s="84"/>
      <c r="GQI15" s="84"/>
      <c r="GQJ15" s="84"/>
      <c r="GQK15" s="84"/>
      <c r="GQL15" s="84"/>
      <c r="GQM15" s="84"/>
      <c r="GQN15" s="84"/>
      <c r="GQO15" s="84"/>
      <c r="GQP15" s="84"/>
      <c r="GQQ15" s="84"/>
      <c r="GQR15" s="84"/>
      <c r="GQS15" s="84"/>
      <c r="GQT15" s="84"/>
      <c r="GQU15" s="84"/>
      <c r="GQV15" s="84"/>
      <c r="GQW15" s="84"/>
      <c r="GQX15" s="84"/>
      <c r="GQY15" s="84"/>
      <c r="GQZ15" s="84"/>
      <c r="GRA15" s="84"/>
      <c r="GRB15" s="84"/>
      <c r="GRC15" s="84"/>
      <c r="GRD15" s="84"/>
      <c r="GRE15" s="84"/>
      <c r="GRF15" s="84"/>
      <c r="GRG15" s="84"/>
      <c r="GRH15" s="84"/>
      <c r="GRI15" s="84"/>
      <c r="GRJ15" s="84"/>
      <c r="GRK15" s="84"/>
      <c r="GRL15" s="84"/>
      <c r="GRM15" s="84"/>
      <c r="GRN15" s="84"/>
      <c r="GRO15" s="84"/>
      <c r="GRP15" s="84"/>
      <c r="GRQ15" s="84"/>
      <c r="GRR15" s="84"/>
      <c r="GRS15" s="84"/>
      <c r="GRT15" s="84"/>
      <c r="GRU15" s="84"/>
      <c r="GRV15" s="84"/>
      <c r="GRW15" s="84"/>
      <c r="GRX15" s="84"/>
      <c r="GRY15" s="84"/>
      <c r="GRZ15" s="84"/>
      <c r="GSA15" s="84"/>
      <c r="GSB15" s="84"/>
      <c r="GSC15" s="84"/>
      <c r="GSD15" s="84"/>
      <c r="GSE15" s="84"/>
      <c r="GSF15" s="84"/>
      <c r="GSG15" s="84"/>
      <c r="GSH15" s="84"/>
      <c r="GSI15" s="84"/>
      <c r="GSJ15" s="84"/>
      <c r="GSK15" s="84"/>
      <c r="GSL15" s="84"/>
      <c r="GSM15" s="84"/>
      <c r="GSN15" s="84"/>
      <c r="GSO15" s="84"/>
      <c r="GSP15" s="84"/>
      <c r="GSQ15" s="84"/>
      <c r="GSR15" s="84"/>
      <c r="GSS15" s="84"/>
      <c r="GST15" s="84"/>
      <c r="GSU15" s="84"/>
      <c r="GSV15" s="84"/>
      <c r="GSW15" s="84"/>
      <c r="GSX15" s="84"/>
      <c r="GSY15" s="84"/>
      <c r="GSZ15" s="84"/>
      <c r="GTA15" s="84"/>
      <c r="GTB15" s="84"/>
      <c r="GTC15" s="84"/>
      <c r="GTD15" s="84"/>
      <c r="GTE15" s="84"/>
      <c r="GTF15" s="84"/>
      <c r="GTG15" s="84"/>
      <c r="GTH15" s="84"/>
      <c r="GTI15" s="84"/>
      <c r="GTJ15" s="84"/>
      <c r="GTK15" s="84"/>
      <c r="GTL15" s="84"/>
      <c r="GTM15" s="84"/>
      <c r="GTN15" s="84"/>
      <c r="GTO15" s="84"/>
      <c r="GTP15" s="84"/>
      <c r="GTQ15" s="84"/>
      <c r="GTR15" s="84"/>
      <c r="GTS15" s="84"/>
      <c r="GTT15" s="84"/>
      <c r="GTU15" s="84"/>
      <c r="GTV15" s="84"/>
      <c r="GTW15" s="84"/>
      <c r="GTX15" s="84"/>
      <c r="GTY15" s="84"/>
      <c r="GTZ15" s="84"/>
      <c r="GUA15" s="84"/>
      <c r="GUB15" s="84"/>
      <c r="GUC15" s="84"/>
      <c r="GUD15" s="84"/>
      <c r="GUE15" s="84"/>
      <c r="GUF15" s="84"/>
      <c r="GUG15" s="84"/>
      <c r="GUH15" s="84"/>
      <c r="GUI15" s="84"/>
      <c r="GUJ15" s="84"/>
      <c r="GUK15" s="84"/>
      <c r="GUL15" s="84"/>
      <c r="GUM15" s="84"/>
      <c r="GUN15" s="84"/>
      <c r="GUO15" s="84"/>
      <c r="GUP15" s="84"/>
      <c r="GUQ15" s="84"/>
      <c r="GUR15" s="84"/>
      <c r="GUS15" s="84"/>
      <c r="GUT15" s="84"/>
      <c r="GUU15" s="84"/>
      <c r="GUV15" s="84"/>
      <c r="GUW15" s="84"/>
      <c r="GUX15" s="84"/>
      <c r="GUY15" s="84"/>
      <c r="GUZ15" s="84"/>
      <c r="GVA15" s="84"/>
      <c r="GVB15" s="84"/>
      <c r="GVC15" s="84"/>
      <c r="GVD15" s="84"/>
      <c r="GVE15" s="84"/>
      <c r="GVF15" s="84"/>
      <c r="GVG15" s="84"/>
      <c r="GVH15" s="84"/>
      <c r="GVI15" s="84"/>
      <c r="GVJ15" s="84"/>
      <c r="GVK15" s="84"/>
      <c r="GVL15" s="84"/>
      <c r="GVM15" s="84"/>
      <c r="GVN15" s="84"/>
      <c r="GVO15" s="84"/>
      <c r="GVP15" s="84"/>
      <c r="GVQ15" s="84"/>
      <c r="GVR15" s="84"/>
      <c r="GVS15" s="84"/>
      <c r="GVT15" s="84"/>
      <c r="GVU15" s="84"/>
      <c r="GVV15" s="84"/>
      <c r="GVW15" s="84"/>
      <c r="GVX15" s="84"/>
      <c r="GVY15" s="84"/>
      <c r="GVZ15" s="84"/>
      <c r="GWA15" s="84"/>
      <c r="GWB15" s="84"/>
      <c r="GWC15" s="84"/>
      <c r="GWD15" s="84"/>
      <c r="GWE15" s="84"/>
      <c r="GWF15" s="84"/>
      <c r="GWG15" s="84"/>
      <c r="GWH15" s="84"/>
      <c r="GWI15" s="84"/>
      <c r="GWJ15" s="84"/>
      <c r="GWK15" s="84"/>
      <c r="GWL15" s="84"/>
      <c r="GWM15" s="84"/>
      <c r="GWN15" s="84"/>
      <c r="GWO15" s="84"/>
      <c r="GWP15" s="84"/>
      <c r="GWQ15" s="84"/>
      <c r="GWR15" s="84"/>
      <c r="GWS15" s="84"/>
      <c r="GWT15" s="84"/>
      <c r="GWU15" s="84"/>
      <c r="GWV15" s="84"/>
      <c r="GWW15" s="84"/>
      <c r="GWX15" s="84"/>
      <c r="GWY15" s="84"/>
      <c r="GWZ15" s="84"/>
      <c r="GXA15" s="84"/>
      <c r="GXB15" s="84"/>
      <c r="GXC15" s="84"/>
      <c r="GXD15" s="84"/>
      <c r="GXE15" s="84"/>
      <c r="GXF15" s="84"/>
      <c r="GXG15" s="84"/>
      <c r="GXH15" s="84"/>
      <c r="GXI15" s="84"/>
      <c r="GXJ15" s="84"/>
      <c r="GXK15" s="84"/>
      <c r="GXL15" s="84"/>
      <c r="GXM15" s="84"/>
      <c r="GXN15" s="84"/>
      <c r="GXO15" s="84"/>
      <c r="GXP15" s="84"/>
      <c r="GXQ15" s="84"/>
      <c r="GXR15" s="84"/>
      <c r="GXS15" s="84"/>
      <c r="GXT15" s="84"/>
      <c r="GXU15" s="84"/>
      <c r="GXV15" s="84"/>
      <c r="GXW15" s="84"/>
      <c r="GXX15" s="84"/>
      <c r="GXY15" s="84"/>
      <c r="GXZ15" s="84"/>
      <c r="GYA15" s="84"/>
      <c r="GYB15" s="84"/>
      <c r="GYC15" s="84"/>
      <c r="GYD15" s="84"/>
      <c r="GYE15" s="84"/>
      <c r="GYF15" s="84"/>
      <c r="GYG15" s="84"/>
      <c r="GYH15" s="84"/>
      <c r="GYI15" s="84"/>
      <c r="GYJ15" s="84"/>
      <c r="GYK15" s="84"/>
      <c r="GYL15" s="84"/>
      <c r="GYM15" s="84"/>
      <c r="GYN15" s="84"/>
      <c r="GYO15" s="84"/>
      <c r="GYP15" s="84"/>
      <c r="GYQ15" s="84"/>
      <c r="GYR15" s="84"/>
      <c r="GYS15" s="84"/>
      <c r="GYT15" s="84"/>
      <c r="GYU15" s="84"/>
      <c r="GYV15" s="84"/>
      <c r="GYW15" s="84"/>
      <c r="GYX15" s="84"/>
      <c r="GYY15" s="84"/>
      <c r="GYZ15" s="84"/>
      <c r="GZA15" s="84"/>
      <c r="GZB15" s="84"/>
      <c r="GZC15" s="84"/>
      <c r="GZD15" s="84"/>
      <c r="GZE15" s="84"/>
      <c r="GZF15" s="84"/>
      <c r="GZG15" s="84"/>
      <c r="GZH15" s="84"/>
      <c r="GZI15" s="84"/>
      <c r="GZJ15" s="84"/>
      <c r="GZK15" s="84"/>
      <c r="GZL15" s="84"/>
      <c r="GZM15" s="84"/>
      <c r="GZN15" s="84"/>
      <c r="GZO15" s="84"/>
      <c r="GZP15" s="84"/>
      <c r="GZQ15" s="84"/>
      <c r="GZR15" s="84"/>
      <c r="GZS15" s="84"/>
      <c r="GZT15" s="84"/>
      <c r="GZU15" s="84"/>
      <c r="GZV15" s="84"/>
      <c r="GZW15" s="84"/>
      <c r="GZX15" s="84"/>
      <c r="GZY15" s="84"/>
      <c r="GZZ15" s="84"/>
      <c r="HAA15" s="84"/>
      <c r="HAB15" s="84"/>
      <c r="HAC15" s="84"/>
      <c r="HAD15" s="84"/>
      <c r="HAE15" s="84"/>
      <c r="HAF15" s="84"/>
      <c r="HAG15" s="84"/>
      <c r="HAH15" s="84"/>
      <c r="HAI15" s="84"/>
      <c r="HAJ15" s="84"/>
      <c r="HAK15" s="84"/>
      <c r="HAL15" s="84"/>
      <c r="HAM15" s="84"/>
      <c r="HAN15" s="84"/>
      <c r="HAO15" s="84"/>
      <c r="HAP15" s="84"/>
      <c r="HAQ15" s="84"/>
      <c r="HAR15" s="84"/>
      <c r="HAS15" s="84"/>
      <c r="HAT15" s="84"/>
      <c r="HAU15" s="84"/>
      <c r="HAV15" s="84"/>
      <c r="HAW15" s="84"/>
      <c r="HAX15" s="84"/>
      <c r="HAY15" s="84"/>
      <c r="HAZ15" s="84"/>
      <c r="HBA15" s="84"/>
      <c r="HBB15" s="84"/>
      <c r="HBC15" s="84"/>
      <c r="HBD15" s="84"/>
      <c r="HBE15" s="84"/>
      <c r="HBF15" s="84"/>
      <c r="HBG15" s="84"/>
      <c r="HBH15" s="84"/>
      <c r="HBI15" s="84"/>
      <c r="HBJ15" s="84"/>
      <c r="HBK15" s="84"/>
      <c r="HBL15" s="84"/>
      <c r="HBM15" s="386"/>
    </row>
    <row r="16" spans="1:5473" s="83" customFormat="1" x14ac:dyDescent="0.3">
      <c r="A16" s="11">
        <v>11</v>
      </c>
      <c r="B16" s="26" t="s">
        <v>1497</v>
      </c>
      <c r="C16" s="309" t="s">
        <v>1504</v>
      </c>
      <c r="D16" s="312">
        <v>910508035566</v>
      </c>
      <c r="E16" s="312" t="s">
        <v>1496</v>
      </c>
      <c r="F16" s="11" t="s">
        <v>7</v>
      </c>
      <c r="G16" s="11" t="s">
        <v>1528</v>
      </c>
      <c r="H16" s="42" t="s">
        <v>1495</v>
      </c>
      <c r="I16" s="550">
        <v>10000</v>
      </c>
      <c r="J16" s="122"/>
      <c r="K16" s="75">
        <v>6000</v>
      </c>
      <c r="L16" s="122">
        <v>5700</v>
      </c>
      <c r="M16" s="122">
        <f t="shared" si="0"/>
        <v>4300</v>
      </c>
      <c r="N16" s="93"/>
      <c r="O16" s="93"/>
      <c r="P16" s="76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  <c r="DB16" s="84"/>
      <c r="DC16" s="84"/>
      <c r="DD16" s="84"/>
      <c r="DE16" s="84"/>
      <c r="DF16" s="84"/>
      <c r="DG16" s="84"/>
      <c r="DH16" s="84"/>
      <c r="DI16" s="84"/>
      <c r="DJ16" s="84"/>
      <c r="DK16" s="84"/>
      <c r="DL16" s="84"/>
      <c r="DM16" s="84"/>
      <c r="DN16" s="84"/>
      <c r="DO16" s="84"/>
      <c r="DP16" s="84"/>
      <c r="DQ16" s="84"/>
      <c r="DR16" s="84"/>
      <c r="DS16" s="84"/>
      <c r="DT16" s="84"/>
      <c r="DU16" s="84"/>
      <c r="DV16" s="84"/>
      <c r="DW16" s="84"/>
      <c r="DX16" s="84"/>
      <c r="DY16" s="84"/>
      <c r="DZ16" s="84"/>
      <c r="EA16" s="84"/>
      <c r="EB16" s="84"/>
      <c r="EC16" s="84"/>
      <c r="ED16" s="84"/>
      <c r="EE16" s="84"/>
      <c r="EF16" s="84"/>
      <c r="EG16" s="84"/>
      <c r="EH16" s="84"/>
      <c r="EI16" s="84"/>
      <c r="EJ16" s="84"/>
      <c r="EK16" s="84"/>
      <c r="EL16" s="84"/>
      <c r="EM16" s="84"/>
      <c r="EN16" s="84"/>
      <c r="EO16" s="84"/>
      <c r="EP16" s="84"/>
      <c r="EQ16" s="84"/>
      <c r="ER16" s="84"/>
      <c r="ES16" s="84"/>
      <c r="ET16" s="84"/>
      <c r="EU16" s="84"/>
      <c r="EV16" s="84"/>
      <c r="EW16" s="84"/>
      <c r="EX16" s="84"/>
      <c r="EY16" s="84"/>
      <c r="EZ16" s="84"/>
      <c r="FA16" s="84"/>
      <c r="FB16" s="84"/>
      <c r="FC16" s="84"/>
      <c r="FD16" s="84"/>
      <c r="FE16" s="84"/>
      <c r="FF16" s="84"/>
      <c r="FG16" s="84"/>
      <c r="FH16" s="84"/>
      <c r="FI16" s="84"/>
      <c r="FJ16" s="84"/>
      <c r="FK16" s="84"/>
      <c r="FL16" s="84"/>
      <c r="FM16" s="84"/>
      <c r="FN16" s="84"/>
      <c r="FO16" s="84"/>
      <c r="FP16" s="84"/>
      <c r="FQ16" s="84"/>
      <c r="FR16" s="84"/>
      <c r="FS16" s="84"/>
      <c r="FT16" s="84"/>
      <c r="FU16" s="84"/>
      <c r="FV16" s="84"/>
      <c r="FW16" s="84"/>
      <c r="FX16" s="84"/>
      <c r="FY16" s="84"/>
      <c r="FZ16" s="84"/>
      <c r="GA16" s="84"/>
      <c r="GB16" s="84"/>
      <c r="GC16" s="84"/>
      <c r="GD16" s="84"/>
      <c r="GE16" s="84"/>
      <c r="GF16" s="84"/>
      <c r="GG16" s="84"/>
      <c r="GH16" s="84"/>
      <c r="GI16" s="84"/>
      <c r="GJ16" s="84"/>
      <c r="GK16" s="84"/>
      <c r="GL16" s="84"/>
      <c r="GM16" s="84"/>
      <c r="GN16" s="84"/>
      <c r="GO16" s="84"/>
      <c r="GP16" s="84"/>
      <c r="GQ16" s="84"/>
      <c r="GR16" s="84"/>
      <c r="GS16" s="84"/>
      <c r="GT16" s="84"/>
      <c r="GU16" s="84"/>
      <c r="GV16" s="84"/>
      <c r="GW16" s="84"/>
      <c r="GX16" s="84"/>
      <c r="GY16" s="84"/>
      <c r="GZ16" s="84"/>
      <c r="HA16" s="84"/>
      <c r="HB16" s="84"/>
      <c r="HC16" s="84"/>
      <c r="HD16" s="84"/>
      <c r="HE16" s="84"/>
      <c r="HF16" s="84"/>
      <c r="HG16" s="84"/>
      <c r="HH16" s="84"/>
      <c r="HI16" s="84"/>
      <c r="HJ16" s="84"/>
      <c r="HK16" s="84"/>
      <c r="HL16" s="84"/>
      <c r="HM16" s="84"/>
      <c r="HN16" s="84"/>
      <c r="HO16" s="84"/>
      <c r="HP16" s="84"/>
      <c r="HQ16" s="84"/>
      <c r="HR16" s="84"/>
      <c r="HS16" s="84"/>
      <c r="HT16" s="84"/>
      <c r="HU16" s="84"/>
      <c r="HV16" s="84"/>
      <c r="HW16" s="84"/>
      <c r="HX16" s="84"/>
      <c r="HY16" s="84"/>
      <c r="HZ16" s="84"/>
      <c r="IA16" s="84"/>
      <c r="IB16" s="84"/>
      <c r="IC16" s="84"/>
      <c r="ID16" s="84"/>
      <c r="IE16" s="84"/>
      <c r="IF16" s="84"/>
      <c r="IG16" s="84"/>
      <c r="IH16" s="84"/>
      <c r="II16" s="84"/>
      <c r="IJ16" s="84"/>
      <c r="IK16" s="84"/>
      <c r="IL16" s="84"/>
      <c r="IM16" s="84"/>
      <c r="IN16" s="84"/>
      <c r="IO16" s="84"/>
      <c r="IP16" s="84"/>
      <c r="IQ16" s="84"/>
      <c r="IR16" s="84"/>
      <c r="IS16" s="84"/>
      <c r="IT16" s="84"/>
      <c r="IU16" s="84"/>
      <c r="IV16" s="84"/>
      <c r="IW16" s="84"/>
      <c r="IX16" s="84"/>
      <c r="IY16" s="84"/>
      <c r="IZ16" s="84"/>
      <c r="JA16" s="84"/>
      <c r="JB16" s="84"/>
      <c r="JC16" s="84"/>
      <c r="JD16" s="84"/>
      <c r="JE16" s="84"/>
      <c r="JF16" s="84"/>
      <c r="JG16" s="84"/>
      <c r="JH16" s="84"/>
      <c r="JI16" s="84"/>
      <c r="JJ16" s="84"/>
      <c r="JK16" s="84"/>
      <c r="JL16" s="84"/>
      <c r="JM16" s="84"/>
      <c r="JN16" s="84"/>
      <c r="JO16" s="84"/>
      <c r="JP16" s="84"/>
      <c r="JQ16" s="84"/>
      <c r="JR16" s="84"/>
      <c r="JS16" s="84"/>
      <c r="JT16" s="84"/>
      <c r="JU16" s="84"/>
      <c r="JV16" s="84"/>
      <c r="JW16" s="84"/>
      <c r="JX16" s="84"/>
      <c r="JY16" s="84"/>
      <c r="JZ16" s="84"/>
      <c r="KA16" s="84"/>
      <c r="KB16" s="84"/>
      <c r="KC16" s="84"/>
      <c r="KD16" s="84"/>
      <c r="KE16" s="84"/>
      <c r="KF16" s="84"/>
      <c r="KG16" s="84"/>
      <c r="KH16" s="84"/>
      <c r="KI16" s="84"/>
      <c r="KJ16" s="84"/>
      <c r="KK16" s="84"/>
      <c r="KL16" s="84"/>
      <c r="KM16" s="84"/>
      <c r="KN16" s="84"/>
      <c r="KO16" s="84"/>
      <c r="KP16" s="84"/>
      <c r="KQ16" s="84"/>
      <c r="KR16" s="84"/>
      <c r="KS16" s="84"/>
      <c r="KT16" s="84"/>
      <c r="KU16" s="84"/>
      <c r="KV16" s="84"/>
      <c r="KW16" s="84"/>
      <c r="KX16" s="84"/>
      <c r="KY16" s="84"/>
      <c r="KZ16" s="84"/>
      <c r="LA16" s="84"/>
      <c r="LB16" s="84"/>
      <c r="LC16" s="84"/>
      <c r="LD16" s="84"/>
      <c r="LE16" s="84"/>
      <c r="LF16" s="84"/>
      <c r="LG16" s="84"/>
      <c r="LH16" s="84"/>
      <c r="LI16" s="84"/>
      <c r="LJ16" s="84"/>
      <c r="LK16" s="84"/>
      <c r="LL16" s="84"/>
      <c r="LM16" s="84"/>
      <c r="LN16" s="84"/>
      <c r="LO16" s="84"/>
      <c r="LP16" s="84"/>
      <c r="LQ16" s="84"/>
      <c r="LR16" s="84"/>
      <c r="LS16" s="84"/>
      <c r="LT16" s="84"/>
      <c r="LU16" s="84"/>
      <c r="LV16" s="84"/>
      <c r="LW16" s="84"/>
      <c r="LX16" s="84"/>
      <c r="LY16" s="84"/>
      <c r="LZ16" s="84"/>
      <c r="MA16" s="84"/>
      <c r="MB16" s="84"/>
      <c r="MC16" s="84"/>
      <c r="MD16" s="84"/>
      <c r="ME16" s="84"/>
      <c r="MF16" s="84"/>
      <c r="MG16" s="84"/>
      <c r="MH16" s="84"/>
      <c r="MI16" s="84"/>
      <c r="MJ16" s="84"/>
      <c r="MK16" s="84"/>
      <c r="ML16" s="84"/>
      <c r="MM16" s="84"/>
      <c r="MN16" s="84"/>
      <c r="MO16" s="84"/>
      <c r="MP16" s="84"/>
      <c r="MQ16" s="84"/>
      <c r="MR16" s="84"/>
      <c r="MS16" s="84"/>
      <c r="MT16" s="84"/>
      <c r="MU16" s="84"/>
      <c r="MV16" s="84"/>
      <c r="MW16" s="84"/>
      <c r="MX16" s="84"/>
      <c r="MY16" s="84"/>
      <c r="MZ16" s="84"/>
      <c r="NA16" s="84"/>
      <c r="NB16" s="84"/>
      <c r="NC16" s="84"/>
      <c r="ND16" s="84"/>
      <c r="NE16" s="84"/>
      <c r="NF16" s="84"/>
      <c r="NG16" s="84"/>
      <c r="NH16" s="84"/>
      <c r="NI16" s="84"/>
      <c r="NJ16" s="84"/>
      <c r="NK16" s="84"/>
      <c r="NL16" s="84"/>
      <c r="NM16" s="84"/>
      <c r="NN16" s="84"/>
      <c r="NO16" s="84"/>
      <c r="NP16" s="84"/>
      <c r="NQ16" s="84"/>
      <c r="NR16" s="84"/>
      <c r="NS16" s="84"/>
      <c r="NT16" s="84"/>
      <c r="NU16" s="84"/>
      <c r="NV16" s="84"/>
      <c r="NW16" s="84"/>
      <c r="NX16" s="84"/>
      <c r="NY16" s="84"/>
      <c r="NZ16" s="84"/>
      <c r="OA16" s="84"/>
      <c r="OB16" s="84"/>
      <c r="OC16" s="84"/>
      <c r="OD16" s="84"/>
      <c r="OE16" s="84"/>
      <c r="OF16" s="84"/>
      <c r="OG16" s="84"/>
      <c r="OH16" s="84"/>
      <c r="OI16" s="84"/>
      <c r="OJ16" s="84"/>
      <c r="OK16" s="84"/>
      <c r="OL16" s="84"/>
      <c r="OM16" s="84"/>
      <c r="ON16" s="84"/>
      <c r="OO16" s="84"/>
      <c r="OP16" s="84"/>
      <c r="OQ16" s="84"/>
      <c r="OR16" s="84"/>
      <c r="OS16" s="84"/>
      <c r="OT16" s="84"/>
      <c r="OU16" s="84"/>
      <c r="OV16" s="84"/>
      <c r="OW16" s="84"/>
      <c r="OX16" s="84"/>
      <c r="OY16" s="84"/>
      <c r="OZ16" s="84"/>
      <c r="PA16" s="84"/>
      <c r="PB16" s="84"/>
      <c r="PC16" s="84"/>
      <c r="PD16" s="84"/>
      <c r="PE16" s="84"/>
      <c r="PF16" s="84"/>
      <c r="PG16" s="84"/>
      <c r="PH16" s="84"/>
      <c r="PI16" s="84"/>
      <c r="PJ16" s="84"/>
      <c r="PK16" s="84"/>
      <c r="PL16" s="84"/>
      <c r="PM16" s="84"/>
      <c r="PN16" s="84"/>
      <c r="PO16" s="84"/>
      <c r="PP16" s="84"/>
      <c r="PQ16" s="84"/>
      <c r="PR16" s="84"/>
      <c r="PS16" s="84"/>
      <c r="PT16" s="84"/>
      <c r="PU16" s="84"/>
      <c r="PV16" s="84"/>
      <c r="PW16" s="84"/>
      <c r="PX16" s="84"/>
      <c r="PY16" s="84"/>
      <c r="PZ16" s="84"/>
      <c r="QA16" s="84"/>
      <c r="QB16" s="84"/>
      <c r="QC16" s="84"/>
      <c r="QD16" s="84"/>
      <c r="QE16" s="84"/>
      <c r="QF16" s="84"/>
      <c r="QG16" s="84"/>
      <c r="QH16" s="84"/>
      <c r="QI16" s="84"/>
      <c r="QJ16" s="84"/>
      <c r="QK16" s="84"/>
      <c r="QL16" s="84"/>
      <c r="QM16" s="84"/>
      <c r="QN16" s="84"/>
      <c r="QO16" s="84"/>
      <c r="QP16" s="84"/>
      <c r="QQ16" s="84"/>
      <c r="QR16" s="84"/>
      <c r="QS16" s="84"/>
      <c r="QT16" s="84"/>
      <c r="QU16" s="84"/>
      <c r="QV16" s="84"/>
      <c r="QW16" s="84"/>
      <c r="QX16" s="84"/>
      <c r="QY16" s="84"/>
      <c r="QZ16" s="84"/>
      <c r="RA16" s="84"/>
      <c r="RB16" s="84"/>
      <c r="RC16" s="84"/>
      <c r="RD16" s="84"/>
      <c r="RE16" s="84"/>
      <c r="RF16" s="84"/>
      <c r="RG16" s="84"/>
      <c r="RH16" s="84"/>
      <c r="RI16" s="84"/>
      <c r="RJ16" s="84"/>
      <c r="RK16" s="84"/>
      <c r="RL16" s="84"/>
      <c r="RM16" s="84"/>
      <c r="RN16" s="84"/>
      <c r="RO16" s="84"/>
      <c r="RP16" s="84"/>
      <c r="RQ16" s="84"/>
      <c r="RR16" s="84"/>
      <c r="RS16" s="84"/>
      <c r="RT16" s="84"/>
      <c r="RU16" s="84"/>
      <c r="RV16" s="84"/>
      <c r="RW16" s="84"/>
      <c r="RX16" s="84"/>
      <c r="RY16" s="84"/>
      <c r="RZ16" s="84"/>
      <c r="SA16" s="84"/>
      <c r="SB16" s="84"/>
      <c r="SC16" s="84"/>
      <c r="SD16" s="84"/>
      <c r="SE16" s="84"/>
      <c r="SF16" s="84"/>
      <c r="SG16" s="84"/>
      <c r="SH16" s="84"/>
      <c r="SI16" s="84"/>
      <c r="SJ16" s="84"/>
      <c r="SK16" s="84"/>
      <c r="SL16" s="84"/>
      <c r="SM16" s="84"/>
      <c r="SN16" s="84"/>
      <c r="SO16" s="84"/>
      <c r="SP16" s="84"/>
      <c r="SQ16" s="84"/>
      <c r="SR16" s="84"/>
      <c r="SS16" s="84"/>
      <c r="ST16" s="84"/>
      <c r="SU16" s="84"/>
      <c r="SV16" s="84"/>
      <c r="SW16" s="84"/>
      <c r="SX16" s="84"/>
      <c r="SY16" s="84"/>
      <c r="SZ16" s="84"/>
      <c r="TA16" s="84"/>
      <c r="TB16" s="84"/>
      <c r="TC16" s="84"/>
      <c r="TD16" s="84"/>
      <c r="TE16" s="84"/>
      <c r="TF16" s="84"/>
      <c r="TG16" s="84"/>
      <c r="TH16" s="84"/>
      <c r="TI16" s="84"/>
      <c r="TJ16" s="84"/>
      <c r="TK16" s="84"/>
      <c r="TL16" s="84"/>
      <c r="TM16" s="84"/>
      <c r="TN16" s="84"/>
      <c r="TO16" s="84"/>
      <c r="TP16" s="84"/>
      <c r="TQ16" s="84"/>
      <c r="TR16" s="84"/>
      <c r="TS16" s="84"/>
      <c r="TT16" s="84"/>
      <c r="TU16" s="84"/>
      <c r="TV16" s="84"/>
      <c r="TW16" s="84"/>
      <c r="TX16" s="84"/>
      <c r="TY16" s="84"/>
      <c r="TZ16" s="84"/>
      <c r="UA16" s="84"/>
      <c r="UB16" s="84"/>
      <c r="UC16" s="84"/>
      <c r="UD16" s="84"/>
      <c r="UE16" s="84"/>
      <c r="UF16" s="84"/>
      <c r="UG16" s="84"/>
      <c r="UH16" s="84"/>
      <c r="UI16" s="84"/>
      <c r="UJ16" s="84"/>
      <c r="UK16" s="84"/>
      <c r="UL16" s="84"/>
      <c r="UM16" s="84"/>
      <c r="UN16" s="84"/>
      <c r="UO16" s="84"/>
      <c r="UP16" s="84"/>
      <c r="UQ16" s="84"/>
      <c r="UR16" s="84"/>
      <c r="US16" s="84"/>
      <c r="UT16" s="84"/>
      <c r="UU16" s="84"/>
      <c r="UV16" s="84"/>
      <c r="UW16" s="84"/>
      <c r="UX16" s="84"/>
      <c r="UY16" s="84"/>
      <c r="UZ16" s="84"/>
      <c r="VA16" s="84"/>
      <c r="VB16" s="84"/>
      <c r="VC16" s="84"/>
      <c r="VD16" s="84"/>
      <c r="VE16" s="84"/>
      <c r="VF16" s="84"/>
      <c r="VG16" s="84"/>
      <c r="VH16" s="84"/>
      <c r="VI16" s="84"/>
      <c r="VJ16" s="84"/>
      <c r="VK16" s="84"/>
      <c r="VL16" s="84"/>
      <c r="VM16" s="84"/>
      <c r="VN16" s="84"/>
      <c r="VO16" s="84"/>
      <c r="VP16" s="84"/>
      <c r="VQ16" s="84"/>
      <c r="VR16" s="84"/>
      <c r="VS16" s="84"/>
      <c r="VT16" s="84"/>
      <c r="VU16" s="84"/>
      <c r="VV16" s="84"/>
      <c r="VW16" s="84"/>
      <c r="VX16" s="84"/>
      <c r="VY16" s="84"/>
      <c r="VZ16" s="84"/>
      <c r="WA16" s="84"/>
      <c r="WB16" s="84"/>
      <c r="WC16" s="84"/>
      <c r="WD16" s="84"/>
      <c r="WE16" s="84"/>
      <c r="WF16" s="84"/>
      <c r="WG16" s="84"/>
      <c r="WH16" s="84"/>
      <c r="WI16" s="84"/>
      <c r="WJ16" s="84"/>
      <c r="WK16" s="84"/>
      <c r="WL16" s="84"/>
      <c r="WM16" s="84"/>
      <c r="WN16" s="84"/>
      <c r="WO16" s="84"/>
      <c r="WP16" s="84"/>
      <c r="WQ16" s="84"/>
      <c r="WR16" s="84"/>
      <c r="WS16" s="84"/>
      <c r="WT16" s="84"/>
      <c r="WU16" s="84"/>
      <c r="WV16" s="84"/>
      <c r="WW16" s="84"/>
      <c r="WX16" s="84"/>
      <c r="WY16" s="84"/>
      <c r="WZ16" s="84"/>
      <c r="XA16" s="84"/>
      <c r="XB16" s="84"/>
      <c r="XC16" s="84"/>
      <c r="XD16" s="84"/>
      <c r="XE16" s="84"/>
      <c r="XF16" s="84"/>
      <c r="XG16" s="84"/>
      <c r="XH16" s="84"/>
      <c r="XI16" s="84"/>
      <c r="XJ16" s="84"/>
      <c r="XK16" s="84"/>
      <c r="XL16" s="84"/>
      <c r="XM16" s="84"/>
      <c r="XN16" s="84"/>
      <c r="XO16" s="84"/>
      <c r="XP16" s="84"/>
      <c r="XQ16" s="84"/>
      <c r="XR16" s="84"/>
      <c r="XS16" s="84"/>
      <c r="XT16" s="84"/>
      <c r="XU16" s="84"/>
      <c r="XV16" s="84"/>
      <c r="XW16" s="84"/>
      <c r="XX16" s="84"/>
      <c r="XY16" s="84"/>
      <c r="XZ16" s="84"/>
      <c r="YA16" s="84"/>
      <c r="YB16" s="84"/>
      <c r="YC16" s="84"/>
      <c r="YD16" s="84"/>
      <c r="YE16" s="84"/>
      <c r="YF16" s="84"/>
      <c r="YG16" s="84"/>
      <c r="YH16" s="84"/>
      <c r="YI16" s="84"/>
      <c r="YJ16" s="84"/>
      <c r="YK16" s="84"/>
      <c r="YL16" s="84"/>
      <c r="YM16" s="84"/>
      <c r="YN16" s="84"/>
      <c r="YO16" s="84"/>
      <c r="YP16" s="84"/>
      <c r="YQ16" s="84"/>
      <c r="YR16" s="84"/>
      <c r="YS16" s="84"/>
      <c r="YT16" s="84"/>
      <c r="YU16" s="84"/>
      <c r="YV16" s="84"/>
      <c r="YW16" s="84"/>
      <c r="YX16" s="84"/>
      <c r="YY16" s="84"/>
      <c r="YZ16" s="84"/>
      <c r="ZA16" s="84"/>
      <c r="ZB16" s="84"/>
      <c r="ZC16" s="84"/>
      <c r="ZD16" s="84"/>
      <c r="ZE16" s="84"/>
      <c r="ZF16" s="84"/>
      <c r="ZG16" s="84"/>
      <c r="ZH16" s="84"/>
      <c r="ZI16" s="84"/>
      <c r="ZJ16" s="84"/>
      <c r="ZK16" s="84"/>
      <c r="ZL16" s="84"/>
      <c r="ZM16" s="84"/>
      <c r="ZN16" s="84"/>
      <c r="ZO16" s="84"/>
      <c r="ZP16" s="84"/>
      <c r="ZQ16" s="84"/>
      <c r="ZR16" s="84"/>
      <c r="ZS16" s="84"/>
      <c r="ZT16" s="84"/>
      <c r="ZU16" s="84"/>
      <c r="ZV16" s="84"/>
      <c r="ZW16" s="84"/>
      <c r="ZX16" s="84"/>
      <c r="ZY16" s="84"/>
      <c r="ZZ16" s="84"/>
      <c r="AAA16" s="84"/>
      <c r="AAB16" s="84"/>
      <c r="AAC16" s="84"/>
      <c r="AAD16" s="84"/>
      <c r="AAE16" s="84"/>
      <c r="AAF16" s="84"/>
      <c r="AAG16" s="84"/>
      <c r="AAH16" s="84"/>
      <c r="AAI16" s="84"/>
      <c r="AAJ16" s="84"/>
      <c r="AAK16" s="84"/>
      <c r="AAL16" s="84"/>
      <c r="AAM16" s="84"/>
      <c r="AAN16" s="84"/>
      <c r="AAO16" s="84"/>
      <c r="AAP16" s="84"/>
      <c r="AAQ16" s="84"/>
      <c r="AAR16" s="84"/>
      <c r="AAS16" s="84"/>
      <c r="AAT16" s="84"/>
      <c r="AAU16" s="84"/>
      <c r="AAV16" s="84"/>
      <c r="AAW16" s="84"/>
      <c r="AAX16" s="84"/>
      <c r="AAY16" s="84"/>
      <c r="AAZ16" s="84"/>
      <c r="ABA16" s="84"/>
      <c r="ABB16" s="84"/>
      <c r="ABC16" s="84"/>
      <c r="ABD16" s="84"/>
      <c r="ABE16" s="84"/>
      <c r="ABF16" s="84"/>
      <c r="ABG16" s="84"/>
      <c r="ABH16" s="84"/>
      <c r="ABI16" s="84"/>
      <c r="ABJ16" s="84"/>
      <c r="ABK16" s="84"/>
      <c r="ABL16" s="84"/>
      <c r="ABM16" s="84"/>
      <c r="ABN16" s="84"/>
      <c r="ABO16" s="84"/>
      <c r="ABP16" s="84"/>
      <c r="ABQ16" s="84"/>
      <c r="ABR16" s="84"/>
      <c r="ABS16" s="84"/>
      <c r="ABT16" s="84"/>
      <c r="ABU16" s="84"/>
      <c r="ABV16" s="84"/>
      <c r="ABW16" s="84"/>
      <c r="ABX16" s="84"/>
      <c r="ABY16" s="84"/>
      <c r="ABZ16" s="84"/>
      <c r="ACA16" s="84"/>
      <c r="ACB16" s="84"/>
      <c r="ACC16" s="84"/>
      <c r="ACD16" s="84"/>
      <c r="ACE16" s="84"/>
      <c r="ACF16" s="84"/>
      <c r="ACG16" s="84"/>
      <c r="ACH16" s="84"/>
      <c r="ACI16" s="84"/>
      <c r="ACJ16" s="84"/>
      <c r="ACK16" s="84"/>
      <c r="ACL16" s="84"/>
      <c r="ACM16" s="84"/>
      <c r="ACN16" s="84"/>
      <c r="ACO16" s="84"/>
      <c r="ACP16" s="84"/>
      <c r="ACQ16" s="84"/>
      <c r="ACR16" s="84"/>
      <c r="ACS16" s="84"/>
      <c r="ACT16" s="84"/>
      <c r="ACU16" s="84"/>
      <c r="ACV16" s="84"/>
      <c r="ACW16" s="84"/>
      <c r="ACX16" s="84"/>
      <c r="ACY16" s="84"/>
      <c r="ACZ16" s="84"/>
      <c r="ADA16" s="84"/>
      <c r="ADB16" s="84"/>
      <c r="ADC16" s="84"/>
      <c r="ADD16" s="84"/>
      <c r="ADE16" s="84"/>
      <c r="ADF16" s="84"/>
      <c r="ADG16" s="84"/>
      <c r="ADH16" s="84"/>
      <c r="ADI16" s="84"/>
      <c r="ADJ16" s="84"/>
      <c r="ADK16" s="84"/>
      <c r="ADL16" s="84"/>
      <c r="ADM16" s="84"/>
      <c r="ADN16" s="84"/>
      <c r="ADO16" s="84"/>
      <c r="ADP16" s="84"/>
      <c r="ADQ16" s="84"/>
      <c r="ADR16" s="84"/>
      <c r="ADS16" s="84"/>
      <c r="ADT16" s="84"/>
      <c r="ADU16" s="84"/>
      <c r="ADV16" s="84"/>
      <c r="ADW16" s="84"/>
      <c r="ADX16" s="84"/>
      <c r="ADY16" s="84"/>
      <c r="ADZ16" s="84"/>
      <c r="AEA16" s="84"/>
      <c r="AEB16" s="84"/>
      <c r="AEC16" s="84"/>
      <c r="AED16" s="84"/>
      <c r="AEE16" s="84"/>
      <c r="AEF16" s="84"/>
      <c r="AEG16" s="84"/>
      <c r="AEH16" s="84"/>
      <c r="AEI16" s="84"/>
      <c r="AEJ16" s="84"/>
      <c r="AEK16" s="84"/>
      <c r="AEL16" s="84"/>
      <c r="AEM16" s="84"/>
      <c r="AEN16" s="84"/>
      <c r="AEO16" s="84"/>
      <c r="AEP16" s="84"/>
      <c r="AEQ16" s="84"/>
      <c r="AER16" s="84"/>
      <c r="AES16" s="84"/>
      <c r="AET16" s="84"/>
      <c r="AEU16" s="84"/>
      <c r="AEV16" s="84"/>
      <c r="AEW16" s="84"/>
      <c r="AEX16" s="84"/>
      <c r="AEY16" s="84"/>
      <c r="AEZ16" s="84"/>
      <c r="AFA16" s="84"/>
      <c r="AFB16" s="84"/>
      <c r="AFC16" s="84"/>
      <c r="AFD16" s="84"/>
      <c r="AFE16" s="84"/>
      <c r="AFF16" s="84"/>
      <c r="AFG16" s="84"/>
      <c r="AFH16" s="84"/>
      <c r="AFI16" s="84"/>
      <c r="AFJ16" s="84"/>
      <c r="AFK16" s="84"/>
      <c r="AFL16" s="84"/>
      <c r="AFM16" s="84"/>
      <c r="AFN16" s="84"/>
      <c r="AFO16" s="84"/>
      <c r="AFP16" s="84"/>
      <c r="AFQ16" s="84"/>
      <c r="AFR16" s="84"/>
      <c r="AFS16" s="84"/>
      <c r="AFT16" s="84"/>
      <c r="AFU16" s="84"/>
      <c r="AFV16" s="84"/>
      <c r="AFW16" s="84"/>
      <c r="AFX16" s="84"/>
      <c r="AFY16" s="84"/>
      <c r="AFZ16" s="84"/>
      <c r="AGA16" s="84"/>
      <c r="AGB16" s="84"/>
      <c r="AGC16" s="84"/>
      <c r="AGD16" s="84"/>
      <c r="AGE16" s="84"/>
      <c r="AGF16" s="84"/>
      <c r="AGG16" s="84"/>
      <c r="AGH16" s="84"/>
      <c r="AGI16" s="84"/>
      <c r="AGJ16" s="84"/>
      <c r="AGK16" s="84"/>
      <c r="AGL16" s="84"/>
      <c r="AGM16" s="84"/>
      <c r="AGN16" s="84"/>
      <c r="AGO16" s="84"/>
      <c r="AGP16" s="84"/>
      <c r="AGQ16" s="84"/>
      <c r="AGR16" s="84"/>
      <c r="AGS16" s="84"/>
      <c r="AGT16" s="84"/>
      <c r="AGU16" s="84"/>
      <c r="AGV16" s="84"/>
      <c r="AGW16" s="84"/>
      <c r="AGX16" s="84"/>
      <c r="AGY16" s="84"/>
      <c r="AGZ16" s="84"/>
      <c r="AHA16" s="84"/>
      <c r="AHB16" s="84"/>
      <c r="AHC16" s="84"/>
      <c r="AHD16" s="84"/>
      <c r="AHE16" s="84"/>
      <c r="AHF16" s="84"/>
      <c r="AHG16" s="84"/>
      <c r="AHH16" s="84"/>
      <c r="AHI16" s="84"/>
      <c r="AHJ16" s="84"/>
      <c r="AHK16" s="84"/>
      <c r="AHL16" s="84"/>
      <c r="AHM16" s="84"/>
      <c r="AHN16" s="84"/>
      <c r="AHO16" s="84"/>
      <c r="AHP16" s="84"/>
      <c r="AHQ16" s="84"/>
      <c r="AHR16" s="84"/>
      <c r="AHS16" s="84"/>
      <c r="AHT16" s="84"/>
      <c r="AHU16" s="84"/>
      <c r="AHV16" s="84"/>
      <c r="AHW16" s="84"/>
      <c r="AHX16" s="84"/>
      <c r="AHY16" s="84"/>
      <c r="AHZ16" s="84"/>
      <c r="AIA16" s="84"/>
      <c r="AIB16" s="84"/>
      <c r="AIC16" s="84"/>
      <c r="AID16" s="84"/>
      <c r="AIE16" s="84"/>
      <c r="AIF16" s="84"/>
      <c r="AIG16" s="84"/>
      <c r="AIH16" s="84"/>
      <c r="AII16" s="84"/>
      <c r="AIJ16" s="84"/>
      <c r="AIK16" s="84"/>
      <c r="AIL16" s="84"/>
      <c r="AIM16" s="84"/>
      <c r="AIN16" s="84"/>
      <c r="AIO16" s="84"/>
      <c r="AIP16" s="84"/>
      <c r="AIQ16" s="84"/>
      <c r="AIR16" s="84"/>
      <c r="AIS16" s="84"/>
      <c r="AIT16" s="84"/>
      <c r="AIU16" s="84"/>
      <c r="AIV16" s="84"/>
      <c r="AIW16" s="84"/>
      <c r="AIX16" s="84"/>
      <c r="AIY16" s="84"/>
      <c r="AIZ16" s="84"/>
      <c r="AJA16" s="84"/>
      <c r="AJB16" s="84"/>
      <c r="AJC16" s="84"/>
      <c r="AJD16" s="84"/>
      <c r="AJE16" s="84"/>
      <c r="AJF16" s="84"/>
      <c r="AJG16" s="84"/>
      <c r="AJH16" s="84"/>
      <c r="AJI16" s="84"/>
      <c r="AJJ16" s="84"/>
      <c r="AJK16" s="84"/>
      <c r="AJL16" s="84"/>
      <c r="AJM16" s="84"/>
      <c r="AJN16" s="84"/>
      <c r="AJO16" s="84"/>
      <c r="AJP16" s="84"/>
      <c r="AJQ16" s="84"/>
      <c r="AJR16" s="84"/>
      <c r="AJS16" s="84"/>
      <c r="AJT16" s="84"/>
      <c r="AJU16" s="84"/>
      <c r="AJV16" s="84"/>
      <c r="AJW16" s="84"/>
      <c r="AJX16" s="84"/>
      <c r="AJY16" s="84"/>
      <c r="AJZ16" s="84"/>
      <c r="AKA16" s="84"/>
      <c r="AKB16" s="84"/>
      <c r="AKC16" s="84"/>
      <c r="AKD16" s="84"/>
      <c r="AKE16" s="84"/>
      <c r="AKF16" s="84"/>
      <c r="AKG16" s="84"/>
      <c r="AKH16" s="84"/>
      <c r="AKI16" s="84"/>
      <c r="AKJ16" s="84"/>
      <c r="AKK16" s="84"/>
      <c r="AKL16" s="84"/>
      <c r="AKM16" s="84"/>
      <c r="AKN16" s="84"/>
      <c r="AKO16" s="84"/>
      <c r="AKP16" s="84"/>
      <c r="AKQ16" s="84"/>
      <c r="AKR16" s="84"/>
      <c r="AKS16" s="84"/>
      <c r="AKT16" s="84"/>
      <c r="AKU16" s="84"/>
      <c r="AKV16" s="84"/>
      <c r="AKW16" s="84"/>
      <c r="AKX16" s="84"/>
      <c r="AKY16" s="84"/>
      <c r="AKZ16" s="84"/>
      <c r="ALA16" s="84"/>
      <c r="ALB16" s="84"/>
      <c r="ALC16" s="84"/>
      <c r="ALD16" s="84"/>
      <c r="ALE16" s="84"/>
      <c r="ALF16" s="84"/>
      <c r="ALG16" s="84"/>
      <c r="ALH16" s="84"/>
      <c r="ALI16" s="84"/>
      <c r="ALJ16" s="84"/>
      <c r="ALK16" s="84"/>
      <c r="ALL16" s="84"/>
      <c r="ALM16" s="84"/>
      <c r="ALN16" s="84"/>
      <c r="ALO16" s="84"/>
      <c r="ALP16" s="84"/>
      <c r="ALQ16" s="84"/>
      <c r="ALR16" s="84"/>
      <c r="ALS16" s="84"/>
      <c r="ALT16" s="84"/>
      <c r="ALU16" s="84"/>
      <c r="ALV16" s="84"/>
      <c r="ALW16" s="84"/>
      <c r="ALX16" s="84"/>
      <c r="ALY16" s="84"/>
      <c r="ALZ16" s="84"/>
      <c r="AMA16" s="84"/>
      <c r="AMB16" s="84"/>
      <c r="AMC16" s="84"/>
      <c r="AMD16" s="84"/>
      <c r="AME16" s="84"/>
      <c r="AMF16" s="84"/>
      <c r="AMG16" s="84"/>
      <c r="AMH16" s="84"/>
      <c r="AMI16" s="84"/>
      <c r="AMJ16" s="84"/>
      <c r="AMK16" s="84"/>
      <c r="AML16" s="84"/>
      <c r="AMM16" s="84"/>
      <c r="AMN16" s="84"/>
      <c r="AMO16" s="84"/>
      <c r="AMP16" s="84"/>
      <c r="AMQ16" s="84"/>
      <c r="AMR16" s="84"/>
      <c r="AMS16" s="84"/>
      <c r="AMT16" s="84"/>
      <c r="AMU16" s="84"/>
      <c r="AMV16" s="84"/>
      <c r="AMW16" s="84"/>
      <c r="AMX16" s="84"/>
      <c r="AMY16" s="84"/>
      <c r="AMZ16" s="84"/>
      <c r="ANA16" s="84"/>
      <c r="ANB16" s="84"/>
      <c r="ANC16" s="84"/>
      <c r="AND16" s="84"/>
      <c r="ANE16" s="84"/>
      <c r="ANF16" s="84"/>
      <c r="ANG16" s="84"/>
      <c r="ANH16" s="84"/>
      <c r="ANI16" s="84"/>
      <c r="ANJ16" s="84"/>
      <c r="ANK16" s="84"/>
      <c r="ANL16" s="84"/>
      <c r="ANM16" s="84"/>
      <c r="ANN16" s="84"/>
      <c r="ANO16" s="84"/>
      <c r="ANP16" s="84"/>
      <c r="ANQ16" s="84"/>
      <c r="ANR16" s="84"/>
      <c r="ANS16" s="84"/>
      <c r="ANT16" s="84"/>
      <c r="ANU16" s="84"/>
      <c r="ANV16" s="84"/>
      <c r="ANW16" s="84"/>
      <c r="ANX16" s="84"/>
      <c r="ANY16" s="84"/>
      <c r="ANZ16" s="84"/>
      <c r="AOA16" s="84"/>
      <c r="AOB16" s="84"/>
      <c r="AOC16" s="84"/>
      <c r="AOD16" s="84"/>
      <c r="AOE16" s="84"/>
      <c r="AOF16" s="84"/>
      <c r="AOG16" s="84"/>
      <c r="AOH16" s="84"/>
      <c r="AOI16" s="84"/>
      <c r="AOJ16" s="84"/>
      <c r="AOK16" s="84"/>
      <c r="AOL16" s="84"/>
      <c r="AOM16" s="84"/>
      <c r="AON16" s="84"/>
      <c r="AOO16" s="84"/>
      <c r="AOP16" s="84"/>
      <c r="AOQ16" s="84"/>
      <c r="AOR16" s="84"/>
      <c r="AOS16" s="84"/>
      <c r="AOT16" s="84"/>
      <c r="AOU16" s="84"/>
      <c r="AOV16" s="84"/>
      <c r="AOW16" s="84"/>
      <c r="AOX16" s="84"/>
      <c r="AOY16" s="84"/>
      <c r="AOZ16" s="84"/>
      <c r="APA16" s="84"/>
      <c r="APB16" s="84"/>
      <c r="APC16" s="84"/>
      <c r="APD16" s="84"/>
      <c r="APE16" s="84"/>
      <c r="APF16" s="84"/>
      <c r="APG16" s="84"/>
      <c r="APH16" s="84"/>
      <c r="API16" s="84"/>
      <c r="APJ16" s="84"/>
      <c r="APK16" s="84"/>
      <c r="APL16" s="84"/>
      <c r="APM16" s="84"/>
      <c r="APN16" s="84"/>
      <c r="APO16" s="84"/>
      <c r="APP16" s="84"/>
      <c r="APQ16" s="84"/>
      <c r="APR16" s="84"/>
      <c r="APS16" s="84"/>
      <c r="APT16" s="84"/>
      <c r="APU16" s="84"/>
      <c r="APV16" s="84"/>
      <c r="APW16" s="84"/>
      <c r="APX16" s="84"/>
      <c r="APY16" s="84"/>
      <c r="APZ16" s="84"/>
      <c r="AQA16" s="84"/>
      <c r="AQB16" s="84"/>
      <c r="AQC16" s="84"/>
      <c r="AQD16" s="84"/>
      <c r="AQE16" s="84"/>
      <c r="AQF16" s="84"/>
      <c r="AQG16" s="84"/>
      <c r="AQH16" s="84"/>
      <c r="AQI16" s="84"/>
      <c r="AQJ16" s="84"/>
      <c r="AQK16" s="84"/>
      <c r="AQL16" s="84"/>
      <c r="AQM16" s="84"/>
      <c r="AQN16" s="84"/>
      <c r="AQO16" s="84"/>
      <c r="AQP16" s="84"/>
      <c r="AQQ16" s="84"/>
      <c r="AQR16" s="84"/>
      <c r="AQS16" s="84"/>
      <c r="AQT16" s="84"/>
      <c r="AQU16" s="84"/>
      <c r="AQV16" s="84"/>
      <c r="AQW16" s="84"/>
      <c r="AQX16" s="84"/>
      <c r="AQY16" s="84"/>
      <c r="AQZ16" s="84"/>
      <c r="ARA16" s="84"/>
      <c r="ARB16" s="84"/>
      <c r="ARC16" s="84"/>
      <c r="ARD16" s="84"/>
      <c r="ARE16" s="84"/>
      <c r="ARF16" s="84"/>
      <c r="ARG16" s="84"/>
      <c r="ARH16" s="84"/>
      <c r="ARI16" s="84"/>
      <c r="ARJ16" s="84"/>
      <c r="ARK16" s="84"/>
      <c r="ARL16" s="84"/>
      <c r="ARM16" s="84"/>
      <c r="ARN16" s="84"/>
      <c r="ARO16" s="84"/>
      <c r="ARP16" s="84"/>
      <c r="ARQ16" s="84"/>
      <c r="ARR16" s="84"/>
      <c r="ARS16" s="84"/>
      <c r="ART16" s="84"/>
      <c r="ARU16" s="84"/>
      <c r="ARV16" s="84"/>
      <c r="ARW16" s="84"/>
      <c r="ARX16" s="84"/>
      <c r="ARY16" s="84"/>
      <c r="ARZ16" s="84"/>
      <c r="ASA16" s="84"/>
      <c r="ASB16" s="84"/>
      <c r="ASC16" s="84"/>
      <c r="ASD16" s="84"/>
      <c r="ASE16" s="84"/>
      <c r="ASF16" s="84"/>
      <c r="ASG16" s="84"/>
      <c r="ASH16" s="84"/>
      <c r="ASI16" s="84"/>
      <c r="ASJ16" s="84"/>
      <c r="ASK16" s="84"/>
      <c r="ASL16" s="84"/>
      <c r="ASM16" s="84"/>
      <c r="ASN16" s="84"/>
      <c r="ASO16" s="84"/>
      <c r="ASP16" s="84"/>
      <c r="ASQ16" s="84"/>
      <c r="ASR16" s="84"/>
      <c r="ASS16" s="84"/>
      <c r="AST16" s="84"/>
      <c r="ASU16" s="84"/>
      <c r="ASV16" s="84"/>
      <c r="ASW16" s="84"/>
      <c r="ASX16" s="84"/>
      <c r="ASY16" s="84"/>
      <c r="ASZ16" s="84"/>
      <c r="ATA16" s="84"/>
      <c r="ATB16" s="84"/>
      <c r="ATC16" s="84"/>
      <c r="ATD16" s="84"/>
      <c r="ATE16" s="84"/>
      <c r="ATF16" s="84"/>
      <c r="ATG16" s="84"/>
      <c r="ATH16" s="84"/>
      <c r="ATI16" s="84"/>
      <c r="ATJ16" s="84"/>
      <c r="ATK16" s="84"/>
      <c r="ATL16" s="84"/>
      <c r="ATM16" s="84"/>
      <c r="ATN16" s="84"/>
      <c r="ATO16" s="84"/>
      <c r="ATP16" s="84"/>
      <c r="ATQ16" s="84"/>
      <c r="ATR16" s="84"/>
      <c r="ATS16" s="84"/>
      <c r="ATT16" s="84"/>
      <c r="ATU16" s="84"/>
      <c r="ATV16" s="84"/>
      <c r="ATW16" s="84"/>
      <c r="ATX16" s="84"/>
      <c r="ATY16" s="84"/>
      <c r="ATZ16" s="84"/>
      <c r="AUA16" s="84"/>
      <c r="AUB16" s="84"/>
      <c r="AUC16" s="84"/>
      <c r="AUD16" s="84"/>
      <c r="AUE16" s="84"/>
      <c r="AUF16" s="84"/>
      <c r="AUG16" s="84"/>
      <c r="AUH16" s="84"/>
      <c r="AUI16" s="84"/>
      <c r="AUJ16" s="84"/>
      <c r="AUK16" s="84"/>
      <c r="AUL16" s="84"/>
      <c r="AUM16" s="84"/>
      <c r="AUN16" s="84"/>
      <c r="AUO16" s="84"/>
      <c r="AUP16" s="84"/>
      <c r="AUQ16" s="84"/>
      <c r="AUR16" s="84"/>
      <c r="AUS16" s="84"/>
      <c r="AUT16" s="84"/>
      <c r="AUU16" s="84"/>
      <c r="AUV16" s="84"/>
      <c r="AUW16" s="84"/>
      <c r="AUX16" s="84"/>
      <c r="AUY16" s="84"/>
      <c r="AUZ16" s="84"/>
      <c r="AVA16" s="84"/>
      <c r="AVB16" s="84"/>
      <c r="AVC16" s="84"/>
      <c r="AVD16" s="84"/>
      <c r="AVE16" s="84"/>
      <c r="AVF16" s="84"/>
      <c r="AVG16" s="84"/>
      <c r="AVH16" s="84"/>
      <c r="AVI16" s="84"/>
      <c r="AVJ16" s="84"/>
      <c r="AVK16" s="84"/>
      <c r="AVL16" s="84"/>
      <c r="AVM16" s="84"/>
      <c r="AVN16" s="84"/>
      <c r="AVO16" s="84"/>
      <c r="AVP16" s="84"/>
      <c r="AVQ16" s="84"/>
      <c r="AVR16" s="84"/>
      <c r="AVS16" s="84"/>
      <c r="AVT16" s="84"/>
      <c r="AVU16" s="84"/>
      <c r="AVV16" s="84"/>
      <c r="AVW16" s="84"/>
      <c r="AVX16" s="84"/>
      <c r="AVY16" s="84"/>
      <c r="AVZ16" s="84"/>
      <c r="AWA16" s="84"/>
      <c r="AWB16" s="84"/>
      <c r="AWC16" s="84"/>
      <c r="AWD16" s="84"/>
      <c r="AWE16" s="84"/>
      <c r="AWF16" s="84"/>
      <c r="AWG16" s="84"/>
      <c r="AWH16" s="84"/>
      <c r="AWI16" s="84"/>
      <c r="AWJ16" s="84"/>
      <c r="AWK16" s="84"/>
      <c r="AWL16" s="84"/>
      <c r="AWM16" s="84"/>
      <c r="AWN16" s="84"/>
      <c r="AWO16" s="84"/>
      <c r="AWP16" s="84"/>
      <c r="AWQ16" s="84"/>
      <c r="AWR16" s="84"/>
      <c r="AWS16" s="84"/>
      <c r="AWT16" s="84"/>
      <c r="AWU16" s="84"/>
      <c r="AWV16" s="84"/>
      <c r="AWW16" s="84"/>
      <c r="AWX16" s="84"/>
      <c r="AWY16" s="84"/>
      <c r="AWZ16" s="84"/>
      <c r="AXA16" s="84"/>
      <c r="AXB16" s="84"/>
      <c r="AXC16" s="84"/>
      <c r="AXD16" s="84"/>
      <c r="AXE16" s="84"/>
      <c r="AXF16" s="84"/>
      <c r="AXG16" s="84"/>
      <c r="AXH16" s="84"/>
      <c r="AXI16" s="84"/>
      <c r="AXJ16" s="84"/>
      <c r="AXK16" s="84"/>
      <c r="AXL16" s="84"/>
      <c r="AXM16" s="84"/>
      <c r="AXN16" s="84"/>
      <c r="AXO16" s="84"/>
      <c r="AXP16" s="84"/>
      <c r="AXQ16" s="84"/>
      <c r="AXR16" s="84"/>
      <c r="AXS16" s="84"/>
      <c r="AXT16" s="84"/>
      <c r="AXU16" s="84"/>
      <c r="AXV16" s="84"/>
      <c r="AXW16" s="84"/>
      <c r="AXX16" s="84"/>
      <c r="AXY16" s="84"/>
      <c r="AXZ16" s="84"/>
      <c r="AYA16" s="84"/>
      <c r="AYB16" s="84"/>
      <c r="AYC16" s="84"/>
      <c r="AYD16" s="84"/>
      <c r="AYE16" s="84"/>
      <c r="AYF16" s="84"/>
      <c r="AYG16" s="84"/>
      <c r="AYH16" s="84"/>
      <c r="AYI16" s="84"/>
      <c r="AYJ16" s="84"/>
      <c r="AYK16" s="84"/>
      <c r="AYL16" s="84"/>
      <c r="AYM16" s="84"/>
      <c r="AYN16" s="84"/>
      <c r="AYO16" s="84"/>
      <c r="AYP16" s="84"/>
      <c r="AYQ16" s="84"/>
      <c r="AYR16" s="84"/>
      <c r="AYS16" s="84"/>
      <c r="AYT16" s="84"/>
      <c r="AYU16" s="84"/>
      <c r="AYV16" s="84"/>
      <c r="AYW16" s="84"/>
      <c r="AYX16" s="84"/>
      <c r="AYY16" s="84"/>
      <c r="AYZ16" s="84"/>
      <c r="AZA16" s="84"/>
      <c r="AZB16" s="84"/>
      <c r="AZC16" s="84"/>
      <c r="AZD16" s="84"/>
      <c r="AZE16" s="84"/>
      <c r="AZF16" s="84"/>
      <c r="AZG16" s="84"/>
      <c r="AZH16" s="84"/>
      <c r="AZI16" s="84"/>
      <c r="AZJ16" s="84"/>
      <c r="AZK16" s="84"/>
      <c r="AZL16" s="84"/>
      <c r="AZM16" s="84"/>
      <c r="AZN16" s="84"/>
      <c r="AZO16" s="84"/>
      <c r="AZP16" s="84"/>
      <c r="AZQ16" s="84"/>
      <c r="AZR16" s="84"/>
      <c r="AZS16" s="84"/>
      <c r="AZT16" s="84"/>
      <c r="AZU16" s="84"/>
      <c r="AZV16" s="84"/>
      <c r="AZW16" s="84"/>
      <c r="AZX16" s="84"/>
      <c r="AZY16" s="84"/>
      <c r="AZZ16" s="84"/>
      <c r="BAA16" s="84"/>
      <c r="BAB16" s="84"/>
      <c r="BAC16" s="84"/>
      <c r="BAD16" s="84"/>
      <c r="BAE16" s="84"/>
      <c r="BAF16" s="84"/>
      <c r="BAG16" s="84"/>
      <c r="BAH16" s="84"/>
      <c r="BAI16" s="84"/>
      <c r="BAJ16" s="84"/>
      <c r="BAK16" s="84"/>
      <c r="BAL16" s="84"/>
      <c r="BAM16" s="84"/>
      <c r="BAN16" s="84"/>
      <c r="BAO16" s="84"/>
      <c r="BAP16" s="84"/>
      <c r="BAQ16" s="84"/>
      <c r="BAR16" s="84"/>
      <c r="BAS16" s="84"/>
      <c r="BAT16" s="84"/>
      <c r="BAU16" s="84"/>
      <c r="BAV16" s="84"/>
      <c r="BAW16" s="84"/>
      <c r="BAX16" s="84"/>
      <c r="BAY16" s="84"/>
      <c r="BAZ16" s="84"/>
      <c r="BBA16" s="84"/>
      <c r="BBB16" s="84"/>
      <c r="BBC16" s="84"/>
      <c r="BBD16" s="84"/>
      <c r="BBE16" s="84"/>
      <c r="BBF16" s="84"/>
      <c r="BBG16" s="84"/>
      <c r="BBH16" s="84"/>
      <c r="BBI16" s="84"/>
      <c r="BBJ16" s="84"/>
      <c r="BBK16" s="84"/>
      <c r="BBL16" s="84"/>
      <c r="BBM16" s="84"/>
      <c r="BBN16" s="84"/>
      <c r="BBO16" s="84"/>
      <c r="BBP16" s="84"/>
      <c r="BBQ16" s="84"/>
      <c r="BBR16" s="84"/>
      <c r="BBS16" s="84"/>
      <c r="BBT16" s="84"/>
      <c r="BBU16" s="84"/>
      <c r="BBV16" s="84"/>
      <c r="BBW16" s="84"/>
      <c r="BBX16" s="84"/>
      <c r="BBY16" s="84"/>
      <c r="BBZ16" s="84"/>
      <c r="BCA16" s="84"/>
      <c r="BCB16" s="84"/>
      <c r="BCC16" s="84"/>
      <c r="BCD16" s="84"/>
      <c r="BCE16" s="84"/>
      <c r="BCF16" s="84"/>
      <c r="BCG16" s="84"/>
      <c r="BCH16" s="84"/>
      <c r="BCI16" s="84"/>
      <c r="BCJ16" s="84"/>
      <c r="BCK16" s="84"/>
      <c r="BCL16" s="84"/>
      <c r="BCM16" s="84"/>
      <c r="BCN16" s="84"/>
      <c r="BCO16" s="84"/>
      <c r="BCP16" s="84"/>
      <c r="BCQ16" s="84"/>
      <c r="BCR16" s="84"/>
      <c r="BCS16" s="84"/>
      <c r="BCT16" s="84"/>
      <c r="BCU16" s="84"/>
      <c r="BCV16" s="84"/>
      <c r="BCW16" s="84"/>
      <c r="BCX16" s="84"/>
      <c r="BCY16" s="84"/>
      <c r="BCZ16" s="84"/>
      <c r="BDA16" s="84"/>
      <c r="BDB16" s="84"/>
      <c r="BDC16" s="84"/>
      <c r="BDD16" s="84"/>
      <c r="BDE16" s="84"/>
      <c r="BDF16" s="84"/>
      <c r="BDG16" s="84"/>
      <c r="BDH16" s="84"/>
      <c r="BDI16" s="84"/>
      <c r="BDJ16" s="84"/>
      <c r="BDK16" s="84"/>
      <c r="BDL16" s="84"/>
      <c r="BDM16" s="84"/>
      <c r="BDN16" s="84"/>
      <c r="BDO16" s="84"/>
      <c r="BDP16" s="84"/>
      <c r="BDQ16" s="84"/>
      <c r="BDR16" s="84"/>
      <c r="BDS16" s="84"/>
      <c r="BDT16" s="84"/>
      <c r="BDU16" s="84"/>
      <c r="BDV16" s="84"/>
      <c r="BDW16" s="84"/>
      <c r="BDX16" s="84"/>
      <c r="BDY16" s="84"/>
      <c r="BDZ16" s="84"/>
      <c r="BEA16" s="84"/>
      <c r="BEB16" s="84"/>
      <c r="BEC16" s="84"/>
      <c r="BED16" s="84"/>
      <c r="BEE16" s="84"/>
      <c r="BEF16" s="84"/>
      <c r="BEG16" s="84"/>
      <c r="BEH16" s="84"/>
      <c r="BEI16" s="84"/>
      <c r="BEJ16" s="84"/>
      <c r="BEK16" s="84"/>
      <c r="BEL16" s="84"/>
      <c r="BEM16" s="84"/>
      <c r="BEN16" s="84"/>
      <c r="BEO16" s="84"/>
      <c r="BEP16" s="84"/>
      <c r="BEQ16" s="84"/>
      <c r="BER16" s="84"/>
      <c r="BES16" s="84"/>
      <c r="BET16" s="84"/>
      <c r="BEU16" s="84"/>
      <c r="BEV16" s="84"/>
      <c r="BEW16" s="84"/>
      <c r="BEX16" s="84"/>
      <c r="BEY16" s="84"/>
      <c r="BEZ16" s="84"/>
      <c r="BFA16" s="84"/>
      <c r="BFB16" s="84"/>
      <c r="BFC16" s="84"/>
      <c r="BFD16" s="84"/>
      <c r="BFE16" s="84"/>
      <c r="BFF16" s="84"/>
      <c r="BFG16" s="84"/>
      <c r="BFH16" s="84"/>
      <c r="BFI16" s="84"/>
      <c r="BFJ16" s="84"/>
      <c r="BFK16" s="84"/>
      <c r="BFL16" s="84"/>
      <c r="BFM16" s="84"/>
      <c r="BFN16" s="84"/>
      <c r="BFO16" s="84"/>
      <c r="BFP16" s="84"/>
      <c r="BFQ16" s="84"/>
      <c r="BFR16" s="84"/>
      <c r="BFS16" s="84"/>
      <c r="BFT16" s="84"/>
      <c r="BFU16" s="84"/>
      <c r="BFV16" s="84"/>
      <c r="BFW16" s="84"/>
      <c r="BFX16" s="84"/>
      <c r="BFY16" s="84"/>
      <c r="BFZ16" s="84"/>
      <c r="BGA16" s="84"/>
      <c r="BGB16" s="84"/>
      <c r="BGC16" s="84"/>
      <c r="BGD16" s="84"/>
      <c r="BGE16" s="84"/>
      <c r="BGF16" s="84"/>
      <c r="BGG16" s="84"/>
      <c r="BGH16" s="84"/>
      <c r="BGI16" s="84"/>
      <c r="BGJ16" s="84"/>
      <c r="BGK16" s="84"/>
      <c r="BGL16" s="84"/>
      <c r="BGM16" s="84"/>
      <c r="BGN16" s="84"/>
      <c r="BGO16" s="84"/>
      <c r="BGP16" s="84"/>
      <c r="BGQ16" s="84"/>
      <c r="BGR16" s="84"/>
      <c r="BGS16" s="84"/>
      <c r="BGT16" s="84"/>
      <c r="BGU16" s="84"/>
      <c r="BGV16" s="84"/>
      <c r="BGW16" s="84"/>
      <c r="BGX16" s="84"/>
      <c r="BGY16" s="84"/>
      <c r="BGZ16" s="84"/>
      <c r="BHA16" s="84"/>
      <c r="BHB16" s="84"/>
      <c r="BHC16" s="84"/>
      <c r="BHD16" s="84"/>
      <c r="BHE16" s="84"/>
      <c r="BHF16" s="84"/>
      <c r="BHG16" s="84"/>
      <c r="BHH16" s="84"/>
      <c r="BHI16" s="84"/>
      <c r="BHJ16" s="84"/>
      <c r="BHK16" s="84"/>
      <c r="BHL16" s="84"/>
      <c r="BHM16" s="84"/>
      <c r="BHN16" s="84"/>
      <c r="BHO16" s="84"/>
      <c r="BHP16" s="84"/>
      <c r="BHQ16" s="84"/>
      <c r="BHR16" s="84"/>
      <c r="BHS16" s="84"/>
      <c r="BHT16" s="84"/>
      <c r="BHU16" s="84"/>
      <c r="BHV16" s="84"/>
      <c r="BHW16" s="84"/>
      <c r="BHX16" s="84"/>
      <c r="BHY16" s="84"/>
      <c r="BHZ16" s="84"/>
      <c r="BIA16" s="84"/>
      <c r="BIB16" s="84"/>
      <c r="BIC16" s="84"/>
      <c r="BID16" s="84"/>
      <c r="BIE16" s="84"/>
      <c r="BIF16" s="84"/>
      <c r="BIG16" s="84"/>
      <c r="BIH16" s="84"/>
      <c r="BII16" s="84"/>
      <c r="BIJ16" s="84"/>
      <c r="BIK16" s="84"/>
      <c r="BIL16" s="84"/>
      <c r="BIM16" s="84"/>
      <c r="BIN16" s="84"/>
      <c r="BIO16" s="84"/>
      <c r="BIP16" s="84"/>
      <c r="BIQ16" s="84"/>
      <c r="BIR16" s="84"/>
      <c r="BIS16" s="84"/>
      <c r="BIT16" s="84"/>
      <c r="BIU16" s="84"/>
      <c r="BIV16" s="84"/>
      <c r="BIW16" s="84"/>
      <c r="BIX16" s="84"/>
      <c r="BIY16" s="84"/>
      <c r="BIZ16" s="84"/>
      <c r="BJA16" s="84"/>
      <c r="BJB16" s="84"/>
      <c r="BJC16" s="84"/>
      <c r="BJD16" s="84"/>
      <c r="BJE16" s="84"/>
      <c r="BJF16" s="84"/>
      <c r="BJG16" s="84"/>
      <c r="BJH16" s="84"/>
      <c r="BJI16" s="84"/>
      <c r="BJJ16" s="84"/>
      <c r="BJK16" s="84"/>
      <c r="BJL16" s="84"/>
      <c r="BJM16" s="84"/>
      <c r="BJN16" s="84"/>
      <c r="BJO16" s="84"/>
      <c r="BJP16" s="84"/>
      <c r="BJQ16" s="84"/>
      <c r="BJR16" s="84"/>
      <c r="BJS16" s="84"/>
      <c r="BJT16" s="84"/>
      <c r="BJU16" s="84"/>
      <c r="BJV16" s="84"/>
      <c r="BJW16" s="84"/>
      <c r="BJX16" s="84"/>
      <c r="BJY16" s="84"/>
      <c r="BJZ16" s="84"/>
      <c r="BKA16" s="84"/>
      <c r="BKB16" s="84"/>
      <c r="BKC16" s="84"/>
      <c r="BKD16" s="84"/>
      <c r="BKE16" s="84"/>
      <c r="BKF16" s="84"/>
      <c r="BKG16" s="84"/>
      <c r="BKH16" s="84"/>
      <c r="BKI16" s="84"/>
      <c r="BKJ16" s="84"/>
      <c r="BKK16" s="84"/>
      <c r="BKL16" s="84"/>
      <c r="BKM16" s="84"/>
      <c r="BKN16" s="84"/>
      <c r="BKO16" s="84"/>
      <c r="BKP16" s="84"/>
      <c r="BKQ16" s="84"/>
      <c r="BKR16" s="84"/>
      <c r="BKS16" s="84"/>
      <c r="BKT16" s="84"/>
      <c r="BKU16" s="84"/>
      <c r="BKV16" s="84"/>
      <c r="BKW16" s="84"/>
      <c r="BKX16" s="84"/>
      <c r="BKY16" s="84"/>
      <c r="BKZ16" s="84"/>
      <c r="BLA16" s="84"/>
      <c r="BLB16" s="84"/>
      <c r="BLC16" s="84"/>
      <c r="BLD16" s="84"/>
      <c r="BLE16" s="84"/>
      <c r="BLF16" s="84"/>
      <c r="BLG16" s="84"/>
      <c r="BLH16" s="84"/>
      <c r="BLI16" s="84"/>
      <c r="BLJ16" s="84"/>
      <c r="BLK16" s="84"/>
      <c r="BLL16" s="84"/>
      <c r="BLM16" s="84"/>
      <c r="BLN16" s="84"/>
      <c r="BLO16" s="84"/>
      <c r="BLP16" s="84"/>
      <c r="BLQ16" s="84"/>
      <c r="BLR16" s="84"/>
      <c r="BLS16" s="84"/>
      <c r="BLT16" s="84"/>
      <c r="BLU16" s="84"/>
      <c r="BLV16" s="84"/>
      <c r="BLW16" s="84"/>
      <c r="BLX16" s="84"/>
      <c r="BLY16" s="84"/>
      <c r="BLZ16" s="84"/>
      <c r="BMA16" s="84"/>
      <c r="BMB16" s="84"/>
      <c r="BMC16" s="84"/>
      <c r="BMD16" s="84"/>
      <c r="BME16" s="84"/>
      <c r="BMF16" s="84"/>
      <c r="BMG16" s="84"/>
      <c r="BMH16" s="84"/>
      <c r="BMI16" s="84"/>
      <c r="BMJ16" s="84"/>
      <c r="BMK16" s="84"/>
      <c r="BML16" s="84"/>
      <c r="BMM16" s="84"/>
      <c r="BMN16" s="84"/>
      <c r="BMO16" s="84"/>
      <c r="BMP16" s="84"/>
      <c r="BMQ16" s="84"/>
      <c r="BMR16" s="84"/>
      <c r="BMS16" s="84"/>
      <c r="BMT16" s="84"/>
      <c r="BMU16" s="84"/>
      <c r="BMV16" s="84"/>
      <c r="BMW16" s="84"/>
      <c r="BMX16" s="84"/>
      <c r="BMY16" s="84"/>
      <c r="BMZ16" s="84"/>
      <c r="BNA16" s="84"/>
      <c r="BNB16" s="84"/>
      <c r="BNC16" s="84"/>
      <c r="BND16" s="84"/>
      <c r="BNE16" s="84"/>
      <c r="BNF16" s="84"/>
      <c r="BNG16" s="84"/>
      <c r="BNH16" s="84"/>
      <c r="BNI16" s="84"/>
      <c r="BNJ16" s="84"/>
      <c r="BNK16" s="84"/>
      <c r="BNL16" s="84"/>
      <c r="BNM16" s="84"/>
      <c r="BNN16" s="84"/>
      <c r="BNO16" s="84"/>
      <c r="BNP16" s="84"/>
      <c r="BNQ16" s="84"/>
      <c r="BNR16" s="84"/>
      <c r="BNS16" s="84"/>
      <c r="BNT16" s="84"/>
      <c r="BNU16" s="84"/>
      <c r="BNV16" s="84"/>
      <c r="BNW16" s="84"/>
      <c r="BNX16" s="84"/>
      <c r="BNY16" s="84"/>
      <c r="BNZ16" s="84"/>
      <c r="BOA16" s="84"/>
      <c r="BOB16" s="84"/>
      <c r="BOC16" s="84"/>
      <c r="BOD16" s="84"/>
      <c r="BOE16" s="84"/>
      <c r="BOF16" s="84"/>
      <c r="BOG16" s="84"/>
      <c r="BOH16" s="84"/>
      <c r="BOI16" s="84"/>
      <c r="BOJ16" s="84"/>
      <c r="BOK16" s="84"/>
      <c r="BOL16" s="84"/>
      <c r="BOM16" s="84"/>
      <c r="BON16" s="84"/>
      <c r="BOO16" s="84"/>
      <c r="BOP16" s="84"/>
      <c r="BOQ16" s="84"/>
      <c r="BOR16" s="84"/>
      <c r="BOS16" s="84"/>
      <c r="BOT16" s="84"/>
      <c r="BOU16" s="84"/>
      <c r="BOV16" s="84"/>
      <c r="BOW16" s="84"/>
      <c r="BOX16" s="84"/>
      <c r="BOY16" s="84"/>
      <c r="BOZ16" s="84"/>
      <c r="BPA16" s="84"/>
      <c r="BPB16" s="84"/>
      <c r="BPC16" s="84"/>
      <c r="BPD16" s="84"/>
      <c r="BPE16" s="84"/>
      <c r="BPF16" s="84"/>
      <c r="BPG16" s="84"/>
      <c r="BPH16" s="84"/>
      <c r="BPI16" s="84"/>
      <c r="BPJ16" s="84"/>
      <c r="BPK16" s="84"/>
      <c r="BPL16" s="84"/>
      <c r="BPM16" s="84"/>
      <c r="BPN16" s="84"/>
      <c r="BPO16" s="84"/>
      <c r="BPP16" s="84"/>
      <c r="BPQ16" s="84"/>
      <c r="BPR16" s="84"/>
      <c r="BPS16" s="84"/>
      <c r="BPT16" s="84"/>
      <c r="BPU16" s="84"/>
      <c r="BPV16" s="84"/>
      <c r="BPW16" s="84"/>
      <c r="BPX16" s="84"/>
      <c r="BPY16" s="84"/>
      <c r="BPZ16" s="84"/>
      <c r="BQA16" s="84"/>
      <c r="BQB16" s="84"/>
      <c r="BQC16" s="84"/>
      <c r="BQD16" s="84"/>
      <c r="BQE16" s="84"/>
      <c r="BQF16" s="84"/>
      <c r="BQG16" s="84"/>
      <c r="BQH16" s="84"/>
      <c r="BQI16" s="84"/>
      <c r="BQJ16" s="84"/>
      <c r="BQK16" s="84"/>
      <c r="BQL16" s="84"/>
      <c r="BQM16" s="84"/>
      <c r="BQN16" s="84"/>
      <c r="BQO16" s="84"/>
      <c r="BQP16" s="84"/>
      <c r="BQQ16" s="84"/>
      <c r="BQR16" s="84"/>
      <c r="BQS16" s="84"/>
      <c r="BQT16" s="84"/>
      <c r="BQU16" s="84"/>
      <c r="BQV16" s="84"/>
      <c r="BQW16" s="84"/>
      <c r="BQX16" s="84"/>
      <c r="BQY16" s="84"/>
      <c r="BQZ16" s="84"/>
      <c r="BRA16" s="84"/>
      <c r="BRB16" s="84"/>
      <c r="BRC16" s="84"/>
      <c r="BRD16" s="84"/>
      <c r="BRE16" s="84"/>
      <c r="BRF16" s="84"/>
      <c r="BRG16" s="84"/>
      <c r="BRH16" s="84"/>
      <c r="BRI16" s="84"/>
      <c r="BRJ16" s="84"/>
      <c r="BRK16" s="84"/>
      <c r="BRL16" s="84"/>
      <c r="BRM16" s="84"/>
      <c r="BRN16" s="84"/>
      <c r="BRO16" s="84"/>
      <c r="BRP16" s="84"/>
      <c r="BRQ16" s="84"/>
      <c r="BRR16" s="84"/>
      <c r="BRS16" s="84"/>
      <c r="BRT16" s="84"/>
      <c r="BRU16" s="84"/>
      <c r="BRV16" s="84"/>
      <c r="BRW16" s="84"/>
      <c r="BRX16" s="84"/>
      <c r="BRY16" s="84"/>
      <c r="BRZ16" s="84"/>
      <c r="BSA16" s="84"/>
      <c r="BSB16" s="84"/>
      <c r="BSC16" s="84"/>
      <c r="BSD16" s="84"/>
      <c r="BSE16" s="84"/>
      <c r="BSF16" s="84"/>
      <c r="BSG16" s="84"/>
      <c r="BSH16" s="84"/>
      <c r="BSI16" s="84"/>
      <c r="BSJ16" s="84"/>
      <c r="BSK16" s="84"/>
      <c r="BSL16" s="84"/>
      <c r="BSM16" s="84"/>
      <c r="BSN16" s="84"/>
      <c r="BSO16" s="84"/>
      <c r="BSP16" s="84"/>
      <c r="BSQ16" s="84"/>
      <c r="BSR16" s="84"/>
      <c r="BSS16" s="84"/>
      <c r="BST16" s="84"/>
      <c r="BSU16" s="84"/>
      <c r="BSV16" s="84"/>
      <c r="BSW16" s="84"/>
      <c r="BSX16" s="84"/>
      <c r="BSY16" s="84"/>
      <c r="BSZ16" s="84"/>
      <c r="BTA16" s="84"/>
      <c r="BTB16" s="84"/>
      <c r="BTC16" s="84"/>
      <c r="BTD16" s="84"/>
      <c r="BTE16" s="84"/>
      <c r="BTF16" s="84"/>
      <c r="BTG16" s="84"/>
      <c r="BTH16" s="84"/>
      <c r="BTI16" s="84"/>
      <c r="BTJ16" s="84"/>
      <c r="BTK16" s="84"/>
      <c r="BTL16" s="84"/>
      <c r="BTM16" s="84"/>
      <c r="BTN16" s="84"/>
      <c r="BTO16" s="84"/>
      <c r="BTP16" s="84"/>
      <c r="BTQ16" s="84"/>
      <c r="BTR16" s="84"/>
      <c r="BTS16" s="84"/>
      <c r="BTT16" s="84"/>
      <c r="BTU16" s="84"/>
      <c r="BTV16" s="84"/>
      <c r="BTW16" s="84"/>
      <c r="BTX16" s="84"/>
      <c r="BTY16" s="84"/>
      <c r="BTZ16" s="84"/>
      <c r="BUA16" s="84"/>
      <c r="BUB16" s="84"/>
      <c r="BUC16" s="84"/>
      <c r="BUD16" s="84"/>
      <c r="BUE16" s="84"/>
      <c r="BUF16" s="84"/>
      <c r="BUG16" s="84"/>
      <c r="BUH16" s="84"/>
      <c r="BUI16" s="84"/>
      <c r="BUJ16" s="84"/>
      <c r="BUK16" s="84"/>
      <c r="BUL16" s="84"/>
      <c r="BUM16" s="84"/>
      <c r="BUN16" s="84"/>
      <c r="BUO16" s="84"/>
      <c r="BUP16" s="84"/>
      <c r="BUQ16" s="84"/>
      <c r="BUR16" s="84"/>
      <c r="BUS16" s="84"/>
      <c r="BUT16" s="84"/>
      <c r="BUU16" s="84"/>
      <c r="BUV16" s="84"/>
      <c r="BUW16" s="84"/>
      <c r="BUX16" s="84"/>
      <c r="BUY16" s="84"/>
      <c r="BUZ16" s="84"/>
      <c r="BVA16" s="84"/>
      <c r="BVB16" s="84"/>
      <c r="BVC16" s="84"/>
      <c r="BVD16" s="84"/>
      <c r="BVE16" s="84"/>
      <c r="BVF16" s="84"/>
      <c r="BVG16" s="84"/>
      <c r="BVH16" s="84"/>
      <c r="BVI16" s="84"/>
      <c r="BVJ16" s="84"/>
      <c r="BVK16" s="84"/>
      <c r="BVL16" s="84"/>
      <c r="BVM16" s="84"/>
      <c r="BVN16" s="84"/>
      <c r="BVO16" s="84"/>
      <c r="BVP16" s="84"/>
      <c r="BVQ16" s="84"/>
      <c r="BVR16" s="84"/>
      <c r="BVS16" s="84"/>
      <c r="BVT16" s="84"/>
      <c r="BVU16" s="84"/>
      <c r="BVV16" s="84"/>
      <c r="BVW16" s="84"/>
      <c r="BVX16" s="84"/>
      <c r="BVY16" s="84"/>
      <c r="BVZ16" s="84"/>
      <c r="BWA16" s="84"/>
      <c r="BWB16" s="84"/>
      <c r="BWC16" s="84"/>
      <c r="BWD16" s="84"/>
      <c r="BWE16" s="84"/>
      <c r="BWF16" s="84"/>
      <c r="BWG16" s="84"/>
      <c r="BWH16" s="84"/>
      <c r="BWI16" s="84"/>
      <c r="BWJ16" s="84"/>
      <c r="BWK16" s="84"/>
      <c r="BWL16" s="84"/>
      <c r="BWM16" s="84"/>
      <c r="BWN16" s="84"/>
      <c r="BWO16" s="84"/>
      <c r="BWP16" s="84"/>
      <c r="BWQ16" s="84"/>
      <c r="BWR16" s="84"/>
      <c r="BWS16" s="84"/>
      <c r="BWT16" s="84"/>
      <c r="BWU16" s="84"/>
      <c r="BWV16" s="84"/>
      <c r="BWW16" s="84"/>
      <c r="BWX16" s="84"/>
      <c r="BWY16" s="84"/>
      <c r="BWZ16" s="84"/>
      <c r="BXA16" s="84"/>
      <c r="BXB16" s="84"/>
      <c r="BXC16" s="84"/>
      <c r="BXD16" s="84"/>
      <c r="BXE16" s="84"/>
      <c r="BXF16" s="84"/>
      <c r="BXG16" s="84"/>
      <c r="BXH16" s="84"/>
      <c r="BXI16" s="84"/>
      <c r="BXJ16" s="84"/>
      <c r="BXK16" s="84"/>
      <c r="BXL16" s="84"/>
      <c r="BXM16" s="84"/>
      <c r="BXN16" s="84"/>
      <c r="BXO16" s="84"/>
      <c r="BXP16" s="84"/>
      <c r="BXQ16" s="84"/>
      <c r="BXR16" s="84"/>
      <c r="BXS16" s="84"/>
      <c r="BXT16" s="84"/>
      <c r="BXU16" s="84"/>
      <c r="BXV16" s="84"/>
      <c r="BXW16" s="84"/>
      <c r="BXX16" s="84"/>
      <c r="BXY16" s="84"/>
      <c r="BXZ16" s="84"/>
      <c r="BYA16" s="84"/>
      <c r="BYB16" s="84"/>
      <c r="BYC16" s="84"/>
      <c r="BYD16" s="84"/>
      <c r="BYE16" s="84"/>
      <c r="BYF16" s="84"/>
      <c r="BYG16" s="84"/>
      <c r="BYH16" s="84"/>
      <c r="BYI16" s="84"/>
      <c r="BYJ16" s="84"/>
      <c r="BYK16" s="84"/>
      <c r="BYL16" s="84"/>
      <c r="BYM16" s="84"/>
      <c r="BYN16" s="84"/>
      <c r="BYO16" s="84"/>
      <c r="BYP16" s="84"/>
      <c r="BYQ16" s="84"/>
      <c r="BYR16" s="84"/>
      <c r="BYS16" s="84"/>
      <c r="BYT16" s="84"/>
      <c r="BYU16" s="84"/>
      <c r="BYV16" s="84"/>
      <c r="BYW16" s="84"/>
      <c r="BYX16" s="84"/>
      <c r="BYY16" s="84"/>
      <c r="BYZ16" s="84"/>
      <c r="BZA16" s="84"/>
      <c r="BZB16" s="84"/>
      <c r="BZC16" s="84"/>
      <c r="BZD16" s="84"/>
      <c r="BZE16" s="84"/>
      <c r="BZF16" s="84"/>
      <c r="BZG16" s="84"/>
      <c r="BZH16" s="84"/>
      <c r="BZI16" s="84"/>
      <c r="BZJ16" s="84"/>
      <c r="BZK16" s="84"/>
      <c r="BZL16" s="84"/>
      <c r="BZM16" s="84"/>
      <c r="BZN16" s="84"/>
      <c r="BZO16" s="84"/>
      <c r="BZP16" s="84"/>
      <c r="BZQ16" s="84"/>
      <c r="BZR16" s="84"/>
      <c r="BZS16" s="84"/>
      <c r="BZT16" s="84"/>
      <c r="BZU16" s="84"/>
      <c r="BZV16" s="84"/>
      <c r="BZW16" s="84"/>
      <c r="BZX16" s="84"/>
      <c r="BZY16" s="84"/>
      <c r="BZZ16" s="84"/>
      <c r="CAA16" s="84"/>
      <c r="CAB16" s="84"/>
      <c r="CAC16" s="84"/>
      <c r="CAD16" s="84"/>
      <c r="CAE16" s="84"/>
      <c r="CAF16" s="84"/>
      <c r="CAG16" s="84"/>
      <c r="CAH16" s="84"/>
      <c r="CAI16" s="84"/>
      <c r="CAJ16" s="84"/>
      <c r="CAK16" s="84"/>
      <c r="CAL16" s="84"/>
      <c r="CAM16" s="84"/>
      <c r="CAN16" s="84"/>
      <c r="CAO16" s="84"/>
      <c r="CAP16" s="84"/>
      <c r="CAQ16" s="84"/>
      <c r="CAR16" s="84"/>
      <c r="CAS16" s="84"/>
      <c r="CAT16" s="84"/>
      <c r="CAU16" s="84"/>
      <c r="CAV16" s="84"/>
      <c r="CAW16" s="84"/>
      <c r="CAX16" s="84"/>
      <c r="CAY16" s="84"/>
      <c r="CAZ16" s="84"/>
      <c r="CBA16" s="84"/>
      <c r="CBB16" s="84"/>
      <c r="CBC16" s="84"/>
      <c r="CBD16" s="84"/>
      <c r="CBE16" s="84"/>
      <c r="CBF16" s="84"/>
      <c r="CBG16" s="84"/>
      <c r="CBH16" s="84"/>
      <c r="CBI16" s="84"/>
      <c r="CBJ16" s="84"/>
      <c r="CBK16" s="84"/>
      <c r="CBL16" s="84"/>
      <c r="CBM16" s="84"/>
      <c r="CBN16" s="84"/>
      <c r="CBO16" s="84"/>
      <c r="CBP16" s="84"/>
      <c r="CBQ16" s="84"/>
      <c r="CBR16" s="84"/>
      <c r="CBS16" s="84"/>
      <c r="CBT16" s="84"/>
      <c r="CBU16" s="84"/>
      <c r="CBV16" s="84"/>
      <c r="CBW16" s="84"/>
      <c r="CBX16" s="84"/>
      <c r="CBY16" s="84"/>
      <c r="CBZ16" s="84"/>
      <c r="CCA16" s="84"/>
      <c r="CCB16" s="84"/>
      <c r="CCC16" s="84"/>
      <c r="CCD16" s="84"/>
      <c r="CCE16" s="84"/>
      <c r="CCF16" s="84"/>
      <c r="CCG16" s="84"/>
      <c r="CCH16" s="84"/>
      <c r="CCI16" s="84"/>
      <c r="CCJ16" s="84"/>
      <c r="CCK16" s="84"/>
      <c r="CCL16" s="84"/>
      <c r="CCM16" s="84"/>
      <c r="CCN16" s="84"/>
      <c r="CCO16" s="84"/>
      <c r="CCP16" s="84"/>
      <c r="CCQ16" s="84"/>
      <c r="CCR16" s="84"/>
      <c r="CCS16" s="84"/>
      <c r="CCT16" s="84"/>
      <c r="CCU16" s="84"/>
      <c r="CCV16" s="84"/>
      <c r="CCW16" s="84"/>
      <c r="CCX16" s="84"/>
      <c r="CCY16" s="84"/>
      <c r="CCZ16" s="84"/>
      <c r="CDA16" s="84"/>
      <c r="CDB16" s="84"/>
      <c r="CDC16" s="84"/>
      <c r="CDD16" s="84"/>
      <c r="CDE16" s="84"/>
      <c r="CDF16" s="84"/>
      <c r="CDG16" s="84"/>
      <c r="CDH16" s="84"/>
      <c r="CDI16" s="84"/>
      <c r="CDJ16" s="84"/>
      <c r="CDK16" s="84"/>
      <c r="CDL16" s="84"/>
      <c r="CDM16" s="84"/>
      <c r="CDN16" s="84"/>
      <c r="CDO16" s="84"/>
      <c r="CDP16" s="84"/>
      <c r="CDQ16" s="84"/>
      <c r="CDR16" s="84"/>
      <c r="CDS16" s="84"/>
      <c r="CDT16" s="84"/>
      <c r="CDU16" s="84"/>
      <c r="CDV16" s="84"/>
      <c r="CDW16" s="84"/>
      <c r="CDX16" s="84"/>
      <c r="CDY16" s="84"/>
      <c r="CDZ16" s="84"/>
      <c r="CEA16" s="84"/>
      <c r="CEB16" s="84"/>
      <c r="CEC16" s="84"/>
      <c r="CED16" s="84"/>
      <c r="CEE16" s="84"/>
      <c r="CEF16" s="84"/>
      <c r="CEG16" s="84"/>
      <c r="CEH16" s="84"/>
      <c r="CEI16" s="84"/>
      <c r="CEJ16" s="84"/>
      <c r="CEK16" s="84"/>
      <c r="CEL16" s="84"/>
      <c r="CEM16" s="84"/>
      <c r="CEN16" s="84"/>
      <c r="CEO16" s="84"/>
      <c r="CEP16" s="84"/>
      <c r="CEQ16" s="84"/>
      <c r="CER16" s="84"/>
      <c r="CES16" s="84"/>
      <c r="CET16" s="84"/>
      <c r="CEU16" s="84"/>
      <c r="CEV16" s="84"/>
      <c r="CEW16" s="84"/>
      <c r="CEX16" s="84"/>
      <c r="CEY16" s="84"/>
      <c r="CEZ16" s="84"/>
      <c r="CFA16" s="84"/>
      <c r="CFB16" s="84"/>
      <c r="CFC16" s="84"/>
      <c r="CFD16" s="84"/>
      <c r="CFE16" s="84"/>
      <c r="CFF16" s="84"/>
      <c r="CFG16" s="84"/>
      <c r="CFH16" s="84"/>
      <c r="CFI16" s="84"/>
      <c r="CFJ16" s="84"/>
      <c r="CFK16" s="84"/>
      <c r="CFL16" s="84"/>
      <c r="CFM16" s="84"/>
      <c r="CFN16" s="84"/>
      <c r="CFO16" s="84"/>
      <c r="CFP16" s="84"/>
      <c r="CFQ16" s="84"/>
      <c r="CFR16" s="84"/>
      <c r="CFS16" s="84"/>
      <c r="CFT16" s="84"/>
      <c r="CFU16" s="84"/>
      <c r="CFV16" s="84"/>
      <c r="CFW16" s="84"/>
      <c r="CFX16" s="84"/>
      <c r="CFY16" s="84"/>
      <c r="CFZ16" s="84"/>
      <c r="CGA16" s="84"/>
      <c r="CGB16" s="84"/>
      <c r="CGC16" s="84"/>
      <c r="CGD16" s="84"/>
      <c r="CGE16" s="84"/>
      <c r="CGF16" s="84"/>
      <c r="CGG16" s="84"/>
      <c r="CGH16" s="84"/>
      <c r="CGI16" s="84"/>
      <c r="CGJ16" s="84"/>
      <c r="CGK16" s="84"/>
      <c r="CGL16" s="84"/>
      <c r="CGM16" s="84"/>
      <c r="CGN16" s="84"/>
      <c r="CGO16" s="84"/>
      <c r="CGP16" s="84"/>
      <c r="CGQ16" s="84"/>
      <c r="CGR16" s="84"/>
      <c r="CGS16" s="84"/>
      <c r="CGT16" s="84"/>
      <c r="CGU16" s="84"/>
      <c r="CGV16" s="84"/>
      <c r="CGW16" s="84"/>
      <c r="CGX16" s="84"/>
      <c r="CGY16" s="84"/>
      <c r="CGZ16" s="84"/>
      <c r="CHA16" s="84"/>
      <c r="CHB16" s="84"/>
      <c r="CHC16" s="84"/>
      <c r="CHD16" s="84"/>
      <c r="CHE16" s="84"/>
      <c r="CHF16" s="84"/>
      <c r="CHG16" s="84"/>
      <c r="CHH16" s="84"/>
      <c r="CHI16" s="84"/>
      <c r="CHJ16" s="84"/>
      <c r="CHK16" s="84"/>
      <c r="CHL16" s="84"/>
      <c r="CHM16" s="84"/>
      <c r="CHN16" s="84"/>
      <c r="CHO16" s="84"/>
      <c r="CHP16" s="84"/>
      <c r="CHQ16" s="84"/>
      <c r="CHR16" s="84"/>
      <c r="CHS16" s="84"/>
      <c r="CHT16" s="84"/>
      <c r="CHU16" s="84"/>
      <c r="CHV16" s="84"/>
      <c r="CHW16" s="84"/>
      <c r="CHX16" s="84"/>
      <c r="CHY16" s="84"/>
      <c r="CHZ16" s="84"/>
      <c r="CIA16" s="84"/>
      <c r="CIB16" s="84"/>
      <c r="CIC16" s="84"/>
      <c r="CID16" s="84"/>
      <c r="CIE16" s="84"/>
      <c r="CIF16" s="84"/>
      <c r="CIG16" s="84"/>
      <c r="CIH16" s="84"/>
      <c r="CII16" s="84"/>
      <c r="CIJ16" s="84"/>
      <c r="CIK16" s="84"/>
      <c r="CIL16" s="84"/>
      <c r="CIM16" s="84"/>
      <c r="CIN16" s="84"/>
      <c r="CIO16" s="84"/>
      <c r="CIP16" s="84"/>
      <c r="CIQ16" s="84"/>
      <c r="CIR16" s="84"/>
      <c r="CIS16" s="84"/>
      <c r="CIT16" s="84"/>
      <c r="CIU16" s="84"/>
      <c r="CIV16" s="84"/>
      <c r="CIW16" s="84"/>
      <c r="CIX16" s="84"/>
      <c r="CIY16" s="84"/>
      <c r="CIZ16" s="84"/>
      <c r="CJA16" s="84"/>
      <c r="CJB16" s="84"/>
      <c r="CJC16" s="84"/>
      <c r="CJD16" s="84"/>
      <c r="CJE16" s="84"/>
      <c r="CJF16" s="84"/>
      <c r="CJG16" s="84"/>
      <c r="CJH16" s="84"/>
      <c r="CJI16" s="84"/>
      <c r="CJJ16" s="84"/>
      <c r="CJK16" s="84"/>
      <c r="CJL16" s="84"/>
      <c r="CJM16" s="84"/>
      <c r="CJN16" s="84"/>
      <c r="CJO16" s="84"/>
      <c r="CJP16" s="84"/>
      <c r="CJQ16" s="84"/>
      <c r="CJR16" s="84"/>
      <c r="CJS16" s="84"/>
      <c r="CJT16" s="84"/>
      <c r="CJU16" s="84"/>
      <c r="CJV16" s="84"/>
      <c r="CJW16" s="84"/>
      <c r="CJX16" s="84"/>
      <c r="CJY16" s="84"/>
      <c r="CJZ16" s="84"/>
      <c r="CKA16" s="84"/>
      <c r="CKB16" s="84"/>
      <c r="CKC16" s="84"/>
      <c r="CKD16" s="84"/>
      <c r="CKE16" s="84"/>
      <c r="CKF16" s="84"/>
      <c r="CKG16" s="84"/>
      <c r="CKH16" s="84"/>
      <c r="CKI16" s="84"/>
      <c r="CKJ16" s="84"/>
      <c r="CKK16" s="84"/>
      <c r="CKL16" s="84"/>
      <c r="CKM16" s="84"/>
      <c r="CKN16" s="84"/>
      <c r="CKO16" s="84"/>
      <c r="CKP16" s="84"/>
      <c r="CKQ16" s="84"/>
      <c r="CKR16" s="84"/>
      <c r="CKS16" s="84"/>
      <c r="CKT16" s="84"/>
      <c r="CKU16" s="84"/>
      <c r="CKV16" s="84"/>
      <c r="CKW16" s="84"/>
      <c r="CKX16" s="84"/>
      <c r="CKY16" s="84"/>
      <c r="CKZ16" s="84"/>
      <c r="CLA16" s="84"/>
      <c r="CLB16" s="84"/>
      <c r="CLC16" s="84"/>
      <c r="CLD16" s="84"/>
      <c r="CLE16" s="84"/>
      <c r="CLF16" s="84"/>
      <c r="CLG16" s="84"/>
      <c r="CLH16" s="84"/>
      <c r="CLI16" s="84"/>
      <c r="CLJ16" s="84"/>
      <c r="CLK16" s="84"/>
      <c r="CLL16" s="84"/>
      <c r="CLM16" s="84"/>
      <c r="CLN16" s="84"/>
      <c r="CLO16" s="84"/>
      <c r="CLP16" s="84"/>
      <c r="CLQ16" s="84"/>
      <c r="CLR16" s="84"/>
      <c r="CLS16" s="84"/>
      <c r="CLT16" s="84"/>
      <c r="CLU16" s="84"/>
      <c r="CLV16" s="84"/>
      <c r="CLW16" s="84"/>
      <c r="CLX16" s="84"/>
      <c r="CLY16" s="84"/>
      <c r="CLZ16" s="84"/>
      <c r="CMA16" s="84"/>
      <c r="CMB16" s="84"/>
      <c r="CMC16" s="84"/>
      <c r="CMD16" s="84"/>
      <c r="CME16" s="84"/>
      <c r="CMF16" s="84"/>
      <c r="CMG16" s="84"/>
      <c r="CMH16" s="84"/>
      <c r="CMI16" s="84"/>
      <c r="CMJ16" s="84"/>
      <c r="CMK16" s="84"/>
      <c r="CML16" s="84"/>
      <c r="CMM16" s="84"/>
      <c r="CMN16" s="84"/>
      <c r="CMO16" s="84"/>
      <c r="CMP16" s="84"/>
      <c r="CMQ16" s="84"/>
      <c r="CMR16" s="84"/>
      <c r="CMS16" s="84"/>
      <c r="CMT16" s="84"/>
      <c r="CMU16" s="84"/>
      <c r="CMV16" s="84"/>
      <c r="CMW16" s="84"/>
      <c r="CMX16" s="84"/>
      <c r="CMY16" s="84"/>
      <c r="CMZ16" s="84"/>
      <c r="CNA16" s="84"/>
      <c r="CNB16" s="84"/>
      <c r="CNC16" s="84"/>
      <c r="CND16" s="84"/>
      <c r="CNE16" s="84"/>
      <c r="CNF16" s="84"/>
      <c r="CNG16" s="84"/>
      <c r="CNH16" s="84"/>
      <c r="CNI16" s="84"/>
      <c r="CNJ16" s="84"/>
      <c r="CNK16" s="84"/>
      <c r="CNL16" s="84"/>
      <c r="CNM16" s="84"/>
      <c r="CNN16" s="84"/>
      <c r="CNO16" s="84"/>
      <c r="CNP16" s="84"/>
      <c r="CNQ16" s="84"/>
      <c r="CNR16" s="84"/>
      <c r="CNS16" s="84"/>
      <c r="CNT16" s="84"/>
      <c r="CNU16" s="84"/>
      <c r="CNV16" s="84"/>
      <c r="CNW16" s="84"/>
      <c r="CNX16" s="84"/>
      <c r="CNY16" s="84"/>
      <c r="CNZ16" s="84"/>
      <c r="COA16" s="84"/>
      <c r="COB16" s="84"/>
      <c r="COC16" s="84"/>
      <c r="COD16" s="84"/>
      <c r="COE16" s="84"/>
      <c r="COF16" s="84"/>
      <c r="COG16" s="84"/>
      <c r="COH16" s="84"/>
      <c r="COI16" s="84"/>
      <c r="COJ16" s="84"/>
      <c r="COK16" s="84"/>
      <c r="COL16" s="84"/>
      <c r="COM16" s="84"/>
      <c r="CON16" s="84"/>
      <c r="COO16" s="84"/>
      <c r="COP16" s="84"/>
      <c r="COQ16" s="84"/>
      <c r="COR16" s="84"/>
      <c r="COS16" s="84"/>
      <c r="COT16" s="84"/>
      <c r="COU16" s="84"/>
      <c r="COV16" s="84"/>
      <c r="COW16" s="84"/>
      <c r="COX16" s="84"/>
      <c r="COY16" s="84"/>
      <c r="COZ16" s="84"/>
      <c r="CPA16" s="84"/>
      <c r="CPB16" s="84"/>
      <c r="CPC16" s="84"/>
      <c r="CPD16" s="84"/>
      <c r="CPE16" s="84"/>
      <c r="CPF16" s="84"/>
      <c r="CPG16" s="84"/>
      <c r="CPH16" s="84"/>
      <c r="CPI16" s="84"/>
      <c r="CPJ16" s="84"/>
      <c r="CPK16" s="84"/>
      <c r="CPL16" s="84"/>
      <c r="CPM16" s="84"/>
      <c r="CPN16" s="84"/>
      <c r="CPO16" s="84"/>
      <c r="CPP16" s="84"/>
      <c r="CPQ16" s="84"/>
      <c r="CPR16" s="84"/>
      <c r="CPS16" s="84"/>
      <c r="CPT16" s="84"/>
      <c r="CPU16" s="84"/>
      <c r="CPV16" s="84"/>
      <c r="CPW16" s="84"/>
      <c r="CPX16" s="84"/>
      <c r="CPY16" s="84"/>
      <c r="CPZ16" s="84"/>
      <c r="CQA16" s="84"/>
      <c r="CQB16" s="84"/>
      <c r="CQC16" s="84"/>
      <c r="CQD16" s="84"/>
      <c r="CQE16" s="84"/>
      <c r="CQF16" s="84"/>
      <c r="CQG16" s="84"/>
      <c r="CQH16" s="84"/>
      <c r="CQI16" s="84"/>
      <c r="CQJ16" s="84"/>
      <c r="CQK16" s="84"/>
      <c r="CQL16" s="84"/>
      <c r="CQM16" s="84"/>
      <c r="CQN16" s="84"/>
      <c r="CQO16" s="84"/>
      <c r="CQP16" s="84"/>
      <c r="CQQ16" s="84"/>
      <c r="CQR16" s="84"/>
      <c r="CQS16" s="84"/>
      <c r="CQT16" s="84"/>
      <c r="CQU16" s="84"/>
      <c r="CQV16" s="84"/>
      <c r="CQW16" s="84"/>
      <c r="CQX16" s="84"/>
      <c r="CQY16" s="84"/>
      <c r="CQZ16" s="84"/>
      <c r="CRA16" s="84"/>
      <c r="CRB16" s="84"/>
      <c r="CRC16" s="84"/>
      <c r="CRD16" s="84"/>
      <c r="CRE16" s="84"/>
      <c r="CRF16" s="84"/>
      <c r="CRG16" s="84"/>
      <c r="CRH16" s="84"/>
      <c r="CRI16" s="84"/>
      <c r="CRJ16" s="84"/>
      <c r="CRK16" s="84"/>
      <c r="CRL16" s="84"/>
      <c r="CRM16" s="84"/>
      <c r="CRN16" s="84"/>
      <c r="CRO16" s="84"/>
      <c r="CRP16" s="84"/>
      <c r="CRQ16" s="84"/>
      <c r="CRR16" s="84"/>
      <c r="CRS16" s="84"/>
      <c r="CRT16" s="84"/>
      <c r="CRU16" s="84"/>
      <c r="CRV16" s="84"/>
      <c r="CRW16" s="84"/>
      <c r="CRX16" s="84"/>
      <c r="CRY16" s="84"/>
      <c r="CRZ16" s="84"/>
      <c r="CSA16" s="84"/>
      <c r="CSB16" s="84"/>
      <c r="CSC16" s="84"/>
      <c r="CSD16" s="84"/>
      <c r="CSE16" s="84"/>
      <c r="CSF16" s="84"/>
      <c r="CSG16" s="84"/>
      <c r="CSH16" s="84"/>
      <c r="CSI16" s="84"/>
      <c r="CSJ16" s="84"/>
      <c r="CSK16" s="84"/>
      <c r="CSL16" s="84"/>
      <c r="CSM16" s="84"/>
      <c r="CSN16" s="84"/>
      <c r="CSO16" s="84"/>
      <c r="CSP16" s="84"/>
      <c r="CSQ16" s="84"/>
      <c r="CSR16" s="84"/>
      <c r="CSS16" s="84"/>
      <c r="CST16" s="84"/>
      <c r="CSU16" s="84"/>
      <c r="CSV16" s="84"/>
      <c r="CSW16" s="84"/>
      <c r="CSX16" s="84"/>
      <c r="CSY16" s="84"/>
      <c r="CSZ16" s="84"/>
      <c r="CTA16" s="84"/>
      <c r="CTB16" s="84"/>
      <c r="CTC16" s="84"/>
      <c r="CTD16" s="84"/>
      <c r="CTE16" s="84"/>
      <c r="CTF16" s="84"/>
      <c r="CTG16" s="84"/>
      <c r="CTH16" s="84"/>
      <c r="CTI16" s="84"/>
      <c r="CTJ16" s="84"/>
      <c r="CTK16" s="84"/>
      <c r="CTL16" s="84"/>
      <c r="CTM16" s="84"/>
      <c r="CTN16" s="84"/>
      <c r="CTO16" s="84"/>
      <c r="CTP16" s="84"/>
      <c r="CTQ16" s="84"/>
      <c r="CTR16" s="84"/>
      <c r="CTS16" s="84"/>
      <c r="CTT16" s="84"/>
      <c r="CTU16" s="84"/>
      <c r="CTV16" s="84"/>
      <c r="CTW16" s="84"/>
      <c r="CTX16" s="84"/>
      <c r="CTY16" s="84"/>
      <c r="CTZ16" s="84"/>
      <c r="CUA16" s="84"/>
      <c r="CUB16" s="84"/>
      <c r="CUC16" s="84"/>
      <c r="CUD16" s="84"/>
      <c r="CUE16" s="84"/>
      <c r="CUF16" s="84"/>
      <c r="CUG16" s="84"/>
      <c r="CUH16" s="84"/>
      <c r="CUI16" s="84"/>
      <c r="CUJ16" s="84"/>
      <c r="CUK16" s="84"/>
      <c r="CUL16" s="84"/>
      <c r="CUM16" s="84"/>
      <c r="CUN16" s="84"/>
      <c r="CUO16" s="84"/>
      <c r="CUP16" s="84"/>
      <c r="CUQ16" s="84"/>
      <c r="CUR16" s="84"/>
      <c r="CUS16" s="84"/>
      <c r="CUT16" s="84"/>
      <c r="CUU16" s="84"/>
      <c r="CUV16" s="84"/>
      <c r="CUW16" s="84"/>
      <c r="CUX16" s="84"/>
      <c r="CUY16" s="84"/>
      <c r="CUZ16" s="84"/>
      <c r="CVA16" s="84"/>
      <c r="CVB16" s="84"/>
      <c r="CVC16" s="84"/>
      <c r="CVD16" s="84"/>
      <c r="CVE16" s="84"/>
      <c r="CVF16" s="84"/>
      <c r="CVG16" s="84"/>
      <c r="CVH16" s="84"/>
      <c r="CVI16" s="84"/>
      <c r="CVJ16" s="84"/>
      <c r="CVK16" s="84"/>
      <c r="CVL16" s="84"/>
      <c r="CVM16" s="84"/>
      <c r="CVN16" s="84"/>
      <c r="CVO16" s="84"/>
      <c r="CVP16" s="84"/>
      <c r="CVQ16" s="84"/>
      <c r="CVR16" s="84"/>
      <c r="CVS16" s="84"/>
      <c r="CVT16" s="84"/>
      <c r="CVU16" s="84"/>
      <c r="CVV16" s="84"/>
      <c r="CVW16" s="84"/>
      <c r="CVX16" s="84"/>
      <c r="CVY16" s="84"/>
      <c r="CVZ16" s="84"/>
      <c r="CWA16" s="84"/>
      <c r="CWB16" s="84"/>
      <c r="CWC16" s="84"/>
      <c r="CWD16" s="84"/>
      <c r="CWE16" s="84"/>
      <c r="CWF16" s="84"/>
      <c r="CWG16" s="84"/>
      <c r="CWH16" s="84"/>
      <c r="CWI16" s="84"/>
      <c r="CWJ16" s="84"/>
      <c r="CWK16" s="84"/>
      <c r="CWL16" s="84"/>
      <c r="CWM16" s="84"/>
      <c r="CWN16" s="84"/>
      <c r="CWO16" s="84"/>
      <c r="CWP16" s="84"/>
      <c r="CWQ16" s="84"/>
      <c r="CWR16" s="84"/>
      <c r="CWS16" s="84"/>
      <c r="CWT16" s="84"/>
      <c r="CWU16" s="84"/>
      <c r="CWV16" s="84"/>
      <c r="CWW16" s="84"/>
      <c r="CWX16" s="84"/>
      <c r="CWY16" s="84"/>
      <c r="CWZ16" s="84"/>
      <c r="CXA16" s="84"/>
      <c r="CXB16" s="84"/>
      <c r="CXC16" s="84"/>
      <c r="CXD16" s="84"/>
      <c r="CXE16" s="84"/>
      <c r="CXF16" s="84"/>
      <c r="CXG16" s="84"/>
      <c r="CXH16" s="84"/>
      <c r="CXI16" s="84"/>
      <c r="CXJ16" s="84"/>
      <c r="CXK16" s="84"/>
      <c r="CXL16" s="84"/>
      <c r="CXM16" s="84"/>
      <c r="CXN16" s="84"/>
      <c r="CXO16" s="84"/>
      <c r="CXP16" s="84"/>
      <c r="CXQ16" s="84"/>
      <c r="CXR16" s="84"/>
      <c r="CXS16" s="84"/>
      <c r="CXT16" s="84"/>
      <c r="CXU16" s="84"/>
      <c r="CXV16" s="84"/>
      <c r="CXW16" s="84"/>
      <c r="CXX16" s="84"/>
      <c r="CXY16" s="84"/>
      <c r="CXZ16" s="84"/>
      <c r="CYA16" s="84"/>
      <c r="CYB16" s="84"/>
      <c r="CYC16" s="84"/>
      <c r="CYD16" s="84"/>
      <c r="CYE16" s="84"/>
      <c r="CYF16" s="84"/>
      <c r="CYG16" s="84"/>
      <c r="CYH16" s="84"/>
      <c r="CYI16" s="84"/>
      <c r="CYJ16" s="84"/>
      <c r="CYK16" s="84"/>
      <c r="CYL16" s="84"/>
      <c r="CYM16" s="84"/>
      <c r="CYN16" s="84"/>
      <c r="CYO16" s="84"/>
      <c r="CYP16" s="84"/>
      <c r="CYQ16" s="84"/>
      <c r="CYR16" s="84"/>
      <c r="CYS16" s="84"/>
      <c r="CYT16" s="84"/>
      <c r="CYU16" s="84"/>
      <c r="CYV16" s="84"/>
      <c r="CYW16" s="84"/>
      <c r="CYX16" s="84"/>
      <c r="CYY16" s="84"/>
      <c r="CYZ16" s="84"/>
      <c r="CZA16" s="84"/>
      <c r="CZB16" s="84"/>
      <c r="CZC16" s="84"/>
      <c r="CZD16" s="84"/>
      <c r="CZE16" s="84"/>
      <c r="CZF16" s="84"/>
      <c r="CZG16" s="84"/>
      <c r="CZH16" s="84"/>
      <c r="CZI16" s="84"/>
      <c r="CZJ16" s="84"/>
      <c r="CZK16" s="84"/>
      <c r="CZL16" s="84"/>
      <c r="CZM16" s="84"/>
      <c r="CZN16" s="84"/>
      <c r="CZO16" s="84"/>
      <c r="CZP16" s="84"/>
      <c r="CZQ16" s="84"/>
      <c r="CZR16" s="84"/>
      <c r="CZS16" s="84"/>
      <c r="CZT16" s="84"/>
      <c r="CZU16" s="84"/>
      <c r="CZV16" s="84"/>
      <c r="CZW16" s="84"/>
      <c r="CZX16" s="84"/>
      <c r="CZY16" s="84"/>
      <c r="CZZ16" s="84"/>
      <c r="DAA16" s="84"/>
      <c r="DAB16" s="84"/>
      <c r="DAC16" s="84"/>
      <c r="DAD16" s="84"/>
      <c r="DAE16" s="84"/>
      <c r="DAF16" s="84"/>
      <c r="DAG16" s="84"/>
      <c r="DAH16" s="84"/>
      <c r="DAI16" s="84"/>
      <c r="DAJ16" s="84"/>
      <c r="DAK16" s="84"/>
      <c r="DAL16" s="84"/>
      <c r="DAM16" s="84"/>
      <c r="DAN16" s="84"/>
      <c r="DAO16" s="84"/>
      <c r="DAP16" s="84"/>
      <c r="DAQ16" s="84"/>
      <c r="DAR16" s="84"/>
      <c r="DAS16" s="84"/>
      <c r="DAT16" s="84"/>
      <c r="DAU16" s="84"/>
      <c r="DAV16" s="84"/>
      <c r="DAW16" s="84"/>
      <c r="DAX16" s="84"/>
      <c r="DAY16" s="84"/>
      <c r="DAZ16" s="84"/>
      <c r="DBA16" s="84"/>
      <c r="DBB16" s="84"/>
      <c r="DBC16" s="84"/>
      <c r="DBD16" s="84"/>
      <c r="DBE16" s="84"/>
      <c r="DBF16" s="84"/>
      <c r="DBG16" s="84"/>
      <c r="DBH16" s="84"/>
      <c r="DBI16" s="84"/>
      <c r="DBJ16" s="84"/>
      <c r="DBK16" s="84"/>
      <c r="DBL16" s="84"/>
      <c r="DBM16" s="84"/>
      <c r="DBN16" s="84"/>
      <c r="DBO16" s="84"/>
      <c r="DBP16" s="84"/>
      <c r="DBQ16" s="84"/>
      <c r="DBR16" s="84"/>
      <c r="DBS16" s="84"/>
      <c r="DBT16" s="84"/>
      <c r="DBU16" s="84"/>
      <c r="DBV16" s="84"/>
      <c r="DBW16" s="84"/>
      <c r="DBX16" s="84"/>
      <c r="DBY16" s="84"/>
      <c r="DBZ16" s="84"/>
      <c r="DCA16" s="84"/>
      <c r="DCB16" s="84"/>
      <c r="DCC16" s="84"/>
      <c r="DCD16" s="84"/>
      <c r="DCE16" s="84"/>
      <c r="DCF16" s="84"/>
      <c r="DCG16" s="84"/>
      <c r="DCH16" s="84"/>
      <c r="DCI16" s="84"/>
      <c r="DCJ16" s="84"/>
      <c r="DCK16" s="84"/>
      <c r="DCL16" s="84"/>
      <c r="DCM16" s="84"/>
      <c r="DCN16" s="84"/>
      <c r="DCO16" s="84"/>
      <c r="DCP16" s="84"/>
      <c r="DCQ16" s="84"/>
      <c r="DCR16" s="84"/>
      <c r="DCS16" s="84"/>
      <c r="DCT16" s="84"/>
      <c r="DCU16" s="84"/>
      <c r="DCV16" s="84"/>
      <c r="DCW16" s="84"/>
      <c r="DCX16" s="84"/>
      <c r="DCY16" s="84"/>
      <c r="DCZ16" s="84"/>
      <c r="DDA16" s="84"/>
      <c r="DDB16" s="84"/>
      <c r="DDC16" s="84"/>
      <c r="DDD16" s="84"/>
      <c r="DDE16" s="84"/>
      <c r="DDF16" s="84"/>
      <c r="DDG16" s="84"/>
      <c r="DDH16" s="84"/>
      <c r="DDI16" s="84"/>
      <c r="DDJ16" s="84"/>
      <c r="DDK16" s="84"/>
      <c r="DDL16" s="84"/>
      <c r="DDM16" s="84"/>
      <c r="DDN16" s="84"/>
      <c r="DDO16" s="84"/>
      <c r="DDP16" s="84"/>
      <c r="DDQ16" s="84"/>
      <c r="DDR16" s="84"/>
      <c r="DDS16" s="84"/>
      <c r="DDT16" s="84"/>
      <c r="DDU16" s="84"/>
      <c r="DDV16" s="84"/>
      <c r="DDW16" s="84"/>
      <c r="DDX16" s="84"/>
      <c r="DDY16" s="84"/>
      <c r="DDZ16" s="84"/>
      <c r="DEA16" s="84"/>
      <c r="DEB16" s="84"/>
      <c r="DEC16" s="84"/>
      <c r="DED16" s="84"/>
      <c r="DEE16" s="84"/>
      <c r="DEF16" s="84"/>
      <c r="DEG16" s="84"/>
      <c r="DEH16" s="84"/>
      <c r="DEI16" s="84"/>
      <c r="DEJ16" s="84"/>
      <c r="DEK16" s="84"/>
      <c r="DEL16" s="84"/>
      <c r="DEM16" s="84"/>
      <c r="DEN16" s="84"/>
      <c r="DEO16" s="84"/>
      <c r="DEP16" s="84"/>
      <c r="DEQ16" s="84"/>
      <c r="DER16" s="84"/>
      <c r="DES16" s="84"/>
      <c r="DET16" s="84"/>
      <c r="DEU16" s="84"/>
      <c r="DEV16" s="84"/>
      <c r="DEW16" s="84"/>
      <c r="DEX16" s="84"/>
      <c r="DEY16" s="84"/>
      <c r="DEZ16" s="84"/>
      <c r="DFA16" s="84"/>
      <c r="DFB16" s="84"/>
      <c r="DFC16" s="84"/>
      <c r="DFD16" s="84"/>
      <c r="DFE16" s="84"/>
      <c r="DFF16" s="84"/>
      <c r="DFG16" s="84"/>
      <c r="DFH16" s="84"/>
      <c r="DFI16" s="84"/>
      <c r="DFJ16" s="84"/>
      <c r="DFK16" s="84"/>
      <c r="DFL16" s="84"/>
      <c r="DFM16" s="84"/>
      <c r="DFN16" s="84"/>
      <c r="DFO16" s="84"/>
      <c r="DFP16" s="84"/>
      <c r="DFQ16" s="84"/>
      <c r="DFR16" s="84"/>
      <c r="DFS16" s="84"/>
      <c r="DFT16" s="84"/>
      <c r="DFU16" s="84"/>
      <c r="DFV16" s="84"/>
      <c r="DFW16" s="84"/>
      <c r="DFX16" s="84"/>
      <c r="DFY16" s="84"/>
      <c r="DFZ16" s="84"/>
      <c r="DGA16" s="84"/>
      <c r="DGB16" s="84"/>
      <c r="DGC16" s="84"/>
      <c r="DGD16" s="84"/>
      <c r="DGE16" s="84"/>
      <c r="DGF16" s="84"/>
      <c r="DGG16" s="84"/>
      <c r="DGH16" s="84"/>
      <c r="DGI16" s="84"/>
      <c r="DGJ16" s="84"/>
      <c r="DGK16" s="84"/>
      <c r="DGL16" s="84"/>
      <c r="DGM16" s="84"/>
      <c r="DGN16" s="84"/>
      <c r="DGO16" s="84"/>
      <c r="DGP16" s="84"/>
      <c r="DGQ16" s="84"/>
      <c r="DGR16" s="84"/>
      <c r="DGS16" s="84"/>
      <c r="DGT16" s="84"/>
      <c r="DGU16" s="84"/>
      <c r="DGV16" s="84"/>
      <c r="DGW16" s="84"/>
      <c r="DGX16" s="84"/>
      <c r="DGY16" s="84"/>
      <c r="DGZ16" s="84"/>
      <c r="DHA16" s="84"/>
      <c r="DHB16" s="84"/>
      <c r="DHC16" s="84"/>
      <c r="DHD16" s="84"/>
      <c r="DHE16" s="84"/>
      <c r="DHF16" s="84"/>
      <c r="DHG16" s="84"/>
      <c r="DHH16" s="84"/>
      <c r="DHI16" s="84"/>
      <c r="DHJ16" s="84"/>
      <c r="DHK16" s="84"/>
      <c r="DHL16" s="84"/>
      <c r="DHM16" s="84"/>
      <c r="DHN16" s="84"/>
      <c r="DHO16" s="84"/>
      <c r="DHP16" s="84"/>
      <c r="DHQ16" s="84"/>
      <c r="DHR16" s="84"/>
      <c r="DHS16" s="84"/>
      <c r="DHT16" s="84"/>
      <c r="DHU16" s="84"/>
      <c r="DHV16" s="84"/>
      <c r="DHW16" s="84"/>
      <c r="DHX16" s="84"/>
      <c r="DHY16" s="84"/>
      <c r="DHZ16" s="84"/>
      <c r="DIA16" s="84"/>
      <c r="DIB16" s="84"/>
      <c r="DIC16" s="84"/>
      <c r="DID16" s="84"/>
      <c r="DIE16" s="84"/>
      <c r="DIF16" s="84"/>
      <c r="DIG16" s="84"/>
      <c r="DIH16" s="84"/>
      <c r="DII16" s="84"/>
      <c r="DIJ16" s="84"/>
      <c r="DIK16" s="84"/>
      <c r="DIL16" s="84"/>
      <c r="DIM16" s="84"/>
      <c r="DIN16" s="84"/>
      <c r="DIO16" s="84"/>
      <c r="DIP16" s="84"/>
      <c r="DIQ16" s="84"/>
      <c r="DIR16" s="84"/>
      <c r="DIS16" s="84"/>
      <c r="DIT16" s="84"/>
      <c r="DIU16" s="84"/>
      <c r="DIV16" s="84"/>
      <c r="DIW16" s="84"/>
      <c r="DIX16" s="84"/>
      <c r="DIY16" s="84"/>
      <c r="DIZ16" s="84"/>
      <c r="DJA16" s="84"/>
      <c r="DJB16" s="84"/>
      <c r="DJC16" s="84"/>
      <c r="DJD16" s="84"/>
      <c r="DJE16" s="84"/>
      <c r="DJF16" s="84"/>
      <c r="DJG16" s="84"/>
      <c r="DJH16" s="84"/>
      <c r="DJI16" s="84"/>
      <c r="DJJ16" s="84"/>
      <c r="DJK16" s="84"/>
      <c r="DJL16" s="84"/>
      <c r="DJM16" s="84"/>
      <c r="DJN16" s="84"/>
      <c r="DJO16" s="84"/>
      <c r="DJP16" s="84"/>
      <c r="DJQ16" s="84"/>
      <c r="DJR16" s="84"/>
      <c r="DJS16" s="84"/>
      <c r="DJT16" s="84"/>
      <c r="DJU16" s="84"/>
      <c r="DJV16" s="84"/>
      <c r="DJW16" s="84"/>
      <c r="DJX16" s="84"/>
      <c r="DJY16" s="84"/>
      <c r="DJZ16" s="84"/>
      <c r="DKA16" s="84"/>
      <c r="DKB16" s="84"/>
      <c r="DKC16" s="84"/>
      <c r="DKD16" s="84"/>
      <c r="DKE16" s="84"/>
      <c r="DKF16" s="84"/>
      <c r="DKG16" s="84"/>
      <c r="DKH16" s="84"/>
      <c r="DKI16" s="84"/>
      <c r="DKJ16" s="84"/>
      <c r="DKK16" s="84"/>
      <c r="DKL16" s="84"/>
      <c r="DKM16" s="84"/>
      <c r="DKN16" s="84"/>
      <c r="DKO16" s="84"/>
      <c r="DKP16" s="84"/>
      <c r="DKQ16" s="84"/>
      <c r="DKR16" s="84"/>
      <c r="DKS16" s="84"/>
      <c r="DKT16" s="84"/>
      <c r="DKU16" s="84"/>
      <c r="DKV16" s="84"/>
      <c r="DKW16" s="84"/>
      <c r="DKX16" s="84"/>
      <c r="DKY16" s="84"/>
      <c r="DKZ16" s="84"/>
      <c r="DLA16" s="84"/>
      <c r="DLB16" s="84"/>
      <c r="DLC16" s="84"/>
      <c r="DLD16" s="84"/>
      <c r="DLE16" s="84"/>
      <c r="DLF16" s="84"/>
      <c r="DLG16" s="84"/>
      <c r="DLH16" s="84"/>
      <c r="DLI16" s="84"/>
      <c r="DLJ16" s="84"/>
      <c r="DLK16" s="84"/>
      <c r="DLL16" s="84"/>
      <c r="DLM16" s="84"/>
      <c r="DLN16" s="84"/>
      <c r="DLO16" s="84"/>
      <c r="DLP16" s="84"/>
      <c r="DLQ16" s="84"/>
      <c r="DLR16" s="84"/>
      <c r="DLS16" s="84"/>
      <c r="DLT16" s="84"/>
      <c r="DLU16" s="84"/>
      <c r="DLV16" s="84"/>
      <c r="DLW16" s="84"/>
      <c r="DLX16" s="84"/>
      <c r="DLY16" s="84"/>
      <c r="DLZ16" s="84"/>
      <c r="DMA16" s="84"/>
      <c r="DMB16" s="84"/>
      <c r="DMC16" s="84"/>
      <c r="DMD16" s="84"/>
      <c r="DME16" s="84"/>
      <c r="DMF16" s="84"/>
      <c r="DMG16" s="84"/>
      <c r="DMH16" s="84"/>
      <c r="DMI16" s="84"/>
      <c r="DMJ16" s="84"/>
      <c r="DMK16" s="84"/>
      <c r="DML16" s="84"/>
      <c r="DMM16" s="84"/>
      <c r="DMN16" s="84"/>
      <c r="DMO16" s="84"/>
      <c r="DMP16" s="84"/>
      <c r="DMQ16" s="84"/>
      <c r="DMR16" s="84"/>
      <c r="DMS16" s="84"/>
      <c r="DMT16" s="84"/>
      <c r="DMU16" s="84"/>
      <c r="DMV16" s="84"/>
      <c r="DMW16" s="84"/>
      <c r="DMX16" s="84"/>
      <c r="DMY16" s="84"/>
      <c r="DMZ16" s="84"/>
      <c r="DNA16" s="84"/>
      <c r="DNB16" s="84"/>
      <c r="DNC16" s="84"/>
      <c r="DND16" s="84"/>
      <c r="DNE16" s="84"/>
      <c r="DNF16" s="84"/>
      <c r="DNG16" s="84"/>
      <c r="DNH16" s="84"/>
      <c r="DNI16" s="84"/>
      <c r="DNJ16" s="84"/>
      <c r="DNK16" s="84"/>
      <c r="DNL16" s="84"/>
      <c r="DNM16" s="84"/>
      <c r="DNN16" s="84"/>
      <c r="DNO16" s="84"/>
      <c r="DNP16" s="84"/>
      <c r="DNQ16" s="84"/>
      <c r="DNR16" s="84"/>
      <c r="DNS16" s="84"/>
      <c r="DNT16" s="84"/>
      <c r="DNU16" s="84"/>
      <c r="DNV16" s="84"/>
      <c r="DNW16" s="84"/>
      <c r="DNX16" s="84"/>
      <c r="DNY16" s="84"/>
      <c r="DNZ16" s="84"/>
      <c r="DOA16" s="84"/>
      <c r="DOB16" s="84"/>
      <c r="DOC16" s="84"/>
      <c r="DOD16" s="84"/>
      <c r="DOE16" s="84"/>
      <c r="DOF16" s="84"/>
      <c r="DOG16" s="84"/>
      <c r="DOH16" s="84"/>
      <c r="DOI16" s="84"/>
      <c r="DOJ16" s="84"/>
      <c r="DOK16" s="84"/>
      <c r="DOL16" s="84"/>
      <c r="DOM16" s="84"/>
      <c r="DON16" s="84"/>
      <c r="DOO16" s="84"/>
      <c r="DOP16" s="84"/>
      <c r="DOQ16" s="84"/>
      <c r="DOR16" s="84"/>
      <c r="DOS16" s="84"/>
      <c r="DOT16" s="84"/>
      <c r="DOU16" s="84"/>
      <c r="DOV16" s="84"/>
      <c r="DOW16" s="84"/>
      <c r="DOX16" s="84"/>
      <c r="DOY16" s="84"/>
      <c r="DOZ16" s="84"/>
      <c r="DPA16" s="84"/>
      <c r="DPB16" s="84"/>
      <c r="DPC16" s="84"/>
      <c r="DPD16" s="84"/>
      <c r="DPE16" s="84"/>
      <c r="DPF16" s="84"/>
      <c r="DPG16" s="84"/>
      <c r="DPH16" s="84"/>
      <c r="DPI16" s="84"/>
      <c r="DPJ16" s="84"/>
      <c r="DPK16" s="84"/>
      <c r="DPL16" s="84"/>
      <c r="DPM16" s="84"/>
      <c r="DPN16" s="84"/>
      <c r="DPO16" s="84"/>
      <c r="DPP16" s="84"/>
      <c r="DPQ16" s="84"/>
      <c r="DPR16" s="84"/>
      <c r="DPS16" s="84"/>
      <c r="DPT16" s="84"/>
      <c r="DPU16" s="84"/>
      <c r="DPV16" s="84"/>
      <c r="DPW16" s="84"/>
      <c r="DPX16" s="84"/>
      <c r="DPY16" s="84"/>
      <c r="DPZ16" s="84"/>
      <c r="DQA16" s="84"/>
      <c r="DQB16" s="84"/>
      <c r="DQC16" s="84"/>
      <c r="DQD16" s="84"/>
      <c r="DQE16" s="84"/>
      <c r="DQF16" s="84"/>
      <c r="DQG16" s="84"/>
      <c r="DQH16" s="84"/>
      <c r="DQI16" s="84"/>
      <c r="DQJ16" s="84"/>
      <c r="DQK16" s="84"/>
      <c r="DQL16" s="84"/>
      <c r="DQM16" s="84"/>
      <c r="DQN16" s="84"/>
      <c r="DQO16" s="84"/>
      <c r="DQP16" s="84"/>
      <c r="DQQ16" s="84"/>
      <c r="DQR16" s="84"/>
      <c r="DQS16" s="84"/>
      <c r="DQT16" s="84"/>
      <c r="DQU16" s="84"/>
      <c r="DQV16" s="84"/>
      <c r="DQW16" s="84"/>
      <c r="DQX16" s="84"/>
      <c r="DQY16" s="84"/>
      <c r="DQZ16" s="84"/>
      <c r="DRA16" s="84"/>
      <c r="DRB16" s="84"/>
      <c r="DRC16" s="84"/>
      <c r="DRD16" s="84"/>
      <c r="DRE16" s="84"/>
      <c r="DRF16" s="84"/>
      <c r="DRG16" s="84"/>
      <c r="DRH16" s="84"/>
      <c r="DRI16" s="84"/>
      <c r="DRJ16" s="84"/>
      <c r="DRK16" s="84"/>
      <c r="DRL16" s="84"/>
      <c r="DRM16" s="84"/>
      <c r="DRN16" s="84"/>
      <c r="DRO16" s="84"/>
      <c r="DRP16" s="84"/>
      <c r="DRQ16" s="84"/>
      <c r="DRR16" s="84"/>
      <c r="DRS16" s="84"/>
      <c r="DRT16" s="84"/>
      <c r="DRU16" s="84"/>
      <c r="DRV16" s="84"/>
      <c r="DRW16" s="84"/>
      <c r="DRX16" s="84"/>
      <c r="DRY16" s="84"/>
      <c r="DRZ16" s="84"/>
      <c r="DSA16" s="84"/>
      <c r="DSB16" s="84"/>
      <c r="DSC16" s="84"/>
      <c r="DSD16" s="84"/>
      <c r="DSE16" s="84"/>
      <c r="DSF16" s="84"/>
      <c r="DSG16" s="84"/>
      <c r="DSH16" s="84"/>
      <c r="DSI16" s="84"/>
      <c r="DSJ16" s="84"/>
      <c r="DSK16" s="84"/>
      <c r="DSL16" s="84"/>
      <c r="DSM16" s="84"/>
      <c r="DSN16" s="84"/>
      <c r="DSO16" s="84"/>
      <c r="DSP16" s="84"/>
      <c r="DSQ16" s="84"/>
      <c r="DSR16" s="84"/>
      <c r="DSS16" s="84"/>
      <c r="DST16" s="84"/>
      <c r="DSU16" s="84"/>
      <c r="DSV16" s="84"/>
      <c r="DSW16" s="84"/>
      <c r="DSX16" s="84"/>
      <c r="DSY16" s="84"/>
      <c r="DSZ16" s="84"/>
      <c r="DTA16" s="84"/>
      <c r="DTB16" s="84"/>
      <c r="DTC16" s="84"/>
      <c r="DTD16" s="84"/>
      <c r="DTE16" s="84"/>
      <c r="DTF16" s="84"/>
      <c r="DTG16" s="84"/>
      <c r="DTH16" s="84"/>
      <c r="DTI16" s="84"/>
      <c r="DTJ16" s="84"/>
      <c r="DTK16" s="84"/>
      <c r="DTL16" s="84"/>
      <c r="DTM16" s="84"/>
      <c r="DTN16" s="84"/>
      <c r="DTO16" s="84"/>
      <c r="DTP16" s="84"/>
      <c r="DTQ16" s="84"/>
      <c r="DTR16" s="84"/>
      <c r="DTS16" s="84"/>
      <c r="DTT16" s="84"/>
      <c r="DTU16" s="84"/>
      <c r="DTV16" s="84"/>
      <c r="DTW16" s="84"/>
      <c r="DTX16" s="84"/>
      <c r="DTY16" s="84"/>
      <c r="DTZ16" s="84"/>
      <c r="DUA16" s="84"/>
      <c r="DUB16" s="84"/>
      <c r="DUC16" s="84"/>
      <c r="DUD16" s="84"/>
      <c r="DUE16" s="84"/>
      <c r="DUF16" s="84"/>
      <c r="DUG16" s="84"/>
      <c r="DUH16" s="84"/>
      <c r="DUI16" s="84"/>
      <c r="DUJ16" s="84"/>
      <c r="DUK16" s="84"/>
      <c r="DUL16" s="84"/>
      <c r="DUM16" s="84"/>
      <c r="DUN16" s="84"/>
      <c r="DUO16" s="84"/>
      <c r="DUP16" s="84"/>
      <c r="DUQ16" s="84"/>
      <c r="DUR16" s="84"/>
      <c r="DUS16" s="84"/>
      <c r="DUT16" s="84"/>
      <c r="DUU16" s="84"/>
      <c r="DUV16" s="84"/>
      <c r="DUW16" s="84"/>
      <c r="DUX16" s="84"/>
      <c r="DUY16" s="84"/>
      <c r="DUZ16" s="84"/>
      <c r="DVA16" s="84"/>
      <c r="DVB16" s="84"/>
      <c r="DVC16" s="84"/>
      <c r="DVD16" s="84"/>
      <c r="DVE16" s="84"/>
      <c r="DVF16" s="84"/>
      <c r="DVG16" s="84"/>
      <c r="DVH16" s="84"/>
      <c r="DVI16" s="84"/>
      <c r="DVJ16" s="84"/>
      <c r="DVK16" s="84"/>
      <c r="DVL16" s="84"/>
      <c r="DVM16" s="84"/>
      <c r="DVN16" s="84"/>
      <c r="DVO16" s="84"/>
      <c r="DVP16" s="84"/>
      <c r="DVQ16" s="84"/>
      <c r="DVR16" s="84"/>
      <c r="DVS16" s="84"/>
      <c r="DVT16" s="84"/>
      <c r="DVU16" s="84"/>
      <c r="DVV16" s="84"/>
      <c r="DVW16" s="84"/>
      <c r="DVX16" s="84"/>
      <c r="DVY16" s="84"/>
      <c r="DVZ16" s="84"/>
      <c r="DWA16" s="84"/>
      <c r="DWB16" s="84"/>
      <c r="DWC16" s="84"/>
      <c r="DWD16" s="84"/>
      <c r="DWE16" s="84"/>
      <c r="DWF16" s="84"/>
      <c r="DWG16" s="84"/>
      <c r="DWH16" s="84"/>
      <c r="DWI16" s="84"/>
      <c r="DWJ16" s="84"/>
      <c r="DWK16" s="84"/>
      <c r="DWL16" s="84"/>
      <c r="DWM16" s="84"/>
      <c r="DWN16" s="84"/>
      <c r="DWO16" s="84"/>
      <c r="DWP16" s="84"/>
      <c r="DWQ16" s="84"/>
      <c r="DWR16" s="84"/>
      <c r="DWS16" s="84"/>
      <c r="DWT16" s="84"/>
      <c r="DWU16" s="84"/>
      <c r="DWV16" s="84"/>
      <c r="DWW16" s="84"/>
      <c r="DWX16" s="84"/>
      <c r="DWY16" s="84"/>
      <c r="DWZ16" s="84"/>
      <c r="DXA16" s="84"/>
      <c r="DXB16" s="84"/>
      <c r="DXC16" s="84"/>
      <c r="DXD16" s="84"/>
      <c r="DXE16" s="84"/>
      <c r="DXF16" s="84"/>
      <c r="DXG16" s="84"/>
      <c r="DXH16" s="84"/>
      <c r="DXI16" s="84"/>
      <c r="DXJ16" s="84"/>
      <c r="DXK16" s="84"/>
      <c r="DXL16" s="84"/>
      <c r="DXM16" s="84"/>
      <c r="DXN16" s="84"/>
      <c r="DXO16" s="84"/>
      <c r="DXP16" s="84"/>
      <c r="DXQ16" s="84"/>
      <c r="DXR16" s="84"/>
      <c r="DXS16" s="84"/>
      <c r="DXT16" s="84"/>
      <c r="DXU16" s="84"/>
      <c r="DXV16" s="84"/>
      <c r="DXW16" s="84"/>
      <c r="DXX16" s="84"/>
      <c r="DXY16" s="84"/>
      <c r="DXZ16" s="84"/>
      <c r="DYA16" s="84"/>
      <c r="DYB16" s="84"/>
      <c r="DYC16" s="84"/>
      <c r="DYD16" s="84"/>
      <c r="DYE16" s="84"/>
      <c r="DYF16" s="84"/>
      <c r="DYG16" s="84"/>
      <c r="DYH16" s="84"/>
      <c r="DYI16" s="84"/>
      <c r="DYJ16" s="84"/>
      <c r="DYK16" s="84"/>
      <c r="DYL16" s="84"/>
      <c r="DYM16" s="84"/>
      <c r="DYN16" s="84"/>
      <c r="DYO16" s="84"/>
      <c r="DYP16" s="84"/>
      <c r="DYQ16" s="84"/>
      <c r="DYR16" s="84"/>
      <c r="DYS16" s="84"/>
      <c r="DYT16" s="84"/>
      <c r="DYU16" s="84"/>
      <c r="DYV16" s="84"/>
      <c r="DYW16" s="84"/>
      <c r="DYX16" s="84"/>
      <c r="DYY16" s="84"/>
      <c r="DYZ16" s="84"/>
      <c r="DZA16" s="84"/>
      <c r="DZB16" s="84"/>
      <c r="DZC16" s="84"/>
      <c r="DZD16" s="84"/>
      <c r="DZE16" s="84"/>
      <c r="DZF16" s="84"/>
      <c r="DZG16" s="84"/>
      <c r="DZH16" s="84"/>
      <c r="DZI16" s="84"/>
      <c r="DZJ16" s="84"/>
      <c r="DZK16" s="84"/>
      <c r="DZL16" s="84"/>
      <c r="DZM16" s="84"/>
      <c r="DZN16" s="84"/>
      <c r="DZO16" s="84"/>
      <c r="DZP16" s="84"/>
      <c r="DZQ16" s="84"/>
      <c r="DZR16" s="84"/>
      <c r="DZS16" s="84"/>
      <c r="DZT16" s="84"/>
      <c r="DZU16" s="84"/>
      <c r="DZV16" s="84"/>
      <c r="DZW16" s="84"/>
      <c r="DZX16" s="84"/>
      <c r="DZY16" s="84"/>
      <c r="DZZ16" s="84"/>
      <c r="EAA16" s="84"/>
      <c r="EAB16" s="84"/>
      <c r="EAC16" s="84"/>
      <c r="EAD16" s="84"/>
      <c r="EAE16" s="84"/>
      <c r="EAF16" s="84"/>
      <c r="EAG16" s="84"/>
      <c r="EAH16" s="84"/>
      <c r="EAI16" s="84"/>
      <c r="EAJ16" s="84"/>
      <c r="EAK16" s="84"/>
      <c r="EAL16" s="84"/>
      <c r="EAM16" s="84"/>
      <c r="EAN16" s="84"/>
      <c r="EAO16" s="84"/>
      <c r="EAP16" s="84"/>
      <c r="EAQ16" s="84"/>
      <c r="EAR16" s="84"/>
      <c r="EAS16" s="84"/>
      <c r="EAT16" s="84"/>
      <c r="EAU16" s="84"/>
      <c r="EAV16" s="84"/>
      <c r="EAW16" s="84"/>
      <c r="EAX16" s="84"/>
      <c r="EAY16" s="84"/>
      <c r="EAZ16" s="84"/>
      <c r="EBA16" s="84"/>
      <c r="EBB16" s="84"/>
      <c r="EBC16" s="84"/>
      <c r="EBD16" s="84"/>
      <c r="EBE16" s="84"/>
      <c r="EBF16" s="84"/>
      <c r="EBG16" s="84"/>
      <c r="EBH16" s="84"/>
      <c r="EBI16" s="84"/>
      <c r="EBJ16" s="84"/>
      <c r="EBK16" s="84"/>
      <c r="EBL16" s="84"/>
      <c r="EBM16" s="84"/>
      <c r="EBN16" s="84"/>
      <c r="EBO16" s="84"/>
      <c r="EBP16" s="84"/>
      <c r="EBQ16" s="84"/>
      <c r="EBR16" s="84"/>
      <c r="EBS16" s="84"/>
      <c r="EBT16" s="84"/>
      <c r="EBU16" s="84"/>
      <c r="EBV16" s="84"/>
      <c r="EBW16" s="84"/>
      <c r="EBX16" s="84"/>
      <c r="EBY16" s="84"/>
      <c r="EBZ16" s="84"/>
      <c r="ECA16" s="84"/>
      <c r="ECB16" s="84"/>
      <c r="ECC16" s="84"/>
      <c r="ECD16" s="84"/>
      <c r="ECE16" s="84"/>
      <c r="ECF16" s="84"/>
      <c r="ECG16" s="84"/>
      <c r="ECH16" s="84"/>
      <c r="ECI16" s="84"/>
      <c r="ECJ16" s="84"/>
      <c r="ECK16" s="84"/>
      <c r="ECL16" s="84"/>
      <c r="ECM16" s="84"/>
      <c r="ECN16" s="84"/>
      <c r="ECO16" s="84"/>
      <c r="ECP16" s="84"/>
      <c r="ECQ16" s="84"/>
      <c r="ECR16" s="84"/>
      <c r="ECS16" s="84"/>
      <c r="ECT16" s="84"/>
      <c r="ECU16" s="84"/>
      <c r="ECV16" s="84"/>
      <c r="ECW16" s="84"/>
      <c r="ECX16" s="84"/>
      <c r="ECY16" s="84"/>
      <c r="ECZ16" s="84"/>
      <c r="EDA16" s="84"/>
      <c r="EDB16" s="84"/>
      <c r="EDC16" s="84"/>
      <c r="EDD16" s="84"/>
      <c r="EDE16" s="84"/>
      <c r="EDF16" s="84"/>
      <c r="EDG16" s="84"/>
      <c r="EDH16" s="84"/>
      <c r="EDI16" s="84"/>
      <c r="EDJ16" s="84"/>
      <c r="EDK16" s="84"/>
      <c r="EDL16" s="84"/>
      <c r="EDM16" s="84"/>
      <c r="EDN16" s="84"/>
      <c r="EDO16" s="84"/>
      <c r="EDP16" s="84"/>
      <c r="EDQ16" s="84"/>
      <c r="EDR16" s="84"/>
      <c r="EDS16" s="84"/>
      <c r="EDT16" s="84"/>
      <c r="EDU16" s="84"/>
      <c r="EDV16" s="84"/>
      <c r="EDW16" s="84"/>
      <c r="EDX16" s="84"/>
      <c r="EDY16" s="84"/>
      <c r="EDZ16" s="84"/>
      <c r="EEA16" s="84"/>
      <c r="EEB16" s="84"/>
      <c r="EEC16" s="84"/>
      <c r="EED16" s="84"/>
      <c r="EEE16" s="84"/>
      <c r="EEF16" s="84"/>
      <c r="EEG16" s="84"/>
      <c r="EEH16" s="84"/>
      <c r="EEI16" s="84"/>
      <c r="EEJ16" s="84"/>
      <c r="EEK16" s="84"/>
      <c r="EEL16" s="84"/>
      <c r="EEM16" s="84"/>
      <c r="EEN16" s="84"/>
      <c r="EEO16" s="84"/>
      <c r="EEP16" s="84"/>
      <c r="EEQ16" s="84"/>
      <c r="EER16" s="84"/>
      <c r="EES16" s="84"/>
      <c r="EET16" s="84"/>
      <c r="EEU16" s="84"/>
      <c r="EEV16" s="84"/>
      <c r="EEW16" s="84"/>
      <c r="EEX16" s="84"/>
      <c r="EEY16" s="84"/>
      <c r="EEZ16" s="84"/>
      <c r="EFA16" s="84"/>
      <c r="EFB16" s="84"/>
      <c r="EFC16" s="84"/>
      <c r="EFD16" s="84"/>
      <c r="EFE16" s="84"/>
      <c r="EFF16" s="84"/>
      <c r="EFG16" s="84"/>
      <c r="EFH16" s="84"/>
      <c r="EFI16" s="84"/>
      <c r="EFJ16" s="84"/>
      <c r="EFK16" s="84"/>
      <c r="EFL16" s="84"/>
      <c r="EFM16" s="84"/>
      <c r="EFN16" s="84"/>
      <c r="EFO16" s="84"/>
      <c r="EFP16" s="84"/>
      <c r="EFQ16" s="84"/>
      <c r="EFR16" s="84"/>
      <c r="EFS16" s="84"/>
      <c r="EFT16" s="84"/>
      <c r="EFU16" s="84"/>
      <c r="EFV16" s="84"/>
      <c r="EFW16" s="84"/>
      <c r="EFX16" s="84"/>
      <c r="EFY16" s="84"/>
      <c r="EFZ16" s="84"/>
      <c r="EGA16" s="84"/>
      <c r="EGB16" s="84"/>
      <c r="EGC16" s="84"/>
      <c r="EGD16" s="84"/>
      <c r="EGE16" s="84"/>
      <c r="EGF16" s="84"/>
      <c r="EGG16" s="84"/>
      <c r="EGH16" s="84"/>
      <c r="EGI16" s="84"/>
      <c r="EGJ16" s="84"/>
      <c r="EGK16" s="84"/>
      <c r="EGL16" s="84"/>
      <c r="EGM16" s="84"/>
      <c r="EGN16" s="84"/>
      <c r="EGO16" s="84"/>
      <c r="EGP16" s="84"/>
      <c r="EGQ16" s="84"/>
      <c r="EGR16" s="84"/>
      <c r="EGS16" s="84"/>
      <c r="EGT16" s="84"/>
      <c r="EGU16" s="84"/>
      <c r="EGV16" s="84"/>
      <c r="EGW16" s="84"/>
      <c r="EGX16" s="84"/>
      <c r="EGY16" s="84"/>
      <c r="EGZ16" s="84"/>
      <c r="EHA16" s="84"/>
      <c r="EHB16" s="84"/>
      <c r="EHC16" s="84"/>
      <c r="EHD16" s="84"/>
      <c r="EHE16" s="84"/>
      <c r="EHF16" s="84"/>
      <c r="EHG16" s="84"/>
      <c r="EHH16" s="84"/>
      <c r="EHI16" s="84"/>
      <c r="EHJ16" s="84"/>
      <c r="EHK16" s="84"/>
      <c r="EHL16" s="84"/>
      <c r="EHM16" s="84"/>
      <c r="EHN16" s="84"/>
      <c r="EHO16" s="84"/>
      <c r="EHP16" s="84"/>
      <c r="EHQ16" s="84"/>
      <c r="EHR16" s="84"/>
      <c r="EHS16" s="84"/>
      <c r="EHT16" s="84"/>
      <c r="EHU16" s="84"/>
      <c r="EHV16" s="84"/>
      <c r="EHW16" s="84"/>
      <c r="EHX16" s="84"/>
      <c r="EHY16" s="84"/>
      <c r="EHZ16" s="84"/>
      <c r="EIA16" s="84"/>
      <c r="EIB16" s="84"/>
      <c r="EIC16" s="84"/>
      <c r="EID16" s="84"/>
      <c r="EIE16" s="84"/>
      <c r="EIF16" s="84"/>
      <c r="EIG16" s="84"/>
      <c r="EIH16" s="84"/>
      <c r="EII16" s="84"/>
      <c r="EIJ16" s="84"/>
      <c r="EIK16" s="84"/>
      <c r="EIL16" s="84"/>
      <c r="EIM16" s="84"/>
      <c r="EIN16" s="84"/>
      <c r="EIO16" s="84"/>
      <c r="EIP16" s="84"/>
      <c r="EIQ16" s="84"/>
      <c r="EIR16" s="84"/>
      <c r="EIS16" s="84"/>
      <c r="EIT16" s="84"/>
      <c r="EIU16" s="84"/>
      <c r="EIV16" s="84"/>
      <c r="EIW16" s="84"/>
      <c r="EIX16" s="84"/>
      <c r="EIY16" s="84"/>
      <c r="EIZ16" s="84"/>
      <c r="EJA16" s="84"/>
      <c r="EJB16" s="84"/>
      <c r="EJC16" s="84"/>
      <c r="EJD16" s="84"/>
      <c r="EJE16" s="84"/>
      <c r="EJF16" s="84"/>
      <c r="EJG16" s="84"/>
      <c r="EJH16" s="84"/>
      <c r="EJI16" s="84"/>
      <c r="EJJ16" s="84"/>
      <c r="EJK16" s="84"/>
      <c r="EJL16" s="84"/>
      <c r="EJM16" s="84"/>
      <c r="EJN16" s="84"/>
      <c r="EJO16" s="84"/>
      <c r="EJP16" s="84"/>
      <c r="EJQ16" s="84"/>
      <c r="EJR16" s="84"/>
      <c r="EJS16" s="84"/>
      <c r="EJT16" s="84"/>
      <c r="EJU16" s="84"/>
      <c r="EJV16" s="84"/>
      <c r="EJW16" s="84"/>
      <c r="EJX16" s="84"/>
      <c r="EJY16" s="84"/>
      <c r="EJZ16" s="84"/>
      <c r="EKA16" s="84"/>
      <c r="EKB16" s="84"/>
      <c r="EKC16" s="84"/>
      <c r="EKD16" s="84"/>
      <c r="EKE16" s="84"/>
      <c r="EKF16" s="84"/>
      <c r="EKG16" s="84"/>
      <c r="EKH16" s="84"/>
      <c r="EKI16" s="84"/>
      <c r="EKJ16" s="84"/>
      <c r="EKK16" s="84"/>
      <c r="EKL16" s="84"/>
      <c r="EKM16" s="84"/>
      <c r="EKN16" s="84"/>
      <c r="EKO16" s="84"/>
      <c r="EKP16" s="84"/>
      <c r="EKQ16" s="84"/>
      <c r="EKR16" s="84"/>
      <c r="EKS16" s="84"/>
      <c r="EKT16" s="84"/>
      <c r="EKU16" s="84"/>
      <c r="EKV16" s="84"/>
      <c r="EKW16" s="84"/>
      <c r="EKX16" s="84"/>
      <c r="EKY16" s="84"/>
      <c r="EKZ16" s="84"/>
      <c r="ELA16" s="84"/>
      <c r="ELB16" s="84"/>
      <c r="ELC16" s="84"/>
      <c r="ELD16" s="84"/>
      <c r="ELE16" s="84"/>
      <c r="ELF16" s="84"/>
      <c r="ELG16" s="84"/>
      <c r="ELH16" s="84"/>
      <c r="ELI16" s="84"/>
      <c r="ELJ16" s="84"/>
      <c r="ELK16" s="84"/>
      <c r="ELL16" s="84"/>
      <c r="ELM16" s="84"/>
      <c r="ELN16" s="84"/>
      <c r="ELO16" s="84"/>
      <c r="ELP16" s="84"/>
      <c r="ELQ16" s="84"/>
      <c r="ELR16" s="84"/>
      <c r="ELS16" s="84"/>
      <c r="ELT16" s="84"/>
      <c r="ELU16" s="84"/>
      <c r="ELV16" s="84"/>
      <c r="ELW16" s="84"/>
      <c r="ELX16" s="84"/>
      <c r="ELY16" s="84"/>
      <c r="ELZ16" s="84"/>
      <c r="EMA16" s="84"/>
      <c r="EMB16" s="84"/>
      <c r="EMC16" s="84"/>
      <c r="EMD16" s="84"/>
      <c r="EME16" s="84"/>
      <c r="EMF16" s="84"/>
      <c r="EMG16" s="84"/>
      <c r="EMH16" s="84"/>
      <c r="EMI16" s="84"/>
      <c r="EMJ16" s="84"/>
      <c r="EMK16" s="84"/>
      <c r="EML16" s="84"/>
      <c r="EMM16" s="84"/>
      <c r="EMN16" s="84"/>
      <c r="EMO16" s="84"/>
      <c r="EMP16" s="84"/>
      <c r="EMQ16" s="84"/>
      <c r="EMR16" s="84"/>
      <c r="EMS16" s="84"/>
      <c r="EMT16" s="84"/>
      <c r="EMU16" s="84"/>
      <c r="EMV16" s="84"/>
      <c r="EMW16" s="84"/>
      <c r="EMX16" s="84"/>
      <c r="EMY16" s="84"/>
      <c r="EMZ16" s="84"/>
      <c r="ENA16" s="84"/>
      <c r="ENB16" s="84"/>
      <c r="ENC16" s="84"/>
      <c r="END16" s="84"/>
      <c r="ENE16" s="84"/>
      <c r="ENF16" s="84"/>
      <c r="ENG16" s="84"/>
      <c r="ENH16" s="84"/>
      <c r="ENI16" s="84"/>
      <c r="ENJ16" s="84"/>
      <c r="ENK16" s="84"/>
      <c r="ENL16" s="84"/>
      <c r="ENM16" s="84"/>
      <c r="ENN16" s="84"/>
      <c r="ENO16" s="84"/>
      <c r="ENP16" s="84"/>
      <c r="ENQ16" s="84"/>
      <c r="ENR16" s="84"/>
      <c r="ENS16" s="84"/>
      <c r="ENT16" s="84"/>
      <c r="ENU16" s="84"/>
      <c r="ENV16" s="84"/>
      <c r="ENW16" s="84"/>
      <c r="ENX16" s="84"/>
      <c r="ENY16" s="84"/>
      <c r="ENZ16" s="84"/>
      <c r="EOA16" s="84"/>
      <c r="EOB16" s="84"/>
      <c r="EOC16" s="84"/>
      <c r="EOD16" s="84"/>
      <c r="EOE16" s="84"/>
      <c r="EOF16" s="84"/>
      <c r="EOG16" s="84"/>
      <c r="EOH16" s="84"/>
      <c r="EOI16" s="84"/>
      <c r="EOJ16" s="84"/>
      <c r="EOK16" s="84"/>
      <c r="EOL16" s="84"/>
      <c r="EOM16" s="84"/>
      <c r="EON16" s="84"/>
      <c r="EOO16" s="84"/>
      <c r="EOP16" s="84"/>
      <c r="EOQ16" s="84"/>
      <c r="EOR16" s="84"/>
      <c r="EOS16" s="84"/>
      <c r="EOT16" s="84"/>
      <c r="EOU16" s="84"/>
      <c r="EOV16" s="84"/>
      <c r="EOW16" s="84"/>
      <c r="EOX16" s="84"/>
      <c r="EOY16" s="84"/>
      <c r="EOZ16" s="84"/>
      <c r="EPA16" s="84"/>
      <c r="EPB16" s="84"/>
      <c r="EPC16" s="84"/>
      <c r="EPD16" s="84"/>
      <c r="EPE16" s="84"/>
      <c r="EPF16" s="84"/>
      <c r="EPG16" s="84"/>
      <c r="EPH16" s="84"/>
      <c r="EPI16" s="84"/>
      <c r="EPJ16" s="84"/>
      <c r="EPK16" s="84"/>
      <c r="EPL16" s="84"/>
      <c r="EPM16" s="84"/>
      <c r="EPN16" s="84"/>
      <c r="EPO16" s="84"/>
      <c r="EPP16" s="84"/>
      <c r="EPQ16" s="84"/>
      <c r="EPR16" s="84"/>
      <c r="EPS16" s="84"/>
      <c r="EPT16" s="84"/>
      <c r="EPU16" s="84"/>
      <c r="EPV16" s="84"/>
      <c r="EPW16" s="84"/>
      <c r="EPX16" s="84"/>
      <c r="EPY16" s="84"/>
      <c r="EPZ16" s="84"/>
      <c r="EQA16" s="84"/>
      <c r="EQB16" s="84"/>
      <c r="EQC16" s="84"/>
      <c r="EQD16" s="84"/>
      <c r="EQE16" s="84"/>
      <c r="EQF16" s="84"/>
      <c r="EQG16" s="84"/>
      <c r="EQH16" s="84"/>
      <c r="EQI16" s="84"/>
      <c r="EQJ16" s="84"/>
      <c r="EQK16" s="84"/>
      <c r="EQL16" s="84"/>
      <c r="EQM16" s="84"/>
      <c r="EQN16" s="84"/>
      <c r="EQO16" s="84"/>
      <c r="EQP16" s="84"/>
      <c r="EQQ16" s="84"/>
      <c r="EQR16" s="84"/>
      <c r="EQS16" s="84"/>
      <c r="EQT16" s="84"/>
      <c r="EQU16" s="84"/>
      <c r="EQV16" s="84"/>
      <c r="EQW16" s="84"/>
      <c r="EQX16" s="84"/>
      <c r="EQY16" s="84"/>
      <c r="EQZ16" s="84"/>
      <c r="ERA16" s="84"/>
      <c r="ERB16" s="84"/>
      <c r="ERC16" s="84"/>
      <c r="ERD16" s="84"/>
      <c r="ERE16" s="84"/>
      <c r="ERF16" s="84"/>
      <c r="ERG16" s="84"/>
      <c r="ERH16" s="84"/>
      <c r="ERI16" s="84"/>
      <c r="ERJ16" s="84"/>
      <c r="ERK16" s="84"/>
      <c r="ERL16" s="84"/>
      <c r="ERM16" s="84"/>
      <c r="ERN16" s="84"/>
      <c r="ERO16" s="84"/>
      <c r="ERP16" s="84"/>
      <c r="ERQ16" s="84"/>
      <c r="ERR16" s="84"/>
      <c r="ERS16" s="84"/>
      <c r="ERT16" s="84"/>
      <c r="ERU16" s="84"/>
      <c r="ERV16" s="84"/>
      <c r="ERW16" s="84"/>
      <c r="ERX16" s="84"/>
      <c r="ERY16" s="84"/>
      <c r="ERZ16" s="84"/>
      <c r="ESA16" s="84"/>
      <c r="ESB16" s="84"/>
      <c r="ESC16" s="84"/>
      <c r="ESD16" s="84"/>
      <c r="ESE16" s="84"/>
      <c r="ESF16" s="84"/>
      <c r="ESG16" s="84"/>
      <c r="ESH16" s="84"/>
      <c r="ESI16" s="84"/>
      <c r="ESJ16" s="84"/>
      <c r="ESK16" s="84"/>
      <c r="ESL16" s="84"/>
      <c r="ESM16" s="84"/>
      <c r="ESN16" s="84"/>
      <c r="ESO16" s="84"/>
      <c r="ESP16" s="84"/>
      <c r="ESQ16" s="84"/>
      <c r="ESR16" s="84"/>
      <c r="ESS16" s="84"/>
      <c r="EST16" s="84"/>
      <c r="ESU16" s="84"/>
      <c r="ESV16" s="84"/>
      <c r="ESW16" s="84"/>
      <c r="ESX16" s="84"/>
      <c r="ESY16" s="84"/>
      <c r="ESZ16" s="84"/>
      <c r="ETA16" s="84"/>
      <c r="ETB16" s="84"/>
      <c r="ETC16" s="84"/>
      <c r="ETD16" s="84"/>
      <c r="ETE16" s="84"/>
      <c r="ETF16" s="84"/>
      <c r="ETG16" s="84"/>
      <c r="ETH16" s="84"/>
      <c r="ETI16" s="84"/>
      <c r="ETJ16" s="84"/>
      <c r="ETK16" s="84"/>
      <c r="ETL16" s="84"/>
      <c r="ETM16" s="84"/>
      <c r="ETN16" s="84"/>
      <c r="ETO16" s="84"/>
      <c r="ETP16" s="84"/>
      <c r="ETQ16" s="84"/>
      <c r="ETR16" s="84"/>
      <c r="ETS16" s="84"/>
      <c r="ETT16" s="84"/>
      <c r="ETU16" s="84"/>
      <c r="ETV16" s="84"/>
      <c r="ETW16" s="84"/>
      <c r="ETX16" s="84"/>
      <c r="ETY16" s="84"/>
      <c r="ETZ16" s="84"/>
      <c r="EUA16" s="84"/>
      <c r="EUB16" s="84"/>
      <c r="EUC16" s="84"/>
      <c r="EUD16" s="84"/>
      <c r="EUE16" s="84"/>
      <c r="EUF16" s="84"/>
      <c r="EUG16" s="84"/>
      <c r="EUH16" s="84"/>
      <c r="EUI16" s="84"/>
      <c r="EUJ16" s="84"/>
      <c r="EUK16" s="84"/>
      <c r="EUL16" s="84"/>
      <c r="EUM16" s="84"/>
      <c r="EUN16" s="84"/>
      <c r="EUO16" s="84"/>
      <c r="EUP16" s="84"/>
      <c r="EUQ16" s="84"/>
      <c r="EUR16" s="84"/>
      <c r="EUS16" s="84"/>
      <c r="EUT16" s="84"/>
      <c r="EUU16" s="84"/>
      <c r="EUV16" s="84"/>
      <c r="EUW16" s="84"/>
      <c r="EUX16" s="84"/>
      <c r="EUY16" s="84"/>
      <c r="EUZ16" s="84"/>
      <c r="EVA16" s="84"/>
      <c r="EVB16" s="84"/>
      <c r="EVC16" s="84"/>
      <c r="EVD16" s="84"/>
      <c r="EVE16" s="84"/>
      <c r="EVF16" s="84"/>
      <c r="EVG16" s="84"/>
      <c r="EVH16" s="84"/>
      <c r="EVI16" s="84"/>
      <c r="EVJ16" s="84"/>
      <c r="EVK16" s="84"/>
      <c r="EVL16" s="84"/>
      <c r="EVM16" s="84"/>
      <c r="EVN16" s="84"/>
      <c r="EVO16" s="84"/>
      <c r="EVP16" s="84"/>
      <c r="EVQ16" s="84"/>
      <c r="EVR16" s="84"/>
      <c r="EVS16" s="84"/>
      <c r="EVT16" s="84"/>
      <c r="EVU16" s="84"/>
      <c r="EVV16" s="84"/>
      <c r="EVW16" s="84"/>
      <c r="EVX16" s="84"/>
      <c r="EVY16" s="84"/>
      <c r="EVZ16" s="84"/>
      <c r="EWA16" s="84"/>
      <c r="EWB16" s="84"/>
      <c r="EWC16" s="84"/>
      <c r="EWD16" s="84"/>
      <c r="EWE16" s="84"/>
      <c r="EWF16" s="84"/>
      <c r="EWG16" s="84"/>
      <c r="EWH16" s="84"/>
      <c r="EWI16" s="84"/>
      <c r="EWJ16" s="84"/>
      <c r="EWK16" s="84"/>
      <c r="EWL16" s="84"/>
      <c r="EWM16" s="84"/>
      <c r="EWN16" s="84"/>
      <c r="EWO16" s="84"/>
      <c r="EWP16" s="84"/>
      <c r="EWQ16" s="84"/>
      <c r="EWR16" s="84"/>
      <c r="EWS16" s="84"/>
      <c r="EWT16" s="84"/>
      <c r="EWU16" s="84"/>
      <c r="EWV16" s="84"/>
      <c r="EWW16" s="84"/>
      <c r="EWX16" s="84"/>
      <c r="EWY16" s="84"/>
      <c r="EWZ16" s="84"/>
      <c r="EXA16" s="84"/>
      <c r="EXB16" s="84"/>
      <c r="EXC16" s="84"/>
      <c r="EXD16" s="84"/>
      <c r="EXE16" s="84"/>
      <c r="EXF16" s="84"/>
      <c r="EXG16" s="84"/>
      <c r="EXH16" s="84"/>
      <c r="EXI16" s="84"/>
      <c r="EXJ16" s="84"/>
      <c r="EXK16" s="84"/>
      <c r="EXL16" s="84"/>
      <c r="EXM16" s="84"/>
      <c r="EXN16" s="84"/>
      <c r="EXO16" s="84"/>
      <c r="EXP16" s="84"/>
      <c r="EXQ16" s="84"/>
      <c r="EXR16" s="84"/>
      <c r="EXS16" s="84"/>
      <c r="EXT16" s="84"/>
      <c r="EXU16" s="84"/>
      <c r="EXV16" s="84"/>
      <c r="EXW16" s="84"/>
      <c r="EXX16" s="84"/>
      <c r="EXY16" s="84"/>
      <c r="EXZ16" s="84"/>
      <c r="EYA16" s="84"/>
      <c r="EYB16" s="84"/>
      <c r="EYC16" s="84"/>
      <c r="EYD16" s="84"/>
      <c r="EYE16" s="84"/>
      <c r="EYF16" s="84"/>
      <c r="EYG16" s="84"/>
      <c r="EYH16" s="84"/>
      <c r="EYI16" s="84"/>
      <c r="EYJ16" s="84"/>
      <c r="EYK16" s="84"/>
      <c r="EYL16" s="84"/>
      <c r="EYM16" s="84"/>
      <c r="EYN16" s="84"/>
      <c r="EYO16" s="84"/>
      <c r="EYP16" s="84"/>
      <c r="EYQ16" s="84"/>
      <c r="EYR16" s="84"/>
      <c r="EYS16" s="84"/>
      <c r="EYT16" s="84"/>
      <c r="EYU16" s="84"/>
      <c r="EYV16" s="84"/>
      <c r="EYW16" s="84"/>
      <c r="EYX16" s="84"/>
      <c r="EYY16" s="84"/>
      <c r="EYZ16" s="84"/>
      <c r="EZA16" s="84"/>
      <c r="EZB16" s="84"/>
      <c r="EZC16" s="84"/>
      <c r="EZD16" s="84"/>
      <c r="EZE16" s="84"/>
      <c r="EZF16" s="84"/>
      <c r="EZG16" s="84"/>
      <c r="EZH16" s="84"/>
      <c r="EZI16" s="84"/>
      <c r="EZJ16" s="84"/>
      <c r="EZK16" s="84"/>
      <c r="EZL16" s="84"/>
      <c r="EZM16" s="84"/>
      <c r="EZN16" s="84"/>
      <c r="EZO16" s="84"/>
      <c r="EZP16" s="84"/>
      <c r="EZQ16" s="84"/>
      <c r="EZR16" s="84"/>
      <c r="EZS16" s="84"/>
      <c r="EZT16" s="84"/>
      <c r="EZU16" s="84"/>
      <c r="EZV16" s="84"/>
      <c r="EZW16" s="84"/>
      <c r="EZX16" s="84"/>
      <c r="EZY16" s="84"/>
      <c r="EZZ16" s="84"/>
      <c r="FAA16" s="84"/>
      <c r="FAB16" s="84"/>
      <c r="FAC16" s="84"/>
      <c r="FAD16" s="84"/>
      <c r="FAE16" s="84"/>
      <c r="FAF16" s="84"/>
      <c r="FAG16" s="84"/>
      <c r="FAH16" s="84"/>
      <c r="FAI16" s="84"/>
      <c r="FAJ16" s="84"/>
      <c r="FAK16" s="84"/>
      <c r="FAL16" s="84"/>
      <c r="FAM16" s="84"/>
      <c r="FAN16" s="84"/>
      <c r="FAO16" s="84"/>
      <c r="FAP16" s="84"/>
      <c r="FAQ16" s="84"/>
      <c r="FAR16" s="84"/>
      <c r="FAS16" s="84"/>
      <c r="FAT16" s="84"/>
      <c r="FAU16" s="84"/>
      <c r="FAV16" s="84"/>
      <c r="FAW16" s="84"/>
      <c r="FAX16" s="84"/>
      <c r="FAY16" s="84"/>
      <c r="FAZ16" s="84"/>
      <c r="FBA16" s="84"/>
      <c r="FBB16" s="84"/>
      <c r="FBC16" s="84"/>
      <c r="FBD16" s="84"/>
      <c r="FBE16" s="84"/>
      <c r="FBF16" s="84"/>
      <c r="FBG16" s="84"/>
      <c r="FBH16" s="84"/>
      <c r="FBI16" s="84"/>
      <c r="FBJ16" s="84"/>
      <c r="FBK16" s="84"/>
      <c r="FBL16" s="84"/>
      <c r="FBM16" s="84"/>
      <c r="FBN16" s="84"/>
      <c r="FBO16" s="84"/>
      <c r="FBP16" s="84"/>
      <c r="FBQ16" s="84"/>
      <c r="FBR16" s="84"/>
      <c r="FBS16" s="84"/>
      <c r="FBT16" s="84"/>
      <c r="FBU16" s="84"/>
      <c r="FBV16" s="84"/>
      <c r="FBW16" s="84"/>
      <c r="FBX16" s="84"/>
      <c r="FBY16" s="84"/>
      <c r="FBZ16" s="84"/>
      <c r="FCA16" s="84"/>
      <c r="FCB16" s="84"/>
      <c r="FCC16" s="84"/>
      <c r="FCD16" s="84"/>
      <c r="FCE16" s="84"/>
      <c r="FCF16" s="84"/>
      <c r="FCG16" s="84"/>
      <c r="FCH16" s="84"/>
      <c r="FCI16" s="84"/>
      <c r="FCJ16" s="84"/>
      <c r="FCK16" s="84"/>
      <c r="FCL16" s="84"/>
      <c r="FCM16" s="84"/>
      <c r="FCN16" s="84"/>
      <c r="FCO16" s="84"/>
      <c r="FCP16" s="84"/>
      <c r="FCQ16" s="84"/>
      <c r="FCR16" s="84"/>
      <c r="FCS16" s="84"/>
      <c r="FCT16" s="84"/>
      <c r="FCU16" s="84"/>
      <c r="FCV16" s="84"/>
      <c r="FCW16" s="84"/>
      <c r="FCX16" s="84"/>
      <c r="FCY16" s="84"/>
      <c r="FCZ16" s="84"/>
      <c r="FDA16" s="84"/>
      <c r="FDB16" s="84"/>
      <c r="FDC16" s="84"/>
      <c r="FDD16" s="84"/>
      <c r="FDE16" s="84"/>
      <c r="FDF16" s="84"/>
      <c r="FDG16" s="84"/>
      <c r="FDH16" s="84"/>
      <c r="FDI16" s="84"/>
      <c r="FDJ16" s="84"/>
      <c r="FDK16" s="84"/>
      <c r="FDL16" s="84"/>
      <c r="FDM16" s="84"/>
      <c r="FDN16" s="84"/>
      <c r="FDO16" s="84"/>
      <c r="FDP16" s="84"/>
      <c r="FDQ16" s="84"/>
      <c r="FDR16" s="84"/>
      <c r="FDS16" s="84"/>
      <c r="FDT16" s="84"/>
      <c r="FDU16" s="84"/>
      <c r="FDV16" s="84"/>
      <c r="FDW16" s="84"/>
      <c r="FDX16" s="84"/>
      <c r="FDY16" s="84"/>
      <c r="FDZ16" s="84"/>
      <c r="FEA16" s="84"/>
      <c r="FEB16" s="84"/>
      <c r="FEC16" s="84"/>
      <c r="FED16" s="84"/>
      <c r="FEE16" s="84"/>
      <c r="FEF16" s="84"/>
      <c r="FEG16" s="84"/>
      <c r="FEH16" s="84"/>
      <c r="FEI16" s="84"/>
      <c r="FEJ16" s="84"/>
      <c r="FEK16" s="84"/>
      <c r="FEL16" s="84"/>
      <c r="FEM16" s="84"/>
      <c r="FEN16" s="84"/>
      <c r="FEO16" s="84"/>
      <c r="FEP16" s="84"/>
      <c r="FEQ16" s="84"/>
      <c r="FER16" s="84"/>
      <c r="FES16" s="84"/>
      <c r="FET16" s="84"/>
      <c r="FEU16" s="84"/>
      <c r="FEV16" s="84"/>
      <c r="FEW16" s="84"/>
      <c r="FEX16" s="84"/>
      <c r="FEY16" s="84"/>
      <c r="FEZ16" s="84"/>
      <c r="FFA16" s="84"/>
      <c r="FFB16" s="84"/>
      <c r="FFC16" s="84"/>
      <c r="FFD16" s="84"/>
      <c r="FFE16" s="84"/>
      <c r="FFF16" s="84"/>
      <c r="FFG16" s="84"/>
      <c r="FFH16" s="84"/>
      <c r="FFI16" s="84"/>
      <c r="FFJ16" s="84"/>
      <c r="FFK16" s="84"/>
      <c r="FFL16" s="84"/>
      <c r="FFM16" s="84"/>
      <c r="FFN16" s="84"/>
      <c r="FFO16" s="84"/>
      <c r="FFP16" s="84"/>
      <c r="FFQ16" s="84"/>
      <c r="FFR16" s="84"/>
      <c r="FFS16" s="84"/>
      <c r="FFT16" s="84"/>
      <c r="FFU16" s="84"/>
      <c r="FFV16" s="84"/>
      <c r="FFW16" s="84"/>
      <c r="FFX16" s="84"/>
      <c r="FFY16" s="84"/>
      <c r="FFZ16" s="84"/>
      <c r="FGA16" s="84"/>
      <c r="FGB16" s="84"/>
      <c r="FGC16" s="84"/>
      <c r="FGD16" s="84"/>
      <c r="FGE16" s="84"/>
      <c r="FGF16" s="84"/>
      <c r="FGG16" s="84"/>
      <c r="FGH16" s="84"/>
      <c r="FGI16" s="84"/>
      <c r="FGJ16" s="84"/>
      <c r="FGK16" s="84"/>
      <c r="FGL16" s="84"/>
      <c r="FGM16" s="84"/>
      <c r="FGN16" s="84"/>
      <c r="FGO16" s="84"/>
      <c r="FGP16" s="84"/>
      <c r="FGQ16" s="84"/>
      <c r="FGR16" s="84"/>
      <c r="FGS16" s="84"/>
      <c r="FGT16" s="84"/>
      <c r="FGU16" s="84"/>
      <c r="FGV16" s="84"/>
      <c r="FGW16" s="84"/>
      <c r="FGX16" s="84"/>
      <c r="FGY16" s="84"/>
      <c r="FGZ16" s="84"/>
      <c r="FHA16" s="84"/>
      <c r="FHB16" s="84"/>
      <c r="FHC16" s="84"/>
      <c r="FHD16" s="84"/>
      <c r="FHE16" s="84"/>
      <c r="FHF16" s="84"/>
      <c r="FHG16" s="84"/>
      <c r="FHH16" s="84"/>
      <c r="FHI16" s="84"/>
      <c r="FHJ16" s="84"/>
      <c r="FHK16" s="84"/>
      <c r="FHL16" s="84"/>
      <c r="FHM16" s="84"/>
      <c r="FHN16" s="84"/>
      <c r="FHO16" s="84"/>
      <c r="FHP16" s="84"/>
      <c r="FHQ16" s="84"/>
      <c r="FHR16" s="84"/>
      <c r="FHS16" s="84"/>
      <c r="FHT16" s="84"/>
      <c r="FHU16" s="84"/>
      <c r="FHV16" s="84"/>
      <c r="FHW16" s="84"/>
      <c r="FHX16" s="84"/>
      <c r="FHY16" s="84"/>
      <c r="FHZ16" s="84"/>
      <c r="FIA16" s="84"/>
      <c r="FIB16" s="84"/>
      <c r="FIC16" s="84"/>
      <c r="FID16" s="84"/>
      <c r="FIE16" s="84"/>
      <c r="FIF16" s="84"/>
      <c r="FIG16" s="84"/>
      <c r="FIH16" s="84"/>
      <c r="FII16" s="84"/>
      <c r="FIJ16" s="84"/>
      <c r="FIK16" s="84"/>
      <c r="FIL16" s="84"/>
      <c r="FIM16" s="84"/>
      <c r="FIN16" s="84"/>
      <c r="FIO16" s="84"/>
      <c r="FIP16" s="84"/>
      <c r="FIQ16" s="84"/>
      <c r="FIR16" s="84"/>
      <c r="FIS16" s="84"/>
      <c r="FIT16" s="84"/>
      <c r="FIU16" s="84"/>
      <c r="FIV16" s="84"/>
      <c r="FIW16" s="84"/>
      <c r="FIX16" s="84"/>
      <c r="FIY16" s="84"/>
      <c r="FIZ16" s="84"/>
      <c r="FJA16" s="84"/>
      <c r="FJB16" s="84"/>
      <c r="FJC16" s="84"/>
      <c r="FJD16" s="84"/>
      <c r="FJE16" s="84"/>
      <c r="FJF16" s="84"/>
      <c r="FJG16" s="84"/>
      <c r="FJH16" s="84"/>
      <c r="FJI16" s="84"/>
      <c r="FJJ16" s="84"/>
      <c r="FJK16" s="84"/>
      <c r="FJL16" s="84"/>
      <c r="FJM16" s="84"/>
      <c r="FJN16" s="84"/>
      <c r="FJO16" s="84"/>
      <c r="FJP16" s="84"/>
      <c r="FJQ16" s="84"/>
      <c r="FJR16" s="84"/>
      <c r="FJS16" s="84"/>
      <c r="FJT16" s="84"/>
      <c r="FJU16" s="84"/>
      <c r="FJV16" s="84"/>
      <c r="FJW16" s="84"/>
      <c r="FJX16" s="84"/>
      <c r="FJY16" s="84"/>
      <c r="FJZ16" s="84"/>
      <c r="FKA16" s="84"/>
      <c r="FKB16" s="84"/>
      <c r="FKC16" s="84"/>
      <c r="FKD16" s="84"/>
      <c r="FKE16" s="84"/>
      <c r="FKF16" s="84"/>
      <c r="FKG16" s="84"/>
      <c r="FKH16" s="84"/>
      <c r="FKI16" s="84"/>
      <c r="FKJ16" s="84"/>
      <c r="FKK16" s="84"/>
      <c r="FKL16" s="84"/>
      <c r="FKM16" s="84"/>
      <c r="FKN16" s="84"/>
      <c r="FKO16" s="84"/>
      <c r="FKP16" s="84"/>
      <c r="FKQ16" s="84"/>
      <c r="FKR16" s="84"/>
      <c r="FKS16" s="84"/>
      <c r="FKT16" s="84"/>
      <c r="FKU16" s="84"/>
      <c r="FKV16" s="84"/>
      <c r="FKW16" s="84"/>
      <c r="FKX16" s="84"/>
      <c r="FKY16" s="84"/>
      <c r="FKZ16" s="84"/>
      <c r="FLA16" s="84"/>
      <c r="FLB16" s="84"/>
      <c r="FLC16" s="84"/>
      <c r="FLD16" s="84"/>
      <c r="FLE16" s="84"/>
      <c r="FLF16" s="84"/>
      <c r="FLG16" s="84"/>
      <c r="FLH16" s="84"/>
      <c r="FLI16" s="84"/>
      <c r="FLJ16" s="84"/>
      <c r="FLK16" s="84"/>
      <c r="FLL16" s="84"/>
      <c r="FLM16" s="84"/>
      <c r="FLN16" s="84"/>
      <c r="FLO16" s="84"/>
      <c r="FLP16" s="84"/>
      <c r="FLQ16" s="84"/>
      <c r="FLR16" s="84"/>
      <c r="FLS16" s="84"/>
      <c r="FLT16" s="84"/>
      <c r="FLU16" s="84"/>
      <c r="FLV16" s="84"/>
      <c r="FLW16" s="84"/>
      <c r="FLX16" s="84"/>
      <c r="FLY16" s="84"/>
      <c r="FLZ16" s="84"/>
      <c r="FMA16" s="84"/>
      <c r="FMB16" s="84"/>
      <c r="FMC16" s="84"/>
      <c r="FMD16" s="84"/>
      <c r="FME16" s="84"/>
      <c r="FMF16" s="84"/>
      <c r="FMG16" s="84"/>
      <c r="FMH16" s="84"/>
      <c r="FMI16" s="84"/>
      <c r="FMJ16" s="84"/>
      <c r="FMK16" s="84"/>
      <c r="FML16" s="84"/>
      <c r="FMM16" s="84"/>
      <c r="FMN16" s="84"/>
      <c r="FMO16" s="84"/>
      <c r="FMP16" s="84"/>
      <c r="FMQ16" s="84"/>
      <c r="FMR16" s="84"/>
      <c r="FMS16" s="84"/>
      <c r="FMT16" s="84"/>
      <c r="FMU16" s="84"/>
      <c r="FMV16" s="84"/>
      <c r="FMW16" s="84"/>
      <c r="FMX16" s="84"/>
      <c r="FMY16" s="84"/>
      <c r="FMZ16" s="84"/>
      <c r="FNA16" s="84"/>
      <c r="FNB16" s="84"/>
      <c r="FNC16" s="84"/>
      <c r="FND16" s="84"/>
      <c r="FNE16" s="84"/>
      <c r="FNF16" s="84"/>
      <c r="FNG16" s="84"/>
      <c r="FNH16" s="84"/>
      <c r="FNI16" s="84"/>
      <c r="FNJ16" s="84"/>
      <c r="FNK16" s="84"/>
      <c r="FNL16" s="84"/>
      <c r="FNM16" s="84"/>
      <c r="FNN16" s="84"/>
      <c r="FNO16" s="84"/>
      <c r="FNP16" s="84"/>
      <c r="FNQ16" s="84"/>
      <c r="FNR16" s="84"/>
      <c r="FNS16" s="84"/>
      <c r="FNT16" s="84"/>
      <c r="FNU16" s="84"/>
      <c r="FNV16" s="84"/>
      <c r="FNW16" s="84"/>
      <c r="FNX16" s="84"/>
      <c r="FNY16" s="84"/>
      <c r="FNZ16" s="84"/>
      <c r="FOA16" s="84"/>
      <c r="FOB16" s="84"/>
      <c r="FOC16" s="84"/>
      <c r="FOD16" s="84"/>
      <c r="FOE16" s="84"/>
      <c r="FOF16" s="84"/>
      <c r="FOG16" s="84"/>
      <c r="FOH16" s="84"/>
      <c r="FOI16" s="84"/>
      <c r="FOJ16" s="84"/>
      <c r="FOK16" s="84"/>
      <c r="FOL16" s="84"/>
      <c r="FOM16" s="84"/>
      <c r="FON16" s="84"/>
      <c r="FOO16" s="84"/>
      <c r="FOP16" s="84"/>
      <c r="FOQ16" s="84"/>
      <c r="FOR16" s="84"/>
      <c r="FOS16" s="84"/>
      <c r="FOT16" s="84"/>
      <c r="FOU16" s="84"/>
      <c r="FOV16" s="84"/>
      <c r="FOW16" s="84"/>
      <c r="FOX16" s="84"/>
      <c r="FOY16" s="84"/>
      <c r="FOZ16" s="84"/>
      <c r="FPA16" s="84"/>
      <c r="FPB16" s="84"/>
      <c r="FPC16" s="84"/>
      <c r="FPD16" s="84"/>
      <c r="FPE16" s="84"/>
      <c r="FPF16" s="84"/>
      <c r="FPG16" s="84"/>
      <c r="FPH16" s="84"/>
      <c r="FPI16" s="84"/>
      <c r="FPJ16" s="84"/>
      <c r="FPK16" s="84"/>
      <c r="FPL16" s="84"/>
      <c r="FPM16" s="84"/>
      <c r="FPN16" s="84"/>
      <c r="FPO16" s="84"/>
      <c r="FPP16" s="84"/>
      <c r="FPQ16" s="84"/>
      <c r="FPR16" s="84"/>
      <c r="FPS16" s="84"/>
      <c r="FPT16" s="84"/>
      <c r="FPU16" s="84"/>
      <c r="FPV16" s="84"/>
      <c r="FPW16" s="84"/>
      <c r="FPX16" s="84"/>
      <c r="FPY16" s="84"/>
      <c r="FPZ16" s="84"/>
      <c r="FQA16" s="84"/>
      <c r="FQB16" s="84"/>
      <c r="FQC16" s="84"/>
      <c r="FQD16" s="84"/>
      <c r="FQE16" s="84"/>
      <c r="FQF16" s="84"/>
      <c r="FQG16" s="84"/>
      <c r="FQH16" s="84"/>
      <c r="FQI16" s="84"/>
      <c r="FQJ16" s="84"/>
      <c r="FQK16" s="84"/>
      <c r="FQL16" s="84"/>
      <c r="FQM16" s="84"/>
      <c r="FQN16" s="84"/>
      <c r="FQO16" s="84"/>
      <c r="FQP16" s="84"/>
      <c r="FQQ16" s="84"/>
      <c r="FQR16" s="84"/>
      <c r="FQS16" s="84"/>
      <c r="FQT16" s="84"/>
      <c r="FQU16" s="84"/>
      <c r="FQV16" s="84"/>
      <c r="FQW16" s="84"/>
      <c r="FQX16" s="84"/>
      <c r="FQY16" s="84"/>
      <c r="FQZ16" s="84"/>
      <c r="FRA16" s="84"/>
      <c r="FRB16" s="84"/>
      <c r="FRC16" s="84"/>
      <c r="FRD16" s="84"/>
      <c r="FRE16" s="84"/>
      <c r="FRF16" s="84"/>
      <c r="FRG16" s="84"/>
      <c r="FRH16" s="84"/>
      <c r="FRI16" s="84"/>
      <c r="FRJ16" s="84"/>
      <c r="FRK16" s="84"/>
      <c r="FRL16" s="84"/>
      <c r="FRM16" s="84"/>
      <c r="FRN16" s="84"/>
      <c r="FRO16" s="84"/>
      <c r="FRP16" s="84"/>
      <c r="FRQ16" s="84"/>
      <c r="FRR16" s="84"/>
      <c r="FRS16" s="84"/>
      <c r="FRT16" s="84"/>
      <c r="FRU16" s="84"/>
      <c r="FRV16" s="84"/>
      <c r="FRW16" s="84"/>
      <c r="FRX16" s="84"/>
      <c r="FRY16" s="84"/>
      <c r="FRZ16" s="84"/>
      <c r="FSA16" s="84"/>
      <c r="FSB16" s="84"/>
      <c r="FSC16" s="84"/>
      <c r="FSD16" s="84"/>
      <c r="FSE16" s="84"/>
      <c r="FSF16" s="84"/>
      <c r="FSG16" s="84"/>
      <c r="FSH16" s="84"/>
      <c r="FSI16" s="84"/>
      <c r="FSJ16" s="84"/>
      <c r="FSK16" s="84"/>
      <c r="FSL16" s="84"/>
      <c r="FSM16" s="84"/>
      <c r="FSN16" s="84"/>
      <c r="FSO16" s="84"/>
      <c r="FSP16" s="84"/>
      <c r="FSQ16" s="84"/>
      <c r="FSR16" s="84"/>
      <c r="FSS16" s="84"/>
      <c r="FST16" s="84"/>
      <c r="FSU16" s="84"/>
      <c r="FSV16" s="84"/>
      <c r="FSW16" s="84"/>
      <c r="FSX16" s="84"/>
      <c r="FSY16" s="84"/>
      <c r="FSZ16" s="84"/>
      <c r="FTA16" s="84"/>
      <c r="FTB16" s="84"/>
      <c r="FTC16" s="84"/>
      <c r="FTD16" s="84"/>
      <c r="FTE16" s="84"/>
      <c r="FTF16" s="84"/>
      <c r="FTG16" s="84"/>
      <c r="FTH16" s="84"/>
      <c r="FTI16" s="84"/>
      <c r="FTJ16" s="84"/>
      <c r="FTK16" s="84"/>
      <c r="FTL16" s="84"/>
      <c r="FTM16" s="84"/>
      <c r="FTN16" s="84"/>
      <c r="FTO16" s="84"/>
      <c r="FTP16" s="84"/>
      <c r="FTQ16" s="84"/>
      <c r="FTR16" s="84"/>
      <c r="FTS16" s="84"/>
      <c r="FTT16" s="84"/>
      <c r="FTU16" s="84"/>
      <c r="FTV16" s="84"/>
      <c r="FTW16" s="84"/>
      <c r="FTX16" s="84"/>
      <c r="FTY16" s="84"/>
      <c r="FTZ16" s="84"/>
      <c r="FUA16" s="84"/>
      <c r="FUB16" s="84"/>
      <c r="FUC16" s="84"/>
      <c r="FUD16" s="84"/>
      <c r="FUE16" s="84"/>
      <c r="FUF16" s="84"/>
      <c r="FUG16" s="84"/>
      <c r="FUH16" s="84"/>
      <c r="FUI16" s="84"/>
      <c r="FUJ16" s="84"/>
      <c r="FUK16" s="84"/>
      <c r="FUL16" s="84"/>
      <c r="FUM16" s="84"/>
      <c r="FUN16" s="84"/>
      <c r="FUO16" s="84"/>
      <c r="FUP16" s="84"/>
      <c r="FUQ16" s="84"/>
      <c r="FUR16" s="84"/>
      <c r="FUS16" s="84"/>
      <c r="FUT16" s="84"/>
      <c r="FUU16" s="84"/>
      <c r="FUV16" s="84"/>
      <c r="FUW16" s="84"/>
      <c r="FUX16" s="84"/>
      <c r="FUY16" s="84"/>
      <c r="FUZ16" s="84"/>
      <c r="FVA16" s="84"/>
      <c r="FVB16" s="84"/>
      <c r="FVC16" s="84"/>
      <c r="FVD16" s="84"/>
      <c r="FVE16" s="84"/>
      <c r="FVF16" s="84"/>
      <c r="FVG16" s="84"/>
      <c r="FVH16" s="84"/>
      <c r="FVI16" s="84"/>
      <c r="FVJ16" s="84"/>
      <c r="FVK16" s="84"/>
      <c r="FVL16" s="84"/>
      <c r="FVM16" s="84"/>
      <c r="FVN16" s="84"/>
      <c r="FVO16" s="84"/>
      <c r="FVP16" s="84"/>
      <c r="FVQ16" s="84"/>
      <c r="FVR16" s="84"/>
      <c r="FVS16" s="84"/>
      <c r="FVT16" s="84"/>
      <c r="FVU16" s="84"/>
      <c r="FVV16" s="84"/>
      <c r="FVW16" s="84"/>
      <c r="FVX16" s="84"/>
      <c r="FVY16" s="84"/>
      <c r="FVZ16" s="84"/>
      <c r="FWA16" s="84"/>
      <c r="FWB16" s="84"/>
      <c r="FWC16" s="84"/>
      <c r="FWD16" s="84"/>
      <c r="FWE16" s="84"/>
      <c r="FWF16" s="84"/>
      <c r="FWG16" s="84"/>
      <c r="FWH16" s="84"/>
      <c r="FWI16" s="84"/>
      <c r="FWJ16" s="84"/>
      <c r="FWK16" s="84"/>
      <c r="FWL16" s="84"/>
      <c r="FWM16" s="84"/>
      <c r="FWN16" s="84"/>
      <c r="FWO16" s="84"/>
      <c r="FWP16" s="84"/>
      <c r="FWQ16" s="84"/>
      <c r="FWR16" s="84"/>
      <c r="FWS16" s="84"/>
      <c r="FWT16" s="84"/>
      <c r="FWU16" s="84"/>
      <c r="FWV16" s="84"/>
      <c r="FWW16" s="84"/>
      <c r="FWX16" s="84"/>
      <c r="FWY16" s="84"/>
      <c r="FWZ16" s="84"/>
      <c r="FXA16" s="84"/>
      <c r="FXB16" s="84"/>
      <c r="FXC16" s="84"/>
      <c r="FXD16" s="84"/>
      <c r="FXE16" s="84"/>
      <c r="FXF16" s="84"/>
      <c r="FXG16" s="84"/>
      <c r="FXH16" s="84"/>
      <c r="FXI16" s="84"/>
      <c r="FXJ16" s="84"/>
      <c r="FXK16" s="84"/>
      <c r="FXL16" s="84"/>
      <c r="FXM16" s="84"/>
      <c r="FXN16" s="84"/>
      <c r="FXO16" s="84"/>
      <c r="FXP16" s="84"/>
      <c r="FXQ16" s="84"/>
      <c r="FXR16" s="84"/>
      <c r="FXS16" s="84"/>
      <c r="FXT16" s="84"/>
      <c r="FXU16" s="84"/>
      <c r="FXV16" s="84"/>
      <c r="FXW16" s="84"/>
      <c r="FXX16" s="84"/>
      <c r="FXY16" s="84"/>
      <c r="FXZ16" s="84"/>
      <c r="FYA16" s="84"/>
      <c r="FYB16" s="84"/>
      <c r="FYC16" s="84"/>
      <c r="FYD16" s="84"/>
      <c r="FYE16" s="84"/>
      <c r="FYF16" s="84"/>
      <c r="FYG16" s="84"/>
      <c r="FYH16" s="84"/>
      <c r="FYI16" s="84"/>
      <c r="FYJ16" s="84"/>
      <c r="FYK16" s="84"/>
      <c r="FYL16" s="84"/>
      <c r="FYM16" s="84"/>
      <c r="FYN16" s="84"/>
      <c r="FYO16" s="84"/>
      <c r="FYP16" s="84"/>
      <c r="FYQ16" s="84"/>
      <c r="FYR16" s="84"/>
      <c r="FYS16" s="84"/>
      <c r="FYT16" s="84"/>
      <c r="FYU16" s="84"/>
      <c r="FYV16" s="84"/>
      <c r="FYW16" s="84"/>
      <c r="FYX16" s="84"/>
      <c r="FYY16" s="84"/>
      <c r="FYZ16" s="84"/>
      <c r="FZA16" s="84"/>
      <c r="FZB16" s="84"/>
      <c r="FZC16" s="84"/>
      <c r="FZD16" s="84"/>
      <c r="FZE16" s="84"/>
      <c r="FZF16" s="84"/>
      <c r="FZG16" s="84"/>
      <c r="FZH16" s="84"/>
      <c r="FZI16" s="84"/>
      <c r="FZJ16" s="84"/>
      <c r="FZK16" s="84"/>
      <c r="FZL16" s="84"/>
      <c r="FZM16" s="84"/>
      <c r="FZN16" s="84"/>
      <c r="FZO16" s="84"/>
      <c r="FZP16" s="84"/>
      <c r="FZQ16" s="84"/>
      <c r="FZR16" s="84"/>
      <c r="FZS16" s="84"/>
      <c r="FZT16" s="84"/>
      <c r="FZU16" s="84"/>
      <c r="FZV16" s="84"/>
      <c r="FZW16" s="84"/>
      <c r="FZX16" s="84"/>
      <c r="FZY16" s="84"/>
      <c r="FZZ16" s="84"/>
      <c r="GAA16" s="84"/>
      <c r="GAB16" s="84"/>
      <c r="GAC16" s="84"/>
      <c r="GAD16" s="84"/>
      <c r="GAE16" s="84"/>
      <c r="GAF16" s="84"/>
      <c r="GAG16" s="84"/>
      <c r="GAH16" s="84"/>
      <c r="GAI16" s="84"/>
      <c r="GAJ16" s="84"/>
      <c r="GAK16" s="84"/>
      <c r="GAL16" s="84"/>
      <c r="GAM16" s="84"/>
      <c r="GAN16" s="84"/>
      <c r="GAO16" s="84"/>
      <c r="GAP16" s="84"/>
      <c r="GAQ16" s="84"/>
      <c r="GAR16" s="84"/>
      <c r="GAS16" s="84"/>
      <c r="GAT16" s="84"/>
      <c r="GAU16" s="84"/>
      <c r="GAV16" s="84"/>
      <c r="GAW16" s="84"/>
      <c r="GAX16" s="84"/>
      <c r="GAY16" s="84"/>
      <c r="GAZ16" s="84"/>
      <c r="GBA16" s="84"/>
      <c r="GBB16" s="84"/>
      <c r="GBC16" s="84"/>
      <c r="GBD16" s="84"/>
      <c r="GBE16" s="84"/>
      <c r="GBF16" s="84"/>
      <c r="GBG16" s="84"/>
      <c r="GBH16" s="84"/>
      <c r="GBI16" s="84"/>
      <c r="GBJ16" s="84"/>
      <c r="GBK16" s="84"/>
      <c r="GBL16" s="84"/>
      <c r="GBM16" s="84"/>
      <c r="GBN16" s="84"/>
      <c r="GBO16" s="84"/>
      <c r="GBP16" s="84"/>
      <c r="GBQ16" s="84"/>
      <c r="GBR16" s="84"/>
      <c r="GBS16" s="84"/>
      <c r="GBT16" s="84"/>
      <c r="GBU16" s="84"/>
      <c r="GBV16" s="84"/>
      <c r="GBW16" s="84"/>
      <c r="GBX16" s="84"/>
      <c r="GBY16" s="84"/>
      <c r="GBZ16" s="84"/>
      <c r="GCA16" s="84"/>
      <c r="GCB16" s="84"/>
      <c r="GCC16" s="84"/>
      <c r="GCD16" s="84"/>
      <c r="GCE16" s="84"/>
      <c r="GCF16" s="84"/>
      <c r="GCG16" s="84"/>
      <c r="GCH16" s="84"/>
      <c r="GCI16" s="84"/>
      <c r="GCJ16" s="84"/>
      <c r="GCK16" s="84"/>
      <c r="GCL16" s="84"/>
      <c r="GCM16" s="84"/>
      <c r="GCN16" s="84"/>
      <c r="GCO16" s="84"/>
      <c r="GCP16" s="84"/>
      <c r="GCQ16" s="84"/>
      <c r="GCR16" s="84"/>
      <c r="GCS16" s="84"/>
      <c r="GCT16" s="84"/>
      <c r="GCU16" s="84"/>
      <c r="GCV16" s="84"/>
      <c r="GCW16" s="84"/>
      <c r="GCX16" s="84"/>
      <c r="GCY16" s="84"/>
      <c r="GCZ16" s="84"/>
      <c r="GDA16" s="84"/>
      <c r="GDB16" s="84"/>
      <c r="GDC16" s="84"/>
      <c r="GDD16" s="84"/>
      <c r="GDE16" s="84"/>
      <c r="GDF16" s="84"/>
      <c r="GDG16" s="84"/>
      <c r="GDH16" s="84"/>
      <c r="GDI16" s="84"/>
      <c r="GDJ16" s="84"/>
      <c r="GDK16" s="84"/>
      <c r="GDL16" s="84"/>
      <c r="GDM16" s="84"/>
      <c r="GDN16" s="84"/>
      <c r="GDO16" s="84"/>
      <c r="GDP16" s="84"/>
      <c r="GDQ16" s="84"/>
      <c r="GDR16" s="84"/>
      <c r="GDS16" s="84"/>
      <c r="GDT16" s="84"/>
      <c r="GDU16" s="84"/>
      <c r="GDV16" s="84"/>
      <c r="GDW16" s="84"/>
      <c r="GDX16" s="84"/>
      <c r="GDY16" s="84"/>
      <c r="GDZ16" s="84"/>
      <c r="GEA16" s="84"/>
      <c r="GEB16" s="84"/>
      <c r="GEC16" s="84"/>
      <c r="GED16" s="84"/>
      <c r="GEE16" s="84"/>
      <c r="GEF16" s="84"/>
      <c r="GEG16" s="84"/>
      <c r="GEH16" s="84"/>
      <c r="GEI16" s="84"/>
      <c r="GEJ16" s="84"/>
      <c r="GEK16" s="84"/>
      <c r="GEL16" s="84"/>
      <c r="GEM16" s="84"/>
      <c r="GEN16" s="84"/>
      <c r="GEO16" s="84"/>
      <c r="GEP16" s="84"/>
      <c r="GEQ16" s="84"/>
      <c r="GER16" s="84"/>
      <c r="GES16" s="84"/>
      <c r="GET16" s="84"/>
      <c r="GEU16" s="84"/>
      <c r="GEV16" s="84"/>
      <c r="GEW16" s="84"/>
      <c r="GEX16" s="84"/>
      <c r="GEY16" s="84"/>
      <c r="GEZ16" s="84"/>
      <c r="GFA16" s="84"/>
      <c r="GFB16" s="84"/>
      <c r="GFC16" s="84"/>
      <c r="GFD16" s="84"/>
      <c r="GFE16" s="84"/>
      <c r="GFF16" s="84"/>
      <c r="GFG16" s="84"/>
      <c r="GFH16" s="84"/>
      <c r="GFI16" s="84"/>
      <c r="GFJ16" s="84"/>
      <c r="GFK16" s="84"/>
      <c r="GFL16" s="84"/>
      <c r="GFM16" s="84"/>
      <c r="GFN16" s="84"/>
      <c r="GFO16" s="84"/>
      <c r="GFP16" s="84"/>
      <c r="GFQ16" s="84"/>
      <c r="GFR16" s="84"/>
      <c r="GFS16" s="84"/>
      <c r="GFT16" s="84"/>
      <c r="GFU16" s="84"/>
      <c r="GFV16" s="84"/>
      <c r="GFW16" s="84"/>
      <c r="GFX16" s="84"/>
      <c r="GFY16" s="84"/>
      <c r="GFZ16" s="84"/>
      <c r="GGA16" s="84"/>
      <c r="GGB16" s="84"/>
      <c r="GGC16" s="84"/>
      <c r="GGD16" s="84"/>
      <c r="GGE16" s="84"/>
      <c r="GGF16" s="84"/>
      <c r="GGG16" s="84"/>
      <c r="GGH16" s="84"/>
      <c r="GGI16" s="84"/>
      <c r="GGJ16" s="84"/>
      <c r="GGK16" s="84"/>
      <c r="GGL16" s="84"/>
      <c r="GGM16" s="84"/>
      <c r="GGN16" s="84"/>
      <c r="GGO16" s="84"/>
      <c r="GGP16" s="84"/>
      <c r="GGQ16" s="84"/>
      <c r="GGR16" s="84"/>
      <c r="GGS16" s="84"/>
      <c r="GGT16" s="84"/>
      <c r="GGU16" s="84"/>
      <c r="GGV16" s="84"/>
      <c r="GGW16" s="84"/>
      <c r="GGX16" s="84"/>
      <c r="GGY16" s="84"/>
      <c r="GGZ16" s="84"/>
      <c r="GHA16" s="84"/>
      <c r="GHB16" s="84"/>
      <c r="GHC16" s="84"/>
      <c r="GHD16" s="84"/>
      <c r="GHE16" s="84"/>
      <c r="GHF16" s="84"/>
      <c r="GHG16" s="84"/>
      <c r="GHH16" s="84"/>
      <c r="GHI16" s="84"/>
      <c r="GHJ16" s="84"/>
      <c r="GHK16" s="84"/>
      <c r="GHL16" s="84"/>
      <c r="GHM16" s="84"/>
      <c r="GHN16" s="84"/>
      <c r="GHO16" s="84"/>
      <c r="GHP16" s="84"/>
      <c r="GHQ16" s="84"/>
      <c r="GHR16" s="84"/>
      <c r="GHS16" s="84"/>
      <c r="GHT16" s="84"/>
      <c r="GHU16" s="84"/>
      <c r="GHV16" s="84"/>
      <c r="GHW16" s="84"/>
      <c r="GHX16" s="84"/>
      <c r="GHY16" s="84"/>
      <c r="GHZ16" s="84"/>
      <c r="GIA16" s="84"/>
      <c r="GIB16" s="84"/>
      <c r="GIC16" s="84"/>
      <c r="GID16" s="84"/>
      <c r="GIE16" s="84"/>
      <c r="GIF16" s="84"/>
      <c r="GIG16" s="84"/>
      <c r="GIH16" s="84"/>
      <c r="GII16" s="84"/>
      <c r="GIJ16" s="84"/>
      <c r="GIK16" s="84"/>
      <c r="GIL16" s="84"/>
      <c r="GIM16" s="84"/>
      <c r="GIN16" s="84"/>
      <c r="GIO16" s="84"/>
      <c r="GIP16" s="84"/>
      <c r="GIQ16" s="84"/>
      <c r="GIR16" s="84"/>
      <c r="GIS16" s="84"/>
      <c r="GIT16" s="84"/>
      <c r="GIU16" s="84"/>
      <c r="GIV16" s="84"/>
      <c r="GIW16" s="84"/>
      <c r="GIX16" s="84"/>
      <c r="GIY16" s="84"/>
      <c r="GIZ16" s="84"/>
      <c r="GJA16" s="84"/>
      <c r="GJB16" s="84"/>
      <c r="GJC16" s="84"/>
      <c r="GJD16" s="84"/>
      <c r="GJE16" s="84"/>
      <c r="GJF16" s="84"/>
      <c r="GJG16" s="84"/>
      <c r="GJH16" s="84"/>
      <c r="GJI16" s="84"/>
      <c r="GJJ16" s="84"/>
      <c r="GJK16" s="84"/>
      <c r="GJL16" s="84"/>
      <c r="GJM16" s="84"/>
      <c r="GJN16" s="84"/>
      <c r="GJO16" s="84"/>
      <c r="GJP16" s="84"/>
      <c r="GJQ16" s="84"/>
      <c r="GJR16" s="84"/>
      <c r="GJS16" s="84"/>
      <c r="GJT16" s="84"/>
      <c r="GJU16" s="84"/>
      <c r="GJV16" s="84"/>
      <c r="GJW16" s="84"/>
      <c r="GJX16" s="84"/>
      <c r="GJY16" s="84"/>
      <c r="GJZ16" s="84"/>
      <c r="GKA16" s="84"/>
      <c r="GKB16" s="84"/>
      <c r="GKC16" s="84"/>
      <c r="GKD16" s="84"/>
      <c r="GKE16" s="84"/>
      <c r="GKF16" s="84"/>
      <c r="GKG16" s="84"/>
      <c r="GKH16" s="84"/>
      <c r="GKI16" s="84"/>
      <c r="GKJ16" s="84"/>
      <c r="GKK16" s="84"/>
      <c r="GKL16" s="84"/>
      <c r="GKM16" s="84"/>
      <c r="GKN16" s="84"/>
      <c r="GKO16" s="84"/>
      <c r="GKP16" s="84"/>
      <c r="GKQ16" s="84"/>
      <c r="GKR16" s="84"/>
      <c r="GKS16" s="84"/>
      <c r="GKT16" s="84"/>
      <c r="GKU16" s="84"/>
      <c r="GKV16" s="84"/>
      <c r="GKW16" s="84"/>
      <c r="GKX16" s="84"/>
      <c r="GKY16" s="84"/>
      <c r="GKZ16" s="84"/>
      <c r="GLA16" s="84"/>
      <c r="GLB16" s="84"/>
      <c r="GLC16" s="84"/>
      <c r="GLD16" s="84"/>
      <c r="GLE16" s="84"/>
      <c r="GLF16" s="84"/>
      <c r="GLG16" s="84"/>
      <c r="GLH16" s="84"/>
      <c r="GLI16" s="84"/>
      <c r="GLJ16" s="84"/>
      <c r="GLK16" s="84"/>
      <c r="GLL16" s="84"/>
      <c r="GLM16" s="84"/>
      <c r="GLN16" s="84"/>
      <c r="GLO16" s="84"/>
      <c r="GLP16" s="84"/>
      <c r="GLQ16" s="84"/>
      <c r="GLR16" s="84"/>
      <c r="GLS16" s="84"/>
      <c r="GLT16" s="84"/>
      <c r="GLU16" s="84"/>
      <c r="GLV16" s="84"/>
      <c r="GLW16" s="84"/>
      <c r="GLX16" s="84"/>
      <c r="GLY16" s="84"/>
      <c r="GLZ16" s="84"/>
      <c r="GMA16" s="84"/>
      <c r="GMB16" s="84"/>
      <c r="GMC16" s="84"/>
      <c r="GMD16" s="84"/>
      <c r="GME16" s="84"/>
      <c r="GMF16" s="84"/>
      <c r="GMG16" s="84"/>
      <c r="GMH16" s="84"/>
      <c r="GMI16" s="84"/>
      <c r="GMJ16" s="84"/>
      <c r="GMK16" s="84"/>
      <c r="GML16" s="84"/>
      <c r="GMM16" s="84"/>
      <c r="GMN16" s="84"/>
      <c r="GMO16" s="84"/>
      <c r="GMP16" s="84"/>
      <c r="GMQ16" s="84"/>
      <c r="GMR16" s="84"/>
      <c r="GMS16" s="84"/>
      <c r="GMT16" s="84"/>
      <c r="GMU16" s="84"/>
      <c r="GMV16" s="84"/>
      <c r="GMW16" s="84"/>
      <c r="GMX16" s="84"/>
      <c r="GMY16" s="84"/>
      <c r="GMZ16" s="84"/>
      <c r="GNA16" s="84"/>
      <c r="GNB16" s="84"/>
      <c r="GNC16" s="84"/>
      <c r="GND16" s="84"/>
      <c r="GNE16" s="84"/>
      <c r="GNF16" s="84"/>
      <c r="GNG16" s="84"/>
      <c r="GNH16" s="84"/>
      <c r="GNI16" s="84"/>
      <c r="GNJ16" s="84"/>
      <c r="GNK16" s="84"/>
      <c r="GNL16" s="84"/>
      <c r="GNM16" s="84"/>
      <c r="GNN16" s="84"/>
      <c r="GNO16" s="84"/>
      <c r="GNP16" s="84"/>
      <c r="GNQ16" s="84"/>
      <c r="GNR16" s="84"/>
      <c r="GNS16" s="84"/>
      <c r="GNT16" s="84"/>
      <c r="GNU16" s="84"/>
      <c r="GNV16" s="84"/>
      <c r="GNW16" s="84"/>
      <c r="GNX16" s="84"/>
      <c r="GNY16" s="84"/>
      <c r="GNZ16" s="84"/>
      <c r="GOA16" s="84"/>
      <c r="GOB16" s="84"/>
      <c r="GOC16" s="84"/>
      <c r="GOD16" s="84"/>
      <c r="GOE16" s="84"/>
      <c r="GOF16" s="84"/>
      <c r="GOG16" s="84"/>
      <c r="GOH16" s="84"/>
      <c r="GOI16" s="84"/>
      <c r="GOJ16" s="84"/>
      <c r="GOK16" s="84"/>
      <c r="GOL16" s="84"/>
      <c r="GOM16" s="84"/>
      <c r="GON16" s="84"/>
      <c r="GOO16" s="84"/>
      <c r="GOP16" s="84"/>
      <c r="GOQ16" s="84"/>
      <c r="GOR16" s="84"/>
      <c r="GOS16" s="84"/>
      <c r="GOT16" s="84"/>
      <c r="GOU16" s="84"/>
      <c r="GOV16" s="84"/>
      <c r="GOW16" s="84"/>
      <c r="GOX16" s="84"/>
      <c r="GOY16" s="84"/>
      <c r="GOZ16" s="84"/>
      <c r="GPA16" s="84"/>
      <c r="GPB16" s="84"/>
      <c r="GPC16" s="84"/>
      <c r="GPD16" s="84"/>
      <c r="GPE16" s="84"/>
      <c r="GPF16" s="84"/>
      <c r="GPG16" s="84"/>
      <c r="GPH16" s="84"/>
      <c r="GPI16" s="84"/>
      <c r="GPJ16" s="84"/>
      <c r="GPK16" s="84"/>
      <c r="GPL16" s="84"/>
      <c r="GPM16" s="84"/>
      <c r="GPN16" s="84"/>
      <c r="GPO16" s="84"/>
      <c r="GPP16" s="84"/>
      <c r="GPQ16" s="84"/>
      <c r="GPR16" s="84"/>
      <c r="GPS16" s="84"/>
      <c r="GPT16" s="84"/>
      <c r="GPU16" s="84"/>
      <c r="GPV16" s="84"/>
      <c r="GPW16" s="84"/>
      <c r="GPX16" s="84"/>
      <c r="GPY16" s="84"/>
      <c r="GPZ16" s="84"/>
      <c r="GQA16" s="84"/>
      <c r="GQB16" s="84"/>
      <c r="GQC16" s="84"/>
      <c r="GQD16" s="84"/>
      <c r="GQE16" s="84"/>
      <c r="GQF16" s="84"/>
      <c r="GQG16" s="84"/>
      <c r="GQH16" s="84"/>
      <c r="GQI16" s="84"/>
      <c r="GQJ16" s="84"/>
      <c r="GQK16" s="84"/>
      <c r="GQL16" s="84"/>
      <c r="GQM16" s="84"/>
      <c r="GQN16" s="84"/>
      <c r="GQO16" s="84"/>
      <c r="GQP16" s="84"/>
      <c r="GQQ16" s="84"/>
      <c r="GQR16" s="84"/>
      <c r="GQS16" s="84"/>
      <c r="GQT16" s="84"/>
      <c r="GQU16" s="84"/>
      <c r="GQV16" s="84"/>
      <c r="GQW16" s="84"/>
      <c r="GQX16" s="84"/>
      <c r="GQY16" s="84"/>
      <c r="GQZ16" s="84"/>
      <c r="GRA16" s="84"/>
      <c r="GRB16" s="84"/>
      <c r="GRC16" s="84"/>
      <c r="GRD16" s="84"/>
      <c r="GRE16" s="84"/>
      <c r="GRF16" s="84"/>
      <c r="GRG16" s="84"/>
      <c r="GRH16" s="84"/>
      <c r="GRI16" s="84"/>
      <c r="GRJ16" s="84"/>
      <c r="GRK16" s="84"/>
      <c r="GRL16" s="84"/>
      <c r="GRM16" s="84"/>
      <c r="GRN16" s="84"/>
      <c r="GRO16" s="84"/>
      <c r="GRP16" s="84"/>
      <c r="GRQ16" s="84"/>
      <c r="GRR16" s="84"/>
      <c r="GRS16" s="84"/>
      <c r="GRT16" s="84"/>
      <c r="GRU16" s="84"/>
      <c r="GRV16" s="84"/>
      <c r="GRW16" s="84"/>
      <c r="GRX16" s="84"/>
      <c r="GRY16" s="84"/>
      <c r="GRZ16" s="84"/>
      <c r="GSA16" s="84"/>
      <c r="GSB16" s="84"/>
      <c r="GSC16" s="84"/>
      <c r="GSD16" s="84"/>
      <c r="GSE16" s="84"/>
      <c r="GSF16" s="84"/>
      <c r="GSG16" s="84"/>
      <c r="GSH16" s="84"/>
      <c r="GSI16" s="84"/>
      <c r="GSJ16" s="84"/>
      <c r="GSK16" s="84"/>
      <c r="GSL16" s="84"/>
      <c r="GSM16" s="84"/>
      <c r="GSN16" s="84"/>
      <c r="GSO16" s="84"/>
      <c r="GSP16" s="84"/>
      <c r="GSQ16" s="84"/>
      <c r="GSR16" s="84"/>
      <c r="GSS16" s="84"/>
      <c r="GST16" s="84"/>
      <c r="GSU16" s="84"/>
      <c r="GSV16" s="84"/>
      <c r="GSW16" s="84"/>
      <c r="GSX16" s="84"/>
      <c r="GSY16" s="84"/>
      <c r="GSZ16" s="84"/>
      <c r="GTA16" s="84"/>
      <c r="GTB16" s="84"/>
      <c r="GTC16" s="84"/>
      <c r="GTD16" s="84"/>
      <c r="GTE16" s="84"/>
      <c r="GTF16" s="84"/>
      <c r="GTG16" s="84"/>
      <c r="GTH16" s="84"/>
      <c r="GTI16" s="84"/>
      <c r="GTJ16" s="84"/>
      <c r="GTK16" s="84"/>
      <c r="GTL16" s="84"/>
      <c r="GTM16" s="84"/>
      <c r="GTN16" s="84"/>
      <c r="GTO16" s="84"/>
      <c r="GTP16" s="84"/>
      <c r="GTQ16" s="84"/>
      <c r="GTR16" s="84"/>
      <c r="GTS16" s="84"/>
      <c r="GTT16" s="84"/>
      <c r="GTU16" s="84"/>
      <c r="GTV16" s="84"/>
      <c r="GTW16" s="84"/>
      <c r="GTX16" s="84"/>
      <c r="GTY16" s="84"/>
      <c r="GTZ16" s="84"/>
      <c r="GUA16" s="84"/>
      <c r="GUB16" s="84"/>
      <c r="GUC16" s="84"/>
      <c r="GUD16" s="84"/>
      <c r="GUE16" s="84"/>
      <c r="GUF16" s="84"/>
      <c r="GUG16" s="84"/>
      <c r="GUH16" s="84"/>
      <c r="GUI16" s="84"/>
      <c r="GUJ16" s="84"/>
      <c r="GUK16" s="84"/>
      <c r="GUL16" s="84"/>
      <c r="GUM16" s="84"/>
      <c r="GUN16" s="84"/>
      <c r="GUO16" s="84"/>
      <c r="GUP16" s="84"/>
      <c r="GUQ16" s="84"/>
      <c r="GUR16" s="84"/>
      <c r="GUS16" s="84"/>
      <c r="GUT16" s="84"/>
      <c r="GUU16" s="84"/>
      <c r="GUV16" s="84"/>
      <c r="GUW16" s="84"/>
      <c r="GUX16" s="84"/>
      <c r="GUY16" s="84"/>
      <c r="GUZ16" s="84"/>
      <c r="GVA16" s="84"/>
      <c r="GVB16" s="84"/>
      <c r="GVC16" s="84"/>
      <c r="GVD16" s="84"/>
      <c r="GVE16" s="84"/>
      <c r="GVF16" s="84"/>
      <c r="GVG16" s="84"/>
      <c r="GVH16" s="84"/>
      <c r="GVI16" s="84"/>
      <c r="GVJ16" s="84"/>
      <c r="GVK16" s="84"/>
      <c r="GVL16" s="84"/>
      <c r="GVM16" s="84"/>
      <c r="GVN16" s="84"/>
      <c r="GVO16" s="84"/>
      <c r="GVP16" s="84"/>
      <c r="GVQ16" s="84"/>
      <c r="GVR16" s="84"/>
      <c r="GVS16" s="84"/>
      <c r="GVT16" s="84"/>
      <c r="GVU16" s="84"/>
      <c r="GVV16" s="84"/>
      <c r="GVW16" s="84"/>
      <c r="GVX16" s="84"/>
      <c r="GVY16" s="84"/>
      <c r="GVZ16" s="84"/>
      <c r="GWA16" s="84"/>
      <c r="GWB16" s="84"/>
      <c r="GWC16" s="84"/>
      <c r="GWD16" s="84"/>
      <c r="GWE16" s="84"/>
      <c r="GWF16" s="84"/>
      <c r="GWG16" s="84"/>
      <c r="GWH16" s="84"/>
      <c r="GWI16" s="84"/>
      <c r="GWJ16" s="84"/>
      <c r="GWK16" s="84"/>
      <c r="GWL16" s="84"/>
      <c r="GWM16" s="84"/>
      <c r="GWN16" s="84"/>
      <c r="GWO16" s="84"/>
      <c r="GWP16" s="84"/>
      <c r="GWQ16" s="84"/>
      <c r="GWR16" s="84"/>
      <c r="GWS16" s="84"/>
      <c r="GWT16" s="84"/>
      <c r="GWU16" s="84"/>
      <c r="GWV16" s="84"/>
      <c r="GWW16" s="84"/>
      <c r="GWX16" s="84"/>
      <c r="GWY16" s="84"/>
      <c r="GWZ16" s="84"/>
      <c r="GXA16" s="84"/>
      <c r="GXB16" s="84"/>
      <c r="GXC16" s="84"/>
      <c r="GXD16" s="84"/>
      <c r="GXE16" s="84"/>
      <c r="GXF16" s="84"/>
      <c r="GXG16" s="84"/>
      <c r="GXH16" s="84"/>
      <c r="GXI16" s="84"/>
      <c r="GXJ16" s="84"/>
      <c r="GXK16" s="84"/>
      <c r="GXL16" s="84"/>
      <c r="GXM16" s="84"/>
      <c r="GXN16" s="84"/>
      <c r="GXO16" s="84"/>
      <c r="GXP16" s="84"/>
      <c r="GXQ16" s="84"/>
      <c r="GXR16" s="84"/>
      <c r="GXS16" s="84"/>
      <c r="GXT16" s="84"/>
      <c r="GXU16" s="84"/>
      <c r="GXV16" s="84"/>
      <c r="GXW16" s="84"/>
      <c r="GXX16" s="84"/>
      <c r="GXY16" s="84"/>
      <c r="GXZ16" s="84"/>
      <c r="GYA16" s="84"/>
      <c r="GYB16" s="84"/>
      <c r="GYC16" s="84"/>
      <c r="GYD16" s="84"/>
      <c r="GYE16" s="84"/>
      <c r="GYF16" s="84"/>
      <c r="GYG16" s="84"/>
      <c r="GYH16" s="84"/>
      <c r="GYI16" s="84"/>
      <c r="GYJ16" s="84"/>
      <c r="GYK16" s="84"/>
      <c r="GYL16" s="84"/>
      <c r="GYM16" s="84"/>
      <c r="GYN16" s="84"/>
      <c r="GYO16" s="84"/>
      <c r="GYP16" s="84"/>
      <c r="GYQ16" s="84"/>
      <c r="GYR16" s="84"/>
      <c r="GYS16" s="84"/>
      <c r="GYT16" s="84"/>
      <c r="GYU16" s="84"/>
      <c r="GYV16" s="84"/>
      <c r="GYW16" s="84"/>
      <c r="GYX16" s="84"/>
      <c r="GYY16" s="84"/>
      <c r="GYZ16" s="84"/>
      <c r="GZA16" s="84"/>
      <c r="GZB16" s="84"/>
      <c r="GZC16" s="84"/>
      <c r="GZD16" s="84"/>
      <c r="GZE16" s="84"/>
      <c r="GZF16" s="84"/>
      <c r="GZG16" s="84"/>
      <c r="GZH16" s="84"/>
      <c r="GZI16" s="84"/>
      <c r="GZJ16" s="84"/>
      <c r="GZK16" s="84"/>
      <c r="GZL16" s="84"/>
      <c r="GZM16" s="84"/>
      <c r="GZN16" s="84"/>
      <c r="GZO16" s="84"/>
      <c r="GZP16" s="84"/>
      <c r="GZQ16" s="84"/>
      <c r="GZR16" s="84"/>
      <c r="GZS16" s="84"/>
      <c r="GZT16" s="84"/>
      <c r="GZU16" s="84"/>
      <c r="GZV16" s="84"/>
      <c r="GZW16" s="84"/>
      <c r="GZX16" s="84"/>
      <c r="GZY16" s="84"/>
      <c r="GZZ16" s="84"/>
      <c r="HAA16" s="84"/>
      <c r="HAB16" s="84"/>
      <c r="HAC16" s="84"/>
      <c r="HAD16" s="84"/>
      <c r="HAE16" s="84"/>
      <c r="HAF16" s="84"/>
      <c r="HAG16" s="84"/>
      <c r="HAH16" s="84"/>
      <c r="HAI16" s="84"/>
      <c r="HAJ16" s="84"/>
      <c r="HAK16" s="84"/>
      <c r="HAL16" s="84"/>
      <c r="HAM16" s="84"/>
      <c r="HAN16" s="84"/>
      <c r="HAO16" s="84"/>
      <c r="HAP16" s="84"/>
      <c r="HAQ16" s="84"/>
      <c r="HAR16" s="84"/>
      <c r="HAS16" s="84"/>
      <c r="HAT16" s="84"/>
      <c r="HAU16" s="84"/>
      <c r="HAV16" s="84"/>
      <c r="HAW16" s="84"/>
      <c r="HAX16" s="84"/>
      <c r="HAY16" s="84"/>
      <c r="HAZ16" s="84"/>
      <c r="HBA16" s="84"/>
      <c r="HBB16" s="84"/>
      <c r="HBC16" s="84"/>
      <c r="HBD16" s="84"/>
      <c r="HBE16" s="84"/>
      <c r="HBF16" s="84"/>
      <c r="HBG16" s="84"/>
      <c r="HBH16" s="84"/>
      <c r="HBI16" s="84"/>
      <c r="HBJ16" s="84"/>
      <c r="HBK16" s="84"/>
      <c r="HBL16" s="84"/>
      <c r="HBM16" s="386"/>
    </row>
    <row r="17" spans="1:5473" s="83" customFormat="1" x14ac:dyDescent="0.3">
      <c r="A17" s="11">
        <v>12</v>
      </c>
      <c r="B17" s="40" t="s">
        <v>1548</v>
      </c>
      <c r="C17" s="12" t="s">
        <v>1549</v>
      </c>
      <c r="D17" s="299">
        <v>920401035426</v>
      </c>
      <c r="E17" s="299" t="s">
        <v>1547</v>
      </c>
      <c r="F17" s="12" t="s">
        <v>7</v>
      </c>
      <c r="G17" s="11" t="s">
        <v>1528</v>
      </c>
      <c r="H17" s="86" t="s">
        <v>1495</v>
      </c>
      <c r="I17" s="550">
        <v>10000</v>
      </c>
      <c r="J17" s="89"/>
      <c r="K17" s="89">
        <v>10000</v>
      </c>
      <c r="L17" s="121">
        <v>9500</v>
      </c>
      <c r="M17" s="122">
        <f t="shared" si="0"/>
        <v>500</v>
      </c>
      <c r="N17" s="295"/>
      <c r="O17" s="121"/>
      <c r="P17" s="547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  <c r="DH17" s="84"/>
      <c r="DI17" s="84"/>
      <c r="DJ17" s="84"/>
      <c r="DK17" s="84"/>
      <c r="DL17" s="84"/>
      <c r="DM17" s="84"/>
      <c r="DN17" s="84"/>
      <c r="DO17" s="84"/>
      <c r="DP17" s="84"/>
      <c r="DQ17" s="84"/>
      <c r="DR17" s="84"/>
      <c r="DS17" s="84"/>
      <c r="DT17" s="84"/>
      <c r="DU17" s="84"/>
      <c r="DV17" s="84"/>
      <c r="DW17" s="84"/>
      <c r="DX17" s="84"/>
      <c r="DY17" s="84"/>
      <c r="DZ17" s="84"/>
      <c r="EA17" s="84"/>
      <c r="EB17" s="84"/>
      <c r="EC17" s="84"/>
      <c r="ED17" s="84"/>
      <c r="EE17" s="84"/>
      <c r="EF17" s="84"/>
      <c r="EG17" s="84"/>
      <c r="EH17" s="84"/>
      <c r="EI17" s="84"/>
      <c r="EJ17" s="84"/>
      <c r="EK17" s="84"/>
      <c r="EL17" s="84"/>
      <c r="EM17" s="84"/>
      <c r="EN17" s="84"/>
      <c r="EO17" s="84"/>
      <c r="EP17" s="84"/>
      <c r="EQ17" s="84"/>
      <c r="ER17" s="84"/>
      <c r="ES17" s="84"/>
      <c r="ET17" s="84"/>
      <c r="EU17" s="84"/>
      <c r="EV17" s="84"/>
      <c r="EW17" s="84"/>
      <c r="EX17" s="84"/>
      <c r="EY17" s="84"/>
      <c r="EZ17" s="84"/>
      <c r="FA17" s="84"/>
      <c r="FB17" s="84"/>
      <c r="FC17" s="84"/>
      <c r="FD17" s="84"/>
      <c r="FE17" s="84"/>
      <c r="FF17" s="84"/>
      <c r="FG17" s="84"/>
      <c r="FH17" s="84"/>
      <c r="FI17" s="84"/>
      <c r="FJ17" s="84"/>
      <c r="FK17" s="84"/>
      <c r="FL17" s="84"/>
      <c r="FM17" s="84"/>
      <c r="FN17" s="84"/>
      <c r="FO17" s="84"/>
      <c r="FP17" s="84"/>
      <c r="FQ17" s="84"/>
      <c r="FR17" s="84"/>
      <c r="FS17" s="84"/>
      <c r="FT17" s="84"/>
      <c r="FU17" s="84"/>
      <c r="FV17" s="84"/>
      <c r="FW17" s="84"/>
      <c r="FX17" s="84"/>
      <c r="FY17" s="84"/>
      <c r="FZ17" s="84"/>
      <c r="GA17" s="84"/>
      <c r="GB17" s="84"/>
      <c r="GC17" s="84"/>
      <c r="GD17" s="84"/>
      <c r="GE17" s="84"/>
      <c r="GF17" s="84"/>
      <c r="GG17" s="84"/>
      <c r="GH17" s="84"/>
      <c r="GI17" s="84"/>
      <c r="GJ17" s="84"/>
      <c r="GK17" s="84"/>
      <c r="GL17" s="84"/>
      <c r="GM17" s="84"/>
      <c r="GN17" s="84"/>
      <c r="GO17" s="84"/>
      <c r="GP17" s="84"/>
      <c r="GQ17" s="84"/>
      <c r="GR17" s="84"/>
      <c r="GS17" s="84"/>
      <c r="GT17" s="84"/>
      <c r="GU17" s="84"/>
      <c r="GV17" s="84"/>
      <c r="GW17" s="84"/>
      <c r="GX17" s="84"/>
      <c r="GY17" s="84"/>
      <c r="GZ17" s="84"/>
      <c r="HA17" s="84"/>
      <c r="HB17" s="84"/>
      <c r="HC17" s="84"/>
      <c r="HD17" s="84"/>
      <c r="HE17" s="84"/>
      <c r="HF17" s="84"/>
      <c r="HG17" s="84"/>
      <c r="HH17" s="84"/>
      <c r="HI17" s="84"/>
      <c r="HJ17" s="84"/>
      <c r="HK17" s="84"/>
      <c r="HL17" s="84"/>
      <c r="HM17" s="84"/>
      <c r="HN17" s="84"/>
      <c r="HO17" s="84"/>
      <c r="HP17" s="84"/>
      <c r="HQ17" s="84"/>
      <c r="HR17" s="84"/>
      <c r="HS17" s="84"/>
      <c r="HT17" s="84"/>
      <c r="HU17" s="84"/>
      <c r="HV17" s="84"/>
      <c r="HW17" s="84"/>
      <c r="HX17" s="84"/>
      <c r="HY17" s="84"/>
      <c r="HZ17" s="84"/>
      <c r="IA17" s="84"/>
      <c r="IB17" s="84"/>
      <c r="IC17" s="84"/>
      <c r="ID17" s="84"/>
      <c r="IE17" s="84"/>
      <c r="IF17" s="84"/>
      <c r="IG17" s="84"/>
      <c r="IH17" s="84"/>
      <c r="II17" s="84"/>
      <c r="IJ17" s="84"/>
      <c r="IK17" s="84"/>
      <c r="IL17" s="84"/>
      <c r="IM17" s="84"/>
      <c r="IN17" s="84"/>
      <c r="IO17" s="84"/>
      <c r="IP17" s="84"/>
      <c r="IQ17" s="84"/>
      <c r="IR17" s="84"/>
      <c r="IS17" s="84"/>
      <c r="IT17" s="84"/>
      <c r="IU17" s="84"/>
      <c r="IV17" s="84"/>
      <c r="IW17" s="84"/>
      <c r="IX17" s="84"/>
      <c r="IY17" s="84"/>
      <c r="IZ17" s="84"/>
      <c r="JA17" s="84"/>
      <c r="JB17" s="84"/>
      <c r="JC17" s="84"/>
      <c r="JD17" s="84"/>
      <c r="JE17" s="84"/>
      <c r="JF17" s="84"/>
      <c r="JG17" s="84"/>
      <c r="JH17" s="84"/>
      <c r="JI17" s="84"/>
      <c r="JJ17" s="84"/>
      <c r="JK17" s="84"/>
      <c r="JL17" s="84"/>
      <c r="JM17" s="84"/>
      <c r="JN17" s="84"/>
      <c r="JO17" s="84"/>
      <c r="JP17" s="84"/>
      <c r="JQ17" s="84"/>
      <c r="JR17" s="84"/>
      <c r="JS17" s="84"/>
      <c r="JT17" s="84"/>
      <c r="JU17" s="84"/>
      <c r="JV17" s="84"/>
      <c r="JW17" s="84"/>
      <c r="JX17" s="84"/>
      <c r="JY17" s="84"/>
      <c r="JZ17" s="84"/>
      <c r="KA17" s="84"/>
      <c r="KB17" s="84"/>
      <c r="KC17" s="84"/>
      <c r="KD17" s="84"/>
      <c r="KE17" s="84"/>
      <c r="KF17" s="84"/>
      <c r="KG17" s="84"/>
      <c r="KH17" s="84"/>
      <c r="KI17" s="84"/>
      <c r="KJ17" s="84"/>
      <c r="KK17" s="84"/>
      <c r="KL17" s="84"/>
      <c r="KM17" s="84"/>
      <c r="KN17" s="84"/>
      <c r="KO17" s="84"/>
      <c r="KP17" s="84"/>
      <c r="KQ17" s="84"/>
      <c r="KR17" s="84"/>
      <c r="KS17" s="84"/>
      <c r="KT17" s="84"/>
      <c r="KU17" s="84"/>
      <c r="KV17" s="84"/>
      <c r="KW17" s="84"/>
      <c r="KX17" s="84"/>
      <c r="KY17" s="84"/>
      <c r="KZ17" s="84"/>
      <c r="LA17" s="84"/>
      <c r="LB17" s="84"/>
      <c r="LC17" s="84"/>
      <c r="LD17" s="84"/>
      <c r="LE17" s="84"/>
      <c r="LF17" s="84"/>
      <c r="LG17" s="84"/>
      <c r="LH17" s="84"/>
      <c r="LI17" s="84"/>
      <c r="LJ17" s="84"/>
      <c r="LK17" s="84"/>
      <c r="LL17" s="84"/>
      <c r="LM17" s="84"/>
      <c r="LN17" s="84"/>
      <c r="LO17" s="84"/>
      <c r="LP17" s="84"/>
      <c r="LQ17" s="84"/>
      <c r="LR17" s="84"/>
      <c r="LS17" s="84"/>
      <c r="LT17" s="84"/>
      <c r="LU17" s="84"/>
      <c r="LV17" s="84"/>
      <c r="LW17" s="84"/>
      <c r="LX17" s="84"/>
      <c r="LY17" s="84"/>
      <c r="LZ17" s="84"/>
      <c r="MA17" s="84"/>
      <c r="MB17" s="84"/>
      <c r="MC17" s="84"/>
      <c r="MD17" s="84"/>
      <c r="ME17" s="84"/>
      <c r="MF17" s="84"/>
      <c r="MG17" s="84"/>
      <c r="MH17" s="84"/>
      <c r="MI17" s="84"/>
      <c r="MJ17" s="84"/>
      <c r="MK17" s="84"/>
      <c r="ML17" s="84"/>
      <c r="MM17" s="84"/>
      <c r="MN17" s="84"/>
      <c r="MO17" s="84"/>
      <c r="MP17" s="84"/>
      <c r="MQ17" s="84"/>
      <c r="MR17" s="84"/>
      <c r="MS17" s="84"/>
      <c r="MT17" s="84"/>
      <c r="MU17" s="84"/>
      <c r="MV17" s="84"/>
      <c r="MW17" s="84"/>
      <c r="MX17" s="84"/>
      <c r="MY17" s="84"/>
      <c r="MZ17" s="84"/>
      <c r="NA17" s="84"/>
      <c r="NB17" s="84"/>
      <c r="NC17" s="84"/>
      <c r="ND17" s="84"/>
      <c r="NE17" s="84"/>
      <c r="NF17" s="84"/>
      <c r="NG17" s="84"/>
      <c r="NH17" s="84"/>
      <c r="NI17" s="84"/>
      <c r="NJ17" s="84"/>
      <c r="NK17" s="84"/>
      <c r="NL17" s="84"/>
      <c r="NM17" s="84"/>
      <c r="NN17" s="84"/>
      <c r="NO17" s="84"/>
      <c r="NP17" s="84"/>
      <c r="NQ17" s="84"/>
      <c r="NR17" s="84"/>
      <c r="NS17" s="84"/>
      <c r="NT17" s="84"/>
      <c r="NU17" s="84"/>
      <c r="NV17" s="84"/>
      <c r="NW17" s="84"/>
      <c r="NX17" s="84"/>
      <c r="NY17" s="84"/>
      <c r="NZ17" s="84"/>
      <c r="OA17" s="84"/>
      <c r="OB17" s="84"/>
      <c r="OC17" s="84"/>
      <c r="OD17" s="84"/>
      <c r="OE17" s="84"/>
      <c r="OF17" s="84"/>
      <c r="OG17" s="84"/>
      <c r="OH17" s="84"/>
      <c r="OI17" s="84"/>
      <c r="OJ17" s="84"/>
      <c r="OK17" s="84"/>
      <c r="OL17" s="84"/>
      <c r="OM17" s="84"/>
      <c r="ON17" s="84"/>
      <c r="OO17" s="84"/>
      <c r="OP17" s="84"/>
      <c r="OQ17" s="84"/>
      <c r="OR17" s="84"/>
      <c r="OS17" s="84"/>
      <c r="OT17" s="84"/>
      <c r="OU17" s="84"/>
      <c r="OV17" s="84"/>
      <c r="OW17" s="84"/>
      <c r="OX17" s="84"/>
      <c r="OY17" s="84"/>
      <c r="OZ17" s="84"/>
      <c r="PA17" s="84"/>
      <c r="PB17" s="84"/>
      <c r="PC17" s="84"/>
      <c r="PD17" s="84"/>
      <c r="PE17" s="84"/>
      <c r="PF17" s="84"/>
      <c r="PG17" s="84"/>
      <c r="PH17" s="84"/>
      <c r="PI17" s="84"/>
      <c r="PJ17" s="84"/>
      <c r="PK17" s="84"/>
      <c r="PL17" s="84"/>
      <c r="PM17" s="84"/>
      <c r="PN17" s="84"/>
      <c r="PO17" s="84"/>
      <c r="PP17" s="84"/>
      <c r="PQ17" s="84"/>
      <c r="PR17" s="84"/>
      <c r="PS17" s="84"/>
      <c r="PT17" s="84"/>
      <c r="PU17" s="84"/>
      <c r="PV17" s="84"/>
      <c r="PW17" s="84"/>
      <c r="PX17" s="84"/>
      <c r="PY17" s="84"/>
      <c r="PZ17" s="84"/>
      <c r="QA17" s="84"/>
      <c r="QB17" s="84"/>
      <c r="QC17" s="84"/>
      <c r="QD17" s="84"/>
      <c r="QE17" s="84"/>
      <c r="QF17" s="84"/>
      <c r="QG17" s="84"/>
      <c r="QH17" s="84"/>
      <c r="QI17" s="84"/>
      <c r="QJ17" s="84"/>
      <c r="QK17" s="84"/>
      <c r="QL17" s="84"/>
      <c r="QM17" s="84"/>
      <c r="QN17" s="84"/>
      <c r="QO17" s="84"/>
      <c r="QP17" s="84"/>
      <c r="QQ17" s="84"/>
      <c r="QR17" s="84"/>
      <c r="QS17" s="84"/>
      <c r="QT17" s="84"/>
      <c r="QU17" s="84"/>
      <c r="QV17" s="84"/>
      <c r="QW17" s="84"/>
      <c r="QX17" s="84"/>
      <c r="QY17" s="84"/>
      <c r="QZ17" s="84"/>
      <c r="RA17" s="84"/>
      <c r="RB17" s="84"/>
      <c r="RC17" s="84"/>
      <c r="RD17" s="84"/>
      <c r="RE17" s="84"/>
      <c r="RF17" s="84"/>
      <c r="RG17" s="84"/>
      <c r="RH17" s="84"/>
      <c r="RI17" s="84"/>
      <c r="RJ17" s="84"/>
      <c r="RK17" s="84"/>
      <c r="RL17" s="84"/>
      <c r="RM17" s="84"/>
      <c r="RN17" s="84"/>
      <c r="RO17" s="84"/>
      <c r="RP17" s="84"/>
      <c r="RQ17" s="84"/>
      <c r="RR17" s="84"/>
      <c r="RS17" s="84"/>
      <c r="RT17" s="84"/>
      <c r="RU17" s="84"/>
      <c r="RV17" s="84"/>
      <c r="RW17" s="84"/>
      <c r="RX17" s="84"/>
      <c r="RY17" s="84"/>
      <c r="RZ17" s="84"/>
      <c r="SA17" s="84"/>
      <c r="SB17" s="84"/>
      <c r="SC17" s="84"/>
      <c r="SD17" s="84"/>
      <c r="SE17" s="84"/>
      <c r="SF17" s="84"/>
      <c r="SG17" s="84"/>
      <c r="SH17" s="84"/>
      <c r="SI17" s="84"/>
      <c r="SJ17" s="84"/>
      <c r="SK17" s="84"/>
      <c r="SL17" s="84"/>
      <c r="SM17" s="84"/>
      <c r="SN17" s="84"/>
      <c r="SO17" s="84"/>
      <c r="SP17" s="84"/>
      <c r="SQ17" s="84"/>
      <c r="SR17" s="84"/>
      <c r="SS17" s="84"/>
      <c r="ST17" s="84"/>
      <c r="SU17" s="84"/>
      <c r="SV17" s="84"/>
      <c r="SW17" s="84"/>
      <c r="SX17" s="84"/>
      <c r="SY17" s="84"/>
      <c r="SZ17" s="84"/>
      <c r="TA17" s="84"/>
      <c r="TB17" s="84"/>
      <c r="TC17" s="84"/>
      <c r="TD17" s="84"/>
      <c r="TE17" s="84"/>
      <c r="TF17" s="84"/>
      <c r="TG17" s="84"/>
      <c r="TH17" s="84"/>
      <c r="TI17" s="84"/>
      <c r="TJ17" s="84"/>
      <c r="TK17" s="84"/>
      <c r="TL17" s="84"/>
      <c r="TM17" s="84"/>
      <c r="TN17" s="84"/>
      <c r="TO17" s="84"/>
      <c r="TP17" s="84"/>
      <c r="TQ17" s="84"/>
      <c r="TR17" s="84"/>
      <c r="TS17" s="84"/>
      <c r="TT17" s="84"/>
      <c r="TU17" s="84"/>
      <c r="TV17" s="84"/>
      <c r="TW17" s="84"/>
      <c r="TX17" s="84"/>
      <c r="TY17" s="84"/>
      <c r="TZ17" s="84"/>
      <c r="UA17" s="84"/>
      <c r="UB17" s="84"/>
      <c r="UC17" s="84"/>
      <c r="UD17" s="84"/>
      <c r="UE17" s="84"/>
      <c r="UF17" s="84"/>
      <c r="UG17" s="84"/>
      <c r="UH17" s="84"/>
      <c r="UI17" s="84"/>
      <c r="UJ17" s="84"/>
      <c r="UK17" s="84"/>
      <c r="UL17" s="84"/>
      <c r="UM17" s="84"/>
      <c r="UN17" s="84"/>
      <c r="UO17" s="84"/>
      <c r="UP17" s="84"/>
      <c r="UQ17" s="84"/>
      <c r="UR17" s="84"/>
      <c r="US17" s="84"/>
      <c r="UT17" s="84"/>
      <c r="UU17" s="84"/>
      <c r="UV17" s="84"/>
      <c r="UW17" s="84"/>
      <c r="UX17" s="84"/>
      <c r="UY17" s="84"/>
      <c r="UZ17" s="84"/>
      <c r="VA17" s="84"/>
      <c r="VB17" s="84"/>
      <c r="VC17" s="84"/>
      <c r="VD17" s="84"/>
      <c r="VE17" s="84"/>
      <c r="VF17" s="84"/>
      <c r="VG17" s="84"/>
      <c r="VH17" s="84"/>
      <c r="VI17" s="84"/>
      <c r="VJ17" s="84"/>
      <c r="VK17" s="84"/>
      <c r="VL17" s="84"/>
      <c r="VM17" s="84"/>
      <c r="VN17" s="84"/>
      <c r="VO17" s="84"/>
      <c r="VP17" s="84"/>
      <c r="VQ17" s="84"/>
      <c r="VR17" s="84"/>
      <c r="VS17" s="84"/>
      <c r="VT17" s="84"/>
      <c r="VU17" s="84"/>
      <c r="VV17" s="84"/>
      <c r="VW17" s="84"/>
      <c r="VX17" s="84"/>
      <c r="VY17" s="84"/>
      <c r="VZ17" s="84"/>
      <c r="WA17" s="84"/>
      <c r="WB17" s="84"/>
      <c r="WC17" s="84"/>
      <c r="WD17" s="84"/>
      <c r="WE17" s="84"/>
      <c r="WF17" s="84"/>
      <c r="WG17" s="84"/>
      <c r="WH17" s="84"/>
      <c r="WI17" s="84"/>
      <c r="WJ17" s="84"/>
      <c r="WK17" s="84"/>
      <c r="WL17" s="84"/>
      <c r="WM17" s="84"/>
      <c r="WN17" s="84"/>
      <c r="WO17" s="84"/>
      <c r="WP17" s="84"/>
      <c r="WQ17" s="84"/>
      <c r="WR17" s="84"/>
      <c r="WS17" s="84"/>
      <c r="WT17" s="84"/>
      <c r="WU17" s="84"/>
      <c r="WV17" s="84"/>
      <c r="WW17" s="84"/>
      <c r="WX17" s="84"/>
      <c r="WY17" s="84"/>
      <c r="WZ17" s="84"/>
      <c r="XA17" s="84"/>
      <c r="XB17" s="84"/>
      <c r="XC17" s="84"/>
      <c r="XD17" s="84"/>
      <c r="XE17" s="84"/>
      <c r="XF17" s="84"/>
      <c r="XG17" s="84"/>
      <c r="XH17" s="84"/>
      <c r="XI17" s="84"/>
      <c r="XJ17" s="84"/>
      <c r="XK17" s="84"/>
      <c r="XL17" s="84"/>
      <c r="XM17" s="84"/>
      <c r="XN17" s="84"/>
      <c r="XO17" s="84"/>
      <c r="XP17" s="84"/>
      <c r="XQ17" s="84"/>
      <c r="XR17" s="84"/>
      <c r="XS17" s="84"/>
      <c r="XT17" s="84"/>
      <c r="XU17" s="84"/>
      <c r="XV17" s="84"/>
      <c r="XW17" s="84"/>
      <c r="XX17" s="84"/>
      <c r="XY17" s="84"/>
      <c r="XZ17" s="84"/>
      <c r="YA17" s="84"/>
      <c r="YB17" s="84"/>
      <c r="YC17" s="84"/>
      <c r="YD17" s="84"/>
      <c r="YE17" s="84"/>
      <c r="YF17" s="84"/>
      <c r="YG17" s="84"/>
      <c r="YH17" s="84"/>
      <c r="YI17" s="84"/>
      <c r="YJ17" s="84"/>
      <c r="YK17" s="84"/>
      <c r="YL17" s="84"/>
      <c r="YM17" s="84"/>
      <c r="YN17" s="84"/>
      <c r="YO17" s="84"/>
      <c r="YP17" s="84"/>
      <c r="YQ17" s="84"/>
      <c r="YR17" s="84"/>
      <c r="YS17" s="84"/>
      <c r="YT17" s="84"/>
      <c r="YU17" s="84"/>
      <c r="YV17" s="84"/>
      <c r="YW17" s="84"/>
      <c r="YX17" s="84"/>
      <c r="YY17" s="84"/>
      <c r="YZ17" s="84"/>
      <c r="ZA17" s="84"/>
      <c r="ZB17" s="84"/>
      <c r="ZC17" s="84"/>
      <c r="ZD17" s="84"/>
      <c r="ZE17" s="84"/>
      <c r="ZF17" s="84"/>
      <c r="ZG17" s="84"/>
      <c r="ZH17" s="84"/>
      <c r="ZI17" s="84"/>
      <c r="ZJ17" s="84"/>
      <c r="ZK17" s="84"/>
      <c r="ZL17" s="84"/>
      <c r="ZM17" s="84"/>
      <c r="ZN17" s="84"/>
      <c r="ZO17" s="84"/>
      <c r="ZP17" s="84"/>
      <c r="ZQ17" s="84"/>
      <c r="ZR17" s="84"/>
      <c r="ZS17" s="84"/>
      <c r="ZT17" s="84"/>
      <c r="ZU17" s="84"/>
      <c r="ZV17" s="84"/>
      <c r="ZW17" s="84"/>
      <c r="ZX17" s="84"/>
      <c r="ZY17" s="84"/>
      <c r="ZZ17" s="84"/>
      <c r="AAA17" s="84"/>
      <c r="AAB17" s="84"/>
      <c r="AAC17" s="84"/>
      <c r="AAD17" s="84"/>
      <c r="AAE17" s="84"/>
      <c r="AAF17" s="84"/>
      <c r="AAG17" s="84"/>
      <c r="AAH17" s="84"/>
      <c r="AAI17" s="84"/>
      <c r="AAJ17" s="84"/>
      <c r="AAK17" s="84"/>
      <c r="AAL17" s="84"/>
      <c r="AAM17" s="84"/>
      <c r="AAN17" s="84"/>
      <c r="AAO17" s="84"/>
      <c r="AAP17" s="84"/>
      <c r="AAQ17" s="84"/>
      <c r="AAR17" s="84"/>
      <c r="AAS17" s="84"/>
      <c r="AAT17" s="84"/>
      <c r="AAU17" s="84"/>
      <c r="AAV17" s="84"/>
      <c r="AAW17" s="84"/>
      <c r="AAX17" s="84"/>
      <c r="AAY17" s="84"/>
      <c r="AAZ17" s="84"/>
      <c r="ABA17" s="84"/>
      <c r="ABB17" s="84"/>
      <c r="ABC17" s="84"/>
      <c r="ABD17" s="84"/>
      <c r="ABE17" s="84"/>
      <c r="ABF17" s="84"/>
      <c r="ABG17" s="84"/>
      <c r="ABH17" s="84"/>
      <c r="ABI17" s="84"/>
      <c r="ABJ17" s="84"/>
      <c r="ABK17" s="84"/>
      <c r="ABL17" s="84"/>
      <c r="ABM17" s="84"/>
      <c r="ABN17" s="84"/>
      <c r="ABO17" s="84"/>
      <c r="ABP17" s="84"/>
      <c r="ABQ17" s="84"/>
      <c r="ABR17" s="84"/>
      <c r="ABS17" s="84"/>
      <c r="ABT17" s="84"/>
      <c r="ABU17" s="84"/>
      <c r="ABV17" s="84"/>
      <c r="ABW17" s="84"/>
      <c r="ABX17" s="84"/>
      <c r="ABY17" s="84"/>
      <c r="ABZ17" s="84"/>
      <c r="ACA17" s="84"/>
      <c r="ACB17" s="84"/>
      <c r="ACC17" s="84"/>
      <c r="ACD17" s="84"/>
      <c r="ACE17" s="84"/>
      <c r="ACF17" s="84"/>
      <c r="ACG17" s="84"/>
      <c r="ACH17" s="84"/>
      <c r="ACI17" s="84"/>
      <c r="ACJ17" s="84"/>
      <c r="ACK17" s="84"/>
      <c r="ACL17" s="84"/>
      <c r="ACM17" s="84"/>
      <c r="ACN17" s="84"/>
      <c r="ACO17" s="84"/>
      <c r="ACP17" s="84"/>
      <c r="ACQ17" s="84"/>
      <c r="ACR17" s="84"/>
      <c r="ACS17" s="84"/>
      <c r="ACT17" s="84"/>
      <c r="ACU17" s="84"/>
      <c r="ACV17" s="84"/>
      <c r="ACW17" s="84"/>
      <c r="ACX17" s="84"/>
      <c r="ACY17" s="84"/>
      <c r="ACZ17" s="84"/>
      <c r="ADA17" s="84"/>
      <c r="ADB17" s="84"/>
      <c r="ADC17" s="84"/>
      <c r="ADD17" s="84"/>
      <c r="ADE17" s="84"/>
      <c r="ADF17" s="84"/>
      <c r="ADG17" s="84"/>
      <c r="ADH17" s="84"/>
      <c r="ADI17" s="84"/>
      <c r="ADJ17" s="84"/>
      <c r="ADK17" s="84"/>
      <c r="ADL17" s="84"/>
      <c r="ADM17" s="84"/>
      <c r="ADN17" s="84"/>
      <c r="ADO17" s="84"/>
      <c r="ADP17" s="84"/>
      <c r="ADQ17" s="84"/>
      <c r="ADR17" s="84"/>
      <c r="ADS17" s="84"/>
      <c r="ADT17" s="84"/>
      <c r="ADU17" s="84"/>
      <c r="ADV17" s="84"/>
      <c r="ADW17" s="84"/>
      <c r="ADX17" s="84"/>
      <c r="ADY17" s="84"/>
      <c r="ADZ17" s="84"/>
      <c r="AEA17" s="84"/>
      <c r="AEB17" s="84"/>
      <c r="AEC17" s="84"/>
      <c r="AED17" s="84"/>
      <c r="AEE17" s="84"/>
      <c r="AEF17" s="84"/>
      <c r="AEG17" s="84"/>
      <c r="AEH17" s="84"/>
      <c r="AEI17" s="84"/>
      <c r="AEJ17" s="84"/>
      <c r="AEK17" s="84"/>
      <c r="AEL17" s="84"/>
      <c r="AEM17" s="84"/>
      <c r="AEN17" s="84"/>
      <c r="AEO17" s="84"/>
      <c r="AEP17" s="84"/>
      <c r="AEQ17" s="84"/>
      <c r="AER17" s="84"/>
      <c r="AES17" s="84"/>
      <c r="AET17" s="84"/>
      <c r="AEU17" s="84"/>
      <c r="AEV17" s="84"/>
      <c r="AEW17" s="84"/>
      <c r="AEX17" s="84"/>
      <c r="AEY17" s="84"/>
      <c r="AEZ17" s="84"/>
      <c r="AFA17" s="84"/>
      <c r="AFB17" s="84"/>
      <c r="AFC17" s="84"/>
      <c r="AFD17" s="84"/>
      <c r="AFE17" s="84"/>
      <c r="AFF17" s="84"/>
      <c r="AFG17" s="84"/>
      <c r="AFH17" s="84"/>
      <c r="AFI17" s="84"/>
      <c r="AFJ17" s="84"/>
      <c r="AFK17" s="84"/>
      <c r="AFL17" s="84"/>
      <c r="AFM17" s="84"/>
      <c r="AFN17" s="84"/>
      <c r="AFO17" s="84"/>
      <c r="AFP17" s="84"/>
      <c r="AFQ17" s="84"/>
      <c r="AFR17" s="84"/>
      <c r="AFS17" s="84"/>
      <c r="AFT17" s="84"/>
      <c r="AFU17" s="84"/>
      <c r="AFV17" s="84"/>
      <c r="AFW17" s="84"/>
      <c r="AFX17" s="84"/>
      <c r="AFY17" s="84"/>
      <c r="AFZ17" s="84"/>
      <c r="AGA17" s="84"/>
      <c r="AGB17" s="84"/>
      <c r="AGC17" s="84"/>
      <c r="AGD17" s="84"/>
      <c r="AGE17" s="84"/>
      <c r="AGF17" s="84"/>
      <c r="AGG17" s="84"/>
      <c r="AGH17" s="84"/>
      <c r="AGI17" s="84"/>
      <c r="AGJ17" s="84"/>
      <c r="AGK17" s="84"/>
      <c r="AGL17" s="84"/>
      <c r="AGM17" s="84"/>
      <c r="AGN17" s="84"/>
      <c r="AGO17" s="84"/>
      <c r="AGP17" s="84"/>
      <c r="AGQ17" s="84"/>
      <c r="AGR17" s="84"/>
      <c r="AGS17" s="84"/>
      <c r="AGT17" s="84"/>
      <c r="AGU17" s="84"/>
      <c r="AGV17" s="84"/>
      <c r="AGW17" s="84"/>
      <c r="AGX17" s="84"/>
      <c r="AGY17" s="84"/>
      <c r="AGZ17" s="84"/>
      <c r="AHA17" s="84"/>
      <c r="AHB17" s="84"/>
      <c r="AHC17" s="84"/>
      <c r="AHD17" s="84"/>
      <c r="AHE17" s="84"/>
      <c r="AHF17" s="84"/>
      <c r="AHG17" s="84"/>
      <c r="AHH17" s="84"/>
      <c r="AHI17" s="84"/>
      <c r="AHJ17" s="84"/>
      <c r="AHK17" s="84"/>
      <c r="AHL17" s="84"/>
      <c r="AHM17" s="84"/>
      <c r="AHN17" s="84"/>
      <c r="AHO17" s="84"/>
      <c r="AHP17" s="84"/>
      <c r="AHQ17" s="84"/>
      <c r="AHR17" s="84"/>
      <c r="AHS17" s="84"/>
      <c r="AHT17" s="84"/>
      <c r="AHU17" s="84"/>
      <c r="AHV17" s="84"/>
      <c r="AHW17" s="84"/>
      <c r="AHX17" s="84"/>
      <c r="AHY17" s="84"/>
      <c r="AHZ17" s="84"/>
      <c r="AIA17" s="84"/>
      <c r="AIB17" s="84"/>
      <c r="AIC17" s="84"/>
      <c r="AID17" s="84"/>
      <c r="AIE17" s="84"/>
      <c r="AIF17" s="84"/>
      <c r="AIG17" s="84"/>
      <c r="AIH17" s="84"/>
      <c r="AII17" s="84"/>
      <c r="AIJ17" s="84"/>
      <c r="AIK17" s="84"/>
      <c r="AIL17" s="84"/>
      <c r="AIM17" s="84"/>
      <c r="AIN17" s="84"/>
      <c r="AIO17" s="84"/>
      <c r="AIP17" s="84"/>
      <c r="AIQ17" s="84"/>
      <c r="AIR17" s="84"/>
      <c r="AIS17" s="84"/>
      <c r="AIT17" s="84"/>
      <c r="AIU17" s="84"/>
      <c r="AIV17" s="84"/>
      <c r="AIW17" s="84"/>
      <c r="AIX17" s="84"/>
      <c r="AIY17" s="84"/>
      <c r="AIZ17" s="84"/>
      <c r="AJA17" s="84"/>
      <c r="AJB17" s="84"/>
      <c r="AJC17" s="84"/>
      <c r="AJD17" s="84"/>
      <c r="AJE17" s="84"/>
      <c r="AJF17" s="84"/>
      <c r="AJG17" s="84"/>
      <c r="AJH17" s="84"/>
      <c r="AJI17" s="84"/>
      <c r="AJJ17" s="84"/>
      <c r="AJK17" s="84"/>
      <c r="AJL17" s="84"/>
      <c r="AJM17" s="84"/>
      <c r="AJN17" s="84"/>
      <c r="AJO17" s="84"/>
      <c r="AJP17" s="84"/>
      <c r="AJQ17" s="84"/>
      <c r="AJR17" s="84"/>
      <c r="AJS17" s="84"/>
      <c r="AJT17" s="84"/>
      <c r="AJU17" s="84"/>
      <c r="AJV17" s="84"/>
      <c r="AJW17" s="84"/>
      <c r="AJX17" s="84"/>
      <c r="AJY17" s="84"/>
      <c r="AJZ17" s="84"/>
      <c r="AKA17" s="84"/>
      <c r="AKB17" s="84"/>
      <c r="AKC17" s="84"/>
      <c r="AKD17" s="84"/>
      <c r="AKE17" s="84"/>
      <c r="AKF17" s="84"/>
      <c r="AKG17" s="84"/>
      <c r="AKH17" s="84"/>
      <c r="AKI17" s="84"/>
      <c r="AKJ17" s="84"/>
      <c r="AKK17" s="84"/>
      <c r="AKL17" s="84"/>
      <c r="AKM17" s="84"/>
      <c r="AKN17" s="84"/>
      <c r="AKO17" s="84"/>
      <c r="AKP17" s="84"/>
      <c r="AKQ17" s="84"/>
      <c r="AKR17" s="84"/>
      <c r="AKS17" s="84"/>
      <c r="AKT17" s="84"/>
      <c r="AKU17" s="84"/>
      <c r="AKV17" s="84"/>
      <c r="AKW17" s="84"/>
      <c r="AKX17" s="84"/>
      <c r="AKY17" s="84"/>
      <c r="AKZ17" s="84"/>
      <c r="ALA17" s="84"/>
      <c r="ALB17" s="84"/>
      <c r="ALC17" s="84"/>
      <c r="ALD17" s="84"/>
      <c r="ALE17" s="84"/>
      <c r="ALF17" s="84"/>
      <c r="ALG17" s="84"/>
      <c r="ALH17" s="84"/>
      <c r="ALI17" s="84"/>
      <c r="ALJ17" s="84"/>
      <c r="ALK17" s="84"/>
      <c r="ALL17" s="84"/>
      <c r="ALM17" s="84"/>
      <c r="ALN17" s="84"/>
      <c r="ALO17" s="84"/>
      <c r="ALP17" s="84"/>
      <c r="ALQ17" s="84"/>
      <c r="ALR17" s="84"/>
      <c r="ALS17" s="84"/>
      <c r="ALT17" s="84"/>
      <c r="ALU17" s="84"/>
      <c r="ALV17" s="84"/>
      <c r="ALW17" s="84"/>
      <c r="ALX17" s="84"/>
      <c r="ALY17" s="84"/>
      <c r="ALZ17" s="84"/>
      <c r="AMA17" s="84"/>
      <c r="AMB17" s="84"/>
      <c r="AMC17" s="84"/>
      <c r="AMD17" s="84"/>
      <c r="AME17" s="84"/>
      <c r="AMF17" s="84"/>
      <c r="AMG17" s="84"/>
      <c r="AMH17" s="84"/>
      <c r="AMI17" s="84"/>
      <c r="AMJ17" s="84"/>
      <c r="AMK17" s="84"/>
      <c r="AML17" s="84"/>
      <c r="AMM17" s="84"/>
      <c r="AMN17" s="84"/>
      <c r="AMO17" s="84"/>
      <c r="AMP17" s="84"/>
      <c r="AMQ17" s="84"/>
      <c r="AMR17" s="84"/>
      <c r="AMS17" s="84"/>
      <c r="AMT17" s="84"/>
      <c r="AMU17" s="84"/>
      <c r="AMV17" s="84"/>
      <c r="AMW17" s="84"/>
      <c r="AMX17" s="84"/>
      <c r="AMY17" s="84"/>
      <c r="AMZ17" s="84"/>
      <c r="ANA17" s="84"/>
      <c r="ANB17" s="84"/>
      <c r="ANC17" s="84"/>
      <c r="AND17" s="84"/>
      <c r="ANE17" s="84"/>
      <c r="ANF17" s="84"/>
      <c r="ANG17" s="84"/>
      <c r="ANH17" s="84"/>
      <c r="ANI17" s="84"/>
      <c r="ANJ17" s="84"/>
      <c r="ANK17" s="84"/>
      <c r="ANL17" s="84"/>
      <c r="ANM17" s="84"/>
      <c r="ANN17" s="84"/>
      <c r="ANO17" s="84"/>
      <c r="ANP17" s="84"/>
      <c r="ANQ17" s="84"/>
      <c r="ANR17" s="84"/>
      <c r="ANS17" s="84"/>
      <c r="ANT17" s="84"/>
      <c r="ANU17" s="84"/>
      <c r="ANV17" s="84"/>
      <c r="ANW17" s="84"/>
      <c r="ANX17" s="84"/>
      <c r="ANY17" s="84"/>
      <c r="ANZ17" s="84"/>
      <c r="AOA17" s="84"/>
      <c r="AOB17" s="84"/>
      <c r="AOC17" s="84"/>
      <c r="AOD17" s="84"/>
      <c r="AOE17" s="84"/>
      <c r="AOF17" s="84"/>
      <c r="AOG17" s="84"/>
      <c r="AOH17" s="84"/>
      <c r="AOI17" s="84"/>
      <c r="AOJ17" s="84"/>
      <c r="AOK17" s="84"/>
      <c r="AOL17" s="84"/>
      <c r="AOM17" s="84"/>
      <c r="AON17" s="84"/>
      <c r="AOO17" s="84"/>
      <c r="AOP17" s="84"/>
      <c r="AOQ17" s="84"/>
      <c r="AOR17" s="84"/>
      <c r="AOS17" s="84"/>
      <c r="AOT17" s="84"/>
      <c r="AOU17" s="84"/>
      <c r="AOV17" s="84"/>
      <c r="AOW17" s="84"/>
      <c r="AOX17" s="84"/>
      <c r="AOY17" s="84"/>
      <c r="AOZ17" s="84"/>
      <c r="APA17" s="84"/>
      <c r="APB17" s="84"/>
      <c r="APC17" s="84"/>
      <c r="APD17" s="84"/>
      <c r="APE17" s="84"/>
      <c r="APF17" s="84"/>
      <c r="APG17" s="84"/>
      <c r="APH17" s="84"/>
      <c r="API17" s="84"/>
      <c r="APJ17" s="84"/>
      <c r="APK17" s="84"/>
      <c r="APL17" s="84"/>
      <c r="APM17" s="84"/>
      <c r="APN17" s="84"/>
      <c r="APO17" s="84"/>
      <c r="APP17" s="84"/>
      <c r="APQ17" s="84"/>
      <c r="APR17" s="84"/>
      <c r="APS17" s="84"/>
      <c r="APT17" s="84"/>
      <c r="APU17" s="84"/>
      <c r="APV17" s="84"/>
      <c r="APW17" s="84"/>
      <c r="APX17" s="84"/>
      <c r="APY17" s="84"/>
      <c r="APZ17" s="84"/>
      <c r="AQA17" s="84"/>
      <c r="AQB17" s="84"/>
      <c r="AQC17" s="84"/>
      <c r="AQD17" s="84"/>
      <c r="AQE17" s="84"/>
      <c r="AQF17" s="84"/>
      <c r="AQG17" s="84"/>
      <c r="AQH17" s="84"/>
      <c r="AQI17" s="84"/>
      <c r="AQJ17" s="84"/>
      <c r="AQK17" s="84"/>
      <c r="AQL17" s="84"/>
      <c r="AQM17" s="84"/>
      <c r="AQN17" s="84"/>
      <c r="AQO17" s="84"/>
      <c r="AQP17" s="84"/>
      <c r="AQQ17" s="84"/>
      <c r="AQR17" s="84"/>
      <c r="AQS17" s="84"/>
      <c r="AQT17" s="84"/>
      <c r="AQU17" s="84"/>
      <c r="AQV17" s="84"/>
      <c r="AQW17" s="84"/>
      <c r="AQX17" s="84"/>
      <c r="AQY17" s="84"/>
      <c r="AQZ17" s="84"/>
      <c r="ARA17" s="84"/>
      <c r="ARB17" s="84"/>
      <c r="ARC17" s="84"/>
      <c r="ARD17" s="84"/>
      <c r="ARE17" s="84"/>
      <c r="ARF17" s="84"/>
      <c r="ARG17" s="84"/>
      <c r="ARH17" s="84"/>
      <c r="ARI17" s="84"/>
      <c r="ARJ17" s="84"/>
      <c r="ARK17" s="84"/>
      <c r="ARL17" s="84"/>
      <c r="ARM17" s="84"/>
      <c r="ARN17" s="84"/>
      <c r="ARO17" s="84"/>
      <c r="ARP17" s="84"/>
      <c r="ARQ17" s="84"/>
      <c r="ARR17" s="84"/>
      <c r="ARS17" s="84"/>
      <c r="ART17" s="84"/>
      <c r="ARU17" s="84"/>
      <c r="ARV17" s="84"/>
      <c r="ARW17" s="84"/>
      <c r="ARX17" s="84"/>
      <c r="ARY17" s="84"/>
      <c r="ARZ17" s="84"/>
      <c r="ASA17" s="84"/>
      <c r="ASB17" s="84"/>
      <c r="ASC17" s="84"/>
      <c r="ASD17" s="84"/>
      <c r="ASE17" s="84"/>
      <c r="ASF17" s="84"/>
      <c r="ASG17" s="84"/>
      <c r="ASH17" s="84"/>
      <c r="ASI17" s="84"/>
      <c r="ASJ17" s="84"/>
      <c r="ASK17" s="84"/>
      <c r="ASL17" s="84"/>
      <c r="ASM17" s="84"/>
      <c r="ASN17" s="84"/>
      <c r="ASO17" s="84"/>
      <c r="ASP17" s="84"/>
      <c r="ASQ17" s="84"/>
      <c r="ASR17" s="84"/>
      <c r="ASS17" s="84"/>
      <c r="AST17" s="84"/>
      <c r="ASU17" s="84"/>
      <c r="ASV17" s="84"/>
      <c r="ASW17" s="84"/>
      <c r="ASX17" s="84"/>
      <c r="ASY17" s="84"/>
      <c r="ASZ17" s="84"/>
      <c r="ATA17" s="84"/>
      <c r="ATB17" s="84"/>
      <c r="ATC17" s="84"/>
      <c r="ATD17" s="84"/>
      <c r="ATE17" s="84"/>
      <c r="ATF17" s="84"/>
      <c r="ATG17" s="84"/>
      <c r="ATH17" s="84"/>
      <c r="ATI17" s="84"/>
      <c r="ATJ17" s="84"/>
      <c r="ATK17" s="84"/>
      <c r="ATL17" s="84"/>
      <c r="ATM17" s="84"/>
      <c r="ATN17" s="84"/>
      <c r="ATO17" s="84"/>
      <c r="ATP17" s="84"/>
      <c r="ATQ17" s="84"/>
      <c r="ATR17" s="84"/>
      <c r="ATS17" s="84"/>
      <c r="ATT17" s="84"/>
      <c r="ATU17" s="84"/>
      <c r="ATV17" s="84"/>
      <c r="ATW17" s="84"/>
      <c r="ATX17" s="84"/>
      <c r="ATY17" s="84"/>
      <c r="ATZ17" s="84"/>
      <c r="AUA17" s="84"/>
      <c r="AUB17" s="84"/>
      <c r="AUC17" s="84"/>
      <c r="AUD17" s="84"/>
      <c r="AUE17" s="84"/>
      <c r="AUF17" s="84"/>
      <c r="AUG17" s="84"/>
      <c r="AUH17" s="84"/>
      <c r="AUI17" s="84"/>
      <c r="AUJ17" s="84"/>
      <c r="AUK17" s="84"/>
      <c r="AUL17" s="84"/>
      <c r="AUM17" s="84"/>
      <c r="AUN17" s="84"/>
      <c r="AUO17" s="84"/>
      <c r="AUP17" s="84"/>
      <c r="AUQ17" s="84"/>
      <c r="AUR17" s="84"/>
      <c r="AUS17" s="84"/>
      <c r="AUT17" s="84"/>
      <c r="AUU17" s="84"/>
      <c r="AUV17" s="84"/>
      <c r="AUW17" s="84"/>
      <c r="AUX17" s="84"/>
      <c r="AUY17" s="84"/>
      <c r="AUZ17" s="84"/>
      <c r="AVA17" s="84"/>
      <c r="AVB17" s="84"/>
      <c r="AVC17" s="84"/>
      <c r="AVD17" s="84"/>
      <c r="AVE17" s="84"/>
      <c r="AVF17" s="84"/>
      <c r="AVG17" s="84"/>
      <c r="AVH17" s="84"/>
      <c r="AVI17" s="84"/>
      <c r="AVJ17" s="84"/>
      <c r="AVK17" s="84"/>
      <c r="AVL17" s="84"/>
      <c r="AVM17" s="84"/>
      <c r="AVN17" s="84"/>
      <c r="AVO17" s="84"/>
      <c r="AVP17" s="84"/>
      <c r="AVQ17" s="84"/>
      <c r="AVR17" s="84"/>
      <c r="AVS17" s="84"/>
      <c r="AVT17" s="84"/>
      <c r="AVU17" s="84"/>
      <c r="AVV17" s="84"/>
      <c r="AVW17" s="84"/>
      <c r="AVX17" s="84"/>
      <c r="AVY17" s="84"/>
      <c r="AVZ17" s="84"/>
      <c r="AWA17" s="84"/>
      <c r="AWB17" s="84"/>
      <c r="AWC17" s="84"/>
      <c r="AWD17" s="84"/>
      <c r="AWE17" s="84"/>
      <c r="AWF17" s="84"/>
      <c r="AWG17" s="84"/>
      <c r="AWH17" s="84"/>
      <c r="AWI17" s="84"/>
      <c r="AWJ17" s="84"/>
      <c r="AWK17" s="84"/>
      <c r="AWL17" s="84"/>
      <c r="AWM17" s="84"/>
      <c r="AWN17" s="84"/>
      <c r="AWO17" s="84"/>
      <c r="AWP17" s="84"/>
      <c r="AWQ17" s="84"/>
      <c r="AWR17" s="84"/>
      <c r="AWS17" s="84"/>
      <c r="AWT17" s="84"/>
      <c r="AWU17" s="84"/>
      <c r="AWV17" s="84"/>
      <c r="AWW17" s="84"/>
      <c r="AWX17" s="84"/>
      <c r="AWY17" s="84"/>
      <c r="AWZ17" s="84"/>
      <c r="AXA17" s="84"/>
      <c r="AXB17" s="84"/>
      <c r="AXC17" s="84"/>
      <c r="AXD17" s="84"/>
      <c r="AXE17" s="84"/>
      <c r="AXF17" s="84"/>
      <c r="AXG17" s="84"/>
      <c r="AXH17" s="84"/>
      <c r="AXI17" s="84"/>
      <c r="AXJ17" s="84"/>
      <c r="AXK17" s="84"/>
      <c r="AXL17" s="84"/>
      <c r="AXM17" s="84"/>
      <c r="AXN17" s="84"/>
      <c r="AXO17" s="84"/>
      <c r="AXP17" s="84"/>
      <c r="AXQ17" s="84"/>
      <c r="AXR17" s="84"/>
      <c r="AXS17" s="84"/>
      <c r="AXT17" s="84"/>
      <c r="AXU17" s="84"/>
      <c r="AXV17" s="84"/>
      <c r="AXW17" s="84"/>
      <c r="AXX17" s="84"/>
      <c r="AXY17" s="84"/>
      <c r="AXZ17" s="84"/>
      <c r="AYA17" s="84"/>
      <c r="AYB17" s="84"/>
      <c r="AYC17" s="84"/>
      <c r="AYD17" s="84"/>
      <c r="AYE17" s="84"/>
      <c r="AYF17" s="84"/>
      <c r="AYG17" s="84"/>
      <c r="AYH17" s="84"/>
      <c r="AYI17" s="84"/>
      <c r="AYJ17" s="84"/>
      <c r="AYK17" s="84"/>
      <c r="AYL17" s="84"/>
      <c r="AYM17" s="84"/>
      <c r="AYN17" s="84"/>
      <c r="AYO17" s="84"/>
      <c r="AYP17" s="84"/>
      <c r="AYQ17" s="84"/>
      <c r="AYR17" s="84"/>
      <c r="AYS17" s="84"/>
      <c r="AYT17" s="84"/>
      <c r="AYU17" s="84"/>
      <c r="AYV17" s="84"/>
      <c r="AYW17" s="84"/>
      <c r="AYX17" s="84"/>
      <c r="AYY17" s="84"/>
      <c r="AYZ17" s="84"/>
      <c r="AZA17" s="84"/>
      <c r="AZB17" s="84"/>
      <c r="AZC17" s="84"/>
      <c r="AZD17" s="84"/>
      <c r="AZE17" s="84"/>
      <c r="AZF17" s="84"/>
      <c r="AZG17" s="84"/>
      <c r="AZH17" s="84"/>
      <c r="AZI17" s="84"/>
      <c r="AZJ17" s="84"/>
      <c r="AZK17" s="84"/>
      <c r="AZL17" s="84"/>
      <c r="AZM17" s="84"/>
      <c r="AZN17" s="84"/>
      <c r="AZO17" s="84"/>
      <c r="AZP17" s="84"/>
      <c r="AZQ17" s="84"/>
      <c r="AZR17" s="84"/>
      <c r="AZS17" s="84"/>
      <c r="AZT17" s="84"/>
      <c r="AZU17" s="84"/>
      <c r="AZV17" s="84"/>
      <c r="AZW17" s="84"/>
      <c r="AZX17" s="84"/>
      <c r="AZY17" s="84"/>
      <c r="AZZ17" s="84"/>
      <c r="BAA17" s="84"/>
      <c r="BAB17" s="84"/>
      <c r="BAC17" s="84"/>
      <c r="BAD17" s="84"/>
      <c r="BAE17" s="84"/>
      <c r="BAF17" s="84"/>
      <c r="BAG17" s="84"/>
      <c r="BAH17" s="84"/>
      <c r="BAI17" s="84"/>
      <c r="BAJ17" s="84"/>
      <c r="BAK17" s="84"/>
      <c r="BAL17" s="84"/>
      <c r="BAM17" s="84"/>
      <c r="BAN17" s="84"/>
      <c r="BAO17" s="84"/>
      <c r="BAP17" s="84"/>
      <c r="BAQ17" s="84"/>
      <c r="BAR17" s="84"/>
      <c r="BAS17" s="84"/>
      <c r="BAT17" s="84"/>
      <c r="BAU17" s="84"/>
      <c r="BAV17" s="84"/>
      <c r="BAW17" s="84"/>
      <c r="BAX17" s="84"/>
      <c r="BAY17" s="84"/>
      <c r="BAZ17" s="84"/>
      <c r="BBA17" s="84"/>
      <c r="BBB17" s="84"/>
      <c r="BBC17" s="84"/>
      <c r="BBD17" s="84"/>
      <c r="BBE17" s="84"/>
      <c r="BBF17" s="84"/>
      <c r="BBG17" s="84"/>
      <c r="BBH17" s="84"/>
      <c r="BBI17" s="84"/>
      <c r="BBJ17" s="84"/>
      <c r="BBK17" s="84"/>
      <c r="BBL17" s="84"/>
      <c r="BBM17" s="84"/>
      <c r="BBN17" s="84"/>
      <c r="BBO17" s="84"/>
      <c r="BBP17" s="84"/>
      <c r="BBQ17" s="84"/>
      <c r="BBR17" s="84"/>
      <c r="BBS17" s="84"/>
      <c r="BBT17" s="84"/>
      <c r="BBU17" s="84"/>
      <c r="BBV17" s="84"/>
      <c r="BBW17" s="84"/>
      <c r="BBX17" s="84"/>
      <c r="BBY17" s="84"/>
      <c r="BBZ17" s="84"/>
      <c r="BCA17" s="84"/>
      <c r="BCB17" s="84"/>
      <c r="BCC17" s="84"/>
      <c r="BCD17" s="84"/>
      <c r="BCE17" s="84"/>
      <c r="BCF17" s="84"/>
      <c r="BCG17" s="84"/>
      <c r="BCH17" s="84"/>
      <c r="BCI17" s="84"/>
      <c r="BCJ17" s="84"/>
      <c r="BCK17" s="84"/>
      <c r="BCL17" s="84"/>
      <c r="BCM17" s="84"/>
      <c r="BCN17" s="84"/>
      <c r="BCO17" s="84"/>
      <c r="BCP17" s="84"/>
      <c r="BCQ17" s="84"/>
      <c r="BCR17" s="84"/>
      <c r="BCS17" s="84"/>
      <c r="BCT17" s="84"/>
      <c r="BCU17" s="84"/>
      <c r="BCV17" s="84"/>
      <c r="BCW17" s="84"/>
      <c r="BCX17" s="84"/>
      <c r="BCY17" s="84"/>
      <c r="BCZ17" s="84"/>
      <c r="BDA17" s="84"/>
      <c r="BDB17" s="84"/>
      <c r="BDC17" s="84"/>
      <c r="BDD17" s="84"/>
      <c r="BDE17" s="84"/>
      <c r="BDF17" s="84"/>
      <c r="BDG17" s="84"/>
      <c r="BDH17" s="84"/>
      <c r="BDI17" s="84"/>
      <c r="BDJ17" s="84"/>
      <c r="BDK17" s="84"/>
      <c r="BDL17" s="84"/>
      <c r="BDM17" s="84"/>
      <c r="BDN17" s="84"/>
      <c r="BDO17" s="84"/>
      <c r="BDP17" s="84"/>
      <c r="BDQ17" s="84"/>
      <c r="BDR17" s="84"/>
      <c r="BDS17" s="84"/>
      <c r="BDT17" s="84"/>
      <c r="BDU17" s="84"/>
      <c r="BDV17" s="84"/>
      <c r="BDW17" s="84"/>
      <c r="BDX17" s="84"/>
      <c r="BDY17" s="84"/>
      <c r="BDZ17" s="84"/>
      <c r="BEA17" s="84"/>
      <c r="BEB17" s="84"/>
      <c r="BEC17" s="84"/>
      <c r="BED17" s="84"/>
      <c r="BEE17" s="84"/>
      <c r="BEF17" s="84"/>
      <c r="BEG17" s="84"/>
      <c r="BEH17" s="84"/>
      <c r="BEI17" s="84"/>
      <c r="BEJ17" s="84"/>
      <c r="BEK17" s="84"/>
      <c r="BEL17" s="84"/>
      <c r="BEM17" s="84"/>
      <c r="BEN17" s="84"/>
      <c r="BEO17" s="84"/>
      <c r="BEP17" s="84"/>
      <c r="BEQ17" s="84"/>
      <c r="BER17" s="84"/>
      <c r="BES17" s="84"/>
      <c r="BET17" s="84"/>
      <c r="BEU17" s="84"/>
      <c r="BEV17" s="84"/>
      <c r="BEW17" s="84"/>
      <c r="BEX17" s="84"/>
      <c r="BEY17" s="84"/>
      <c r="BEZ17" s="84"/>
      <c r="BFA17" s="84"/>
      <c r="BFB17" s="84"/>
      <c r="BFC17" s="84"/>
      <c r="BFD17" s="84"/>
      <c r="BFE17" s="84"/>
      <c r="BFF17" s="84"/>
      <c r="BFG17" s="84"/>
      <c r="BFH17" s="84"/>
      <c r="BFI17" s="84"/>
      <c r="BFJ17" s="84"/>
      <c r="BFK17" s="84"/>
      <c r="BFL17" s="84"/>
      <c r="BFM17" s="84"/>
      <c r="BFN17" s="84"/>
      <c r="BFO17" s="84"/>
      <c r="BFP17" s="84"/>
      <c r="BFQ17" s="84"/>
      <c r="BFR17" s="84"/>
      <c r="BFS17" s="84"/>
      <c r="BFT17" s="84"/>
      <c r="BFU17" s="84"/>
      <c r="BFV17" s="84"/>
      <c r="BFW17" s="84"/>
      <c r="BFX17" s="84"/>
      <c r="BFY17" s="84"/>
      <c r="BFZ17" s="84"/>
      <c r="BGA17" s="84"/>
      <c r="BGB17" s="84"/>
      <c r="BGC17" s="84"/>
      <c r="BGD17" s="84"/>
      <c r="BGE17" s="84"/>
      <c r="BGF17" s="84"/>
      <c r="BGG17" s="84"/>
      <c r="BGH17" s="84"/>
      <c r="BGI17" s="84"/>
      <c r="BGJ17" s="84"/>
      <c r="BGK17" s="84"/>
      <c r="BGL17" s="84"/>
      <c r="BGM17" s="84"/>
      <c r="BGN17" s="84"/>
      <c r="BGO17" s="84"/>
      <c r="BGP17" s="84"/>
      <c r="BGQ17" s="84"/>
      <c r="BGR17" s="84"/>
      <c r="BGS17" s="84"/>
      <c r="BGT17" s="84"/>
      <c r="BGU17" s="84"/>
      <c r="BGV17" s="84"/>
      <c r="BGW17" s="84"/>
      <c r="BGX17" s="84"/>
      <c r="BGY17" s="84"/>
      <c r="BGZ17" s="84"/>
      <c r="BHA17" s="84"/>
      <c r="BHB17" s="84"/>
      <c r="BHC17" s="84"/>
      <c r="BHD17" s="84"/>
      <c r="BHE17" s="84"/>
      <c r="BHF17" s="84"/>
      <c r="BHG17" s="84"/>
      <c r="BHH17" s="84"/>
      <c r="BHI17" s="84"/>
      <c r="BHJ17" s="84"/>
      <c r="BHK17" s="84"/>
      <c r="BHL17" s="84"/>
      <c r="BHM17" s="84"/>
      <c r="BHN17" s="84"/>
      <c r="BHO17" s="84"/>
      <c r="BHP17" s="84"/>
      <c r="BHQ17" s="84"/>
      <c r="BHR17" s="84"/>
      <c r="BHS17" s="84"/>
      <c r="BHT17" s="84"/>
      <c r="BHU17" s="84"/>
      <c r="BHV17" s="84"/>
      <c r="BHW17" s="84"/>
      <c r="BHX17" s="84"/>
      <c r="BHY17" s="84"/>
      <c r="BHZ17" s="84"/>
      <c r="BIA17" s="84"/>
      <c r="BIB17" s="84"/>
      <c r="BIC17" s="84"/>
      <c r="BID17" s="84"/>
      <c r="BIE17" s="84"/>
      <c r="BIF17" s="84"/>
      <c r="BIG17" s="84"/>
      <c r="BIH17" s="84"/>
      <c r="BII17" s="84"/>
      <c r="BIJ17" s="84"/>
      <c r="BIK17" s="84"/>
      <c r="BIL17" s="84"/>
      <c r="BIM17" s="84"/>
      <c r="BIN17" s="84"/>
      <c r="BIO17" s="84"/>
      <c r="BIP17" s="84"/>
      <c r="BIQ17" s="84"/>
      <c r="BIR17" s="84"/>
      <c r="BIS17" s="84"/>
      <c r="BIT17" s="84"/>
      <c r="BIU17" s="84"/>
      <c r="BIV17" s="84"/>
      <c r="BIW17" s="84"/>
      <c r="BIX17" s="84"/>
      <c r="BIY17" s="84"/>
      <c r="BIZ17" s="84"/>
      <c r="BJA17" s="84"/>
      <c r="BJB17" s="84"/>
      <c r="BJC17" s="84"/>
      <c r="BJD17" s="84"/>
      <c r="BJE17" s="84"/>
      <c r="BJF17" s="84"/>
      <c r="BJG17" s="84"/>
      <c r="BJH17" s="84"/>
      <c r="BJI17" s="84"/>
      <c r="BJJ17" s="84"/>
      <c r="BJK17" s="84"/>
      <c r="BJL17" s="84"/>
      <c r="BJM17" s="84"/>
      <c r="BJN17" s="84"/>
      <c r="BJO17" s="84"/>
      <c r="BJP17" s="84"/>
      <c r="BJQ17" s="84"/>
      <c r="BJR17" s="84"/>
      <c r="BJS17" s="84"/>
      <c r="BJT17" s="84"/>
      <c r="BJU17" s="84"/>
      <c r="BJV17" s="84"/>
      <c r="BJW17" s="84"/>
      <c r="BJX17" s="84"/>
      <c r="BJY17" s="84"/>
      <c r="BJZ17" s="84"/>
      <c r="BKA17" s="84"/>
      <c r="BKB17" s="84"/>
      <c r="BKC17" s="84"/>
      <c r="BKD17" s="84"/>
      <c r="BKE17" s="84"/>
      <c r="BKF17" s="84"/>
      <c r="BKG17" s="84"/>
      <c r="BKH17" s="84"/>
      <c r="BKI17" s="84"/>
      <c r="BKJ17" s="84"/>
      <c r="BKK17" s="84"/>
      <c r="BKL17" s="84"/>
      <c r="BKM17" s="84"/>
      <c r="BKN17" s="84"/>
      <c r="BKO17" s="84"/>
      <c r="BKP17" s="84"/>
      <c r="BKQ17" s="84"/>
      <c r="BKR17" s="84"/>
      <c r="BKS17" s="84"/>
      <c r="BKT17" s="84"/>
      <c r="BKU17" s="84"/>
      <c r="BKV17" s="84"/>
      <c r="BKW17" s="84"/>
      <c r="BKX17" s="84"/>
      <c r="BKY17" s="84"/>
      <c r="BKZ17" s="84"/>
      <c r="BLA17" s="84"/>
      <c r="BLB17" s="84"/>
      <c r="BLC17" s="84"/>
      <c r="BLD17" s="84"/>
      <c r="BLE17" s="84"/>
      <c r="BLF17" s="84"/>
      <c r="BLG17" s="84"/>
      <c r="BLH17" s="84"/>
      <c r="BLI17" s="84"/>
      <c r="BLJ17" s="84"/>
      <c r="BLK17" s="84"/>
      <c r="BLL17" s="84"/>
      <c r="BLM17" s="84"/>
      <c r="BLN17" s="84"/>
      <c r="BLO17" s="84"/>
      <c r="BLP17" s="84"/>
      <c r="BLQ17" s="84"/>
      <c r="BLR17" s="84"/>
      <c r="BLS17" s="84"/>
      <c r="BLT17" s="84"/>
      <c r="BLU17" s="84"/>
      <c r="BLV17" s="84"/>
      <c r="BLW17" s="84"/>
      <c r="BLX17" s="84"/>
      <c r="BLY17" s="84"/>
      <c r="BLZ17" s="84"/>
      <c r="BMA17" s="84"/>
      <c r="BMB17" s="84"/>
      <c r="BMC17" s="84"/>
      <c r="BMD17" s="84"/>
      <c r="BME17" s="84"/>
      <c r="BMF17" s="84"/>
      <c r="BMG17" s="84"/>
      <c r="BMH17" s="84"/>
      <c r="BMI17" s="84"/>
      <c r="BMJ17" s="84"/>
      <c r="BMK17" s="84"/>
      <c r="BML17" s="84"/>
      <c r="BMM17" s="84"/>
      <c r="BMN17" s="84"/>
      <c r="BMO17" s="84"/>
      <c r="BMP17" s="84"/>
      <c r="BMQ17" s="84"/>
      <c r="BMR17" s="84"/>
      <c r="BMS17" s="84"/>
      <c r="BMT17" s="84"/>
      <c r="BMU17" s="84"/>
      <c r="BMV17" s="84"/>
      <c r="BMW17" s="84"/>
      <c r="BMX17" s="84"/>
      <c r="BMY17" s="84"/>
      <c r="BMZ17" s="84"/>
      <c r="BNA17" s="84"/>
      <c r="BNB17" s="84"/>
      <c r="BNC17" s="84"/>
      <c r="BND17" s="84"/>
      <c r="BNE17" s="84"/>
      <c r="BNF17" s="84"/>
      <c r="BNG17" s="84"/>
      <c r="BNH17" s="84"/>
      <c r="BNI17" s="84"/>
      <c r="BNJ17" s="84"/>
      <c r="BNK17" s="84"/>
      <c r="BNL17" s="84"/>
      <c r="BNM17" s="84"/>
      <c r="BNN17" s="84"/>
      <c r="BNO17" s="84"/>
      <c r="BNP17" s="84"/>
      <c r="BNQ17" s="84"/>
      <c r="BNR17" s="84"/>
      <c r="BNS17" s="84"/>
      <c r="BNT17" s="84"/>
      <c r="BNU17" s="84"/>
      <c r="BNV17" s="84"/>
      <c r="BNW17" s="84"/>
      <c r="BNX17" s="84"/>
      <c r="BNY17" s="84"/>
      <c r="BNZ17" s="84"/>
      <c r="BOA17" s="84"/>
      <c r="BOB17" s="84"/>
      <c r="BOC17" s="84"/>
      <c r="BOD17" s="84"/>
      <c r="BOE17" s="84"/>
      <c r="BOF17" s="84"/>
      <c r="BOG17" s="84"/>
      <c r="BOH17" s="84"/>
      <c r="BOI17" s="84"/>
      <c r="BOJ17" s="84"/>
      <c r="BOK17" s="84"/>
      <c r="BOL17" s="84"/>
      <c r="BOM17" s="84"/>
      <c r="BON17" s="84"/>
      <c r="BOO17" s="84"/>
      <c r="BOP17" s="84"/>
      <c r="BOQ17" s="84"/>
      <c r="BOR17" s="84"/>
      <c r="BOS17" s="84"/>
      <c r="BOT17" s="84"/>
      <c r="BOU17" s="84"/>
      <c r="BOV17" s="84"/>
      <c r="BOW17" s="84"/>
      <c r="BOX17" s="84"/>
      <c r="BOY17" s="84"/>
      <c r="BOZ17" s="84"/>
      <c r="BPA17" s="84"/>
      <c r="BPB17" s="84"/>
      <c r="BPC17" s="84"/>
      <c r="BPD17" s="84"/>
      <c r="BPE17" s="84"/>
      <c r="BPF17" s="84"/>
      <c r="BPG17" s="84"/>
      <c r="BPH17" s="84"/>
      <c r="BPI17" s="84"/>
      <c r="BPJ17" s="84"/>
      <c r="BPK17" s="84"/>
      <c r="BPL17" s="84"/>
      <c r="BPM17" s="84"/>
      <c r="BPN17" s="84"/>
      <c r="BPO17" s="84"/>
      <c r="BPP17" s="84"/>
      <c r="BPQ17" s="84"/>
      <c r="BPR17" s="84"/>
      <c r="BPS17" s="84"/>
      <c r="BPT17" s="84"/>
      <c r="BPU17" s="84"/>
      <c r="BPV17" s="84"/>
      <c r="BPW17" s="84"/>
      <c r="BPX17" s="84"/>
      <c r="BPY17" s="84"/>
      <c r="BPZ17" s="84"/>
      <c r="BQA17" s="84"/>
      <c r="BQB17" s="84"/>
      <c r="BQC17" s="84"/>
      <c r="BQD17" s="84"/>
      <c r="BQE17" s="84"/>
      <c r="BQF17" s="84"/>
      <c r="BQG17" s="84"/>
      <c r="BQH17" s="84"/>
      <c r="BQI17" s="84"/>
      <c r="BQJ17" s="84"/>
      <c r="BQK17" s="84"/>
      <c r="BQL17" s="84"/>
      <c r="BQM17" s="84"/>
      <c r="BQN17" s="84"/>
      <c r="BQO17" s="84"/>
      <c r="BQP17" s="84"/>
      <c r="BQQ17" s="84"/>
      <c r="BQR17" s="84"/>
      <c r="BQS17" s="84"/>
      <c r="BQT17" s="84"/>
      <c r="BQU17" s="84"/>
      <c r="BQV17" s="84"/>
      <c r="BQW17" s="84"/>
      <c r="BQX17" s="84"/>
      <c r="BQY17" s="84"/>
      <c r="BQZ17" s="84"/>
      <c r="BRA17" s="84"/>
      <c r="BRB17" s="84"/>
      <c r="BRC17" s="84"/>
      <c r="BRD17" s="84"/>
      <c r="BRE17" s="84"/>
      <c r="BRF17" s="84"/>
      <c r="BRG17" s="84"/>
      <c r="BRH17" s="84"/>
      <c r="BRI17" s="84"/>
      <c r="BRJ17" s="84"/>
      <c r="BRK17" s="84"/>
      <c r="BRL17" s="84"/>
      <c r="BRM17" s="84"/>
      <c r="BRN17" s="84"/>
      <c r="BRO17" s="84"/>
      <c r="BRP17" s="84"/>
      <c r="BRQ17" s="84"/>
      <c r="BRR17" s="84"/>
      <c r="BRS17" s="84"/>
      <c r="BRT17" s="84"/>
      <c r="BRU17" s="84"/>
      <c r="BRV17" s="84"/>
      <c r="BRW17" s="84"/>
      <c r="BRX17" s="84"/>
      <c r="BRY17" s="84"/>
      <c r="BRZ17" s="84"/>
      <c r="BSA17" s="84"/>
      <c r="BSB17" s="84"/>
      <c r="BSC17" s="84"/>
      <c r="BSD17" s="84"/>
      <c r="BSE17" s="84"/>
      <c r="BSF17" s="84"/>
      <c r="BSG17" s="84"/>
      <c r="BSH17" s="84"/>
      <c r="BSI17" s="84"/>
      <c r="BSJ17" s="84"/>
      <c r="BSK17" s="84"/>
      <c r="BSL17" s="84"/>
      <c r="BSM17" s="84"/>
      <c r="BSN17" s="84"/>
      <c r="BSO17" s="84"/>
      <c r="BSP17" s="84"/>
      <c r="BSQ17" s="84"/>
      <c r="BSR17" s="84"/>
      <c r="BSS17" s="84"/>
      <c r="BST17" s="84"/>
      <c r="BSU17" s="84"/>
      <c r="BSV17" s="84"/>
      <c r="BSW17" s="84"/>
      <c r="BSX17" s="84"/>
      <c r="BSY17" s="84"/>
      <c r="BSZ17" s="84"/>
      <c r="BTA17" s="84"/>
      <c r="BTB17" s="84"/>
      <c r="BTC17" s="84"/>
      <c r="BTD17" s="84"/>
      <c r="BTE17" s="84"/>
      <c r="BTF17" s="84"/>
      <c r="BTG17" s="84"/>
      <c r="BTH17" s="84"/>
      <c r="BTI17" s="84"/>
      <c r="BTJ17" s="84"/>
      <c r="BTK17" s="84"/>
      <c r="BTL17" s="84"/>
      <c r="BTM17" s="84"/>
      <c r="BTN17" s="84"/>
      <c r="BTO17" s="84"/>
      <c r="BTP17" s="84"/>
      <c r="BTQ17" s="84"/>
      <c r="BTR17" s="84"/>
      <c r="BTS17" s="84"/>
      <c r="BTT17" s="84"/>
      <c r="BTU17" s="84"/>
      <c r="BTV17" s="84"/>
      <c r="BTW17" s="84"/>
      <c r="BTX17" s="84"/>
      <c r="BTY17" s="84"/>
      <c r="BTZ17" s="84"/>
      <c r="BUA17" s="84"/>
      <c r="BUB17" s="84"/>
      <c r="BUC17" s="84"/>
      <c r="BUD17" s="84"/>
      <c r="BUE17" s="84"/>
      <c r="BUF17" s="84"/>
      <c r="BUG17" s="84"/>
      <c r="BUH17" s="84"/>
      <c r="BUI17" s="84"/>
      <c r="BUJ17" s="84"/>
      <c r="BUK17" s="84"/>
      <c r="BUL17" s="84"/>
      <c r="BUM17" s="84"/>
      <c r="BUN17" s="84"/>
      <c r="BUO17" s="84"/>
      <c r="BUP17" s="84"/>
      <c r="BUQ17" s="84"/>
      <c r="BUR17" s="84"/>
      <c r="BUS17" s="84"/>
      <c r="BUT17" s="84"/>
      <c r="BUU17" s="84"/>
      <c r="BUV17" s="84"/>
      <c r="BUW17" s="84"/>
      <c r="BUX17" s="84"/>
      <c r="BUY17" s="84"/>
      <c r="BUZ17" s="84"/>
      <c r="BVA17" s="84"/>
      <c r="BVB17" s="84"/>
      <c r="BVC17" s="84"/>
      <c r="BVD17" s="84"/>
      <c r="BVE17" s="84"/>
      <c r="BVF17" s="84"/>
      <c r="BVG17" s="84"/>
      <c r="BVH17" s="84"/>
      <c r="BVI17" s="84"/>
      <c r="BVJ17" s="84"/>
      <c r="BVK17" s="84"/>
      <c r="BVL17" s="84"/>
      <c r="BVM17" s="84"/>
      <c r="BVN17" s="84"/>
      <c r="BVO17" s="84"/>
      <c r="BVP17" s="84"/>
      <c r="BVQ17" s="84"/>
      <c r="BVR17" s="84"/>
      <c r="BVS17" s="84"/>
      <c r="BVT17" s="84"/>
      <c r="BVU17" s="84"/>
      <c r="BVV17" s="84"/>
      <c r="BVW17" s="84"/>
      <c r="BVX17" s="84"/>
      <c r="BVY17" s="84"/>
      <c r="BVZ17" s="84"/>
      <c r="BWA17" s="84"/>
      <c r="BWB17" s="84"/>
      <c r="BWC17" s="84"/>
      <c r="BWD17" s="84"/>
      <c r="BWE17" s="84"/>
      <c r="BWF17" s="84"/>
      <c r="BWG17" s="84"/>
      <c r="BWH17" s="84"/>
      <c r="BWI17" s="84"/>
      <c r="BWJ17" s="84"/>
      <c r="BWK17" s="84"/>
      <c r="BWL17" s="84"/>
      <c r="BWM17" s="84"/>
      <c r="BWN17" s="84"/>
      <c r="BWO17" s="84"/>
      <c r="BWP17" s="84"/>
      <c r="BWQ17" s="84"/>
      <c r="BWR17" s="84"/>
      <c r="BWS17" s="84"/>
      <c r="BWT17" s="84"/>
      <c r="BWU17" s="84"/>
      <c r="BWV17" s="84"/>
      <c r="BWW17" s="84"/>
      <c r="BWX17" s="84"/>
      <c r="BWY17" s="84"/>
      <c r="BWZ17" s="84"/>
      <c r="BXA17" s="84"/>
      <c r="BXB17" s="84"/>
      <c r="BXC17" s="84"/>
      <c r="BXD17" s="84"/>
      <c r="BXE17" s="84"/>
      <c r="BXF17" s="84"/>
      <c r="BXG17" s="84"/>
      <c r="BXH17" s="84"/>
      <c r="BXI17" s="84"/>
      <c r="BXJ17" s="84"/>
      <c r="BXK17" s="84"/>
      <c r="BXL17" s="84"/>
      <c r="BXM17" s="84"/>
      <c r="BXN17" s="84"/>
      <c r="BXO17" s="84"/>
      <c r="BXP17" s="84"/>
      <c r="BXQ17" s="84"/>
      <c r="BXR17" s="84"/>
      <c r="BXS17" s="84"/>
      <c r="BXT17" s="84"/>
      <c r="BXU17" s="84"/>
      <c r="BXV17" s="84"/>
      <c r="BXW17" s="84"/>
      <c r="BXX17" s="84"/>
      <c r="BXY17" s="84"/>
      <c r="BXZ17" s="84"/>
      <c r="BYA17" s="84"/>
      <c r="BYB17" s="84"/>
      <c r="BYC17" s="84"/>
      <c r="BYD17" s="84"/>
      <c r="BYE17" s="84"/>
      <c r="BYF17" s="84"/>
      <c r="BYG17" s="84"/>
      <c r="BYH17" s="84"/>
      <c r="BYI17" s="84"/>
      <c r="BYJ17" s="84"/>
      <c r="BYK17" s="84"/>
      <c r="BYL17" s="84"/>
      <c r="BYM17" s="84"/>
      <c r="BYN17" s="84"/>
      <c r="BYO17" s="84"/>
      <c r="BYP17" s="84"/>
      <c r="BYQ17" s="84"/>
      <c r="BYR17" s="84"/>
      <c r="BYS17" s="84"/>
      <c r="BYT17" s="84"/>
      <c r="BYU17" s="84"/>
      <c r="BYV17" s="84"/>
      <c r="BYW17" s="84"/>
      <c r="BYX17" s="84"/>
      <c r="BYY17" s="84"/>
      <c r="BYZ17" s="84"/>
      <c r="BZA17" s="84"/>
      <c r="BZB17" s="84"/>
      <c r="BZC17" s="84"/>
      <c r="BZD17" s="84"/>
      <c r="BZE17" s="84"/>
      <c r="BZF17" s="84"/>
      <c r="BZG17" s="84"/>
      <c r="BZH17" s="84"/>
      <c r="BZI17" s="84"/>
      <c r="BZJ17" s="84"/>
      <c r="BZK17" s="84"/>
      <c r="BZL17" s="84"/>
      <c r="BZM17" s="84"/>
      <c r="BZN17" s="84"/>
      <c r="BZO17" s="84"/>
      <c r="BZP17" s="84"/>
      <c r="BZQ17" s="84"/>
      <c r="BZR17" s="84"/>
      <c r="BZS17" s="84"/>
      <c r="BZT17" s="84"/>
      <c r="BZU17" s="84"/>
      <c r="BZV17" s="84"/>
      <c r="BZW17" s="84"/>
      <c r="BZX17" s="84"/>
      <c r="BZY17" s="84"/>
      <c r="BZZ17" s="84"/>
      <c r="CAA17" s="84"/>
      <c r="CAB17" s="84"/>
      <c r="CAC17" s="84"/>
      <c r="CAD17" s="84"/>
      <c r="CAE17" s="84"/>
      <c r="CAF17" s="84"/>
      <c r="CAG17" s="84"/>
      <c r="CAH17" s="84"/>
      <c r="CAI17" s="84"/>
      <c r="CAJ17" s="84"/>
      <c r="CAK17" s="84"/>
      <c r="CAL17" s="84"/>
      <c r="CAM17" s="84"/>
      <c r="CAN17" s="84"/>
      <c r="CAO17" s="84"/>
      <c r="CAP17" s="84"/>
      <c r="CAQ17" s="84"/>
      <c r="CAR17" s="84"/>
      <c r="CAS17" s="84"/>
      <c r="CAT17" s="84"/>
      <c r="CAU17" s="84"/>
      <c r="CAV17" s="84"/>
      <c r="CAW17" s="84"/>
      <c r="CAX17" s="84"/>
      <c r="CAY17" s="84"/>
      <c r="CAZ17" s="84"/>
      <c r="CBA17" s="84"/>
      <c r="CBB17" s="84"/>
      <c r="CBC17" s="84"/>
      <c r="CBD17" s="84"/>
      <c r="CBE17" s="84"/>
      <c r="CBF17" s="84"/>
      <c r="CBG17" s="84"/>
      <c r="CBH17" s="84"/>
      <c r="CBI17" s="84"/>
      <c r="CBJ17" s="84"/>
      <c r="CBK17" s="84"/>
      <c r="CBL17" s="84"/>
      <c r="CBM17" s="84"/>
      <c r="CBN17" s="84"/>
      <c r="CBO17" s="84"/>
      <c r="CBP17" s="84"/>
      <c r="CBQ17" s="84"/>
      <c r="CBR17" s="84"/>
      <c r="CBS17" s="84"/>
      <c r="CBT17" s="84"/>
      <c r="CBU17" s="84"/>
      <c r="CBV17" s="84"/>
      <c r="CBW17" s="84"/>
      <c r="CBX17" s="84"/>
      <c r="CBY17" s="84"/>
      <c r="CBZ17" s="84"/>
      <c r="CCA17" s="84"/>
      <c r="CCB17" s="84"/>
      <c r="CCC17" s="84"/>
      <c r="CCD17" s="84"/>
      <c r="CCE17" s="84"/>
      <c r="CCF17" s="84"/>
      <c r="CCG17" s="84"/>
      <c r="CCH17" s="84"/>
      <c r="CCI17" s="84"/>
      <c r="CCJ17" s="84"/>
      <c r="CCK17" s="84"/>
      <c r="CCL17" s="84"/>
      <c r="CCM17" s="84"/>
      <c r="CCN17" s="84"/>
      <c r="CCO17" s="84"/>
      <c r="CCP17" s="84"/>
      <c r="CCQ17" s="84"/>
      <c r="CCR17" s="84"/>
      <c r="CCS17" s="84"/>
      <c r="CCT17" s="84"/>
      <c r="CCU17" s="84"/>
      <c r="CCV17" s="84"/>
      <c r="CCW17" s="84"/>
      <c r="CCX17" s="84"/>
      <c r="CCY17" s="84"/>
      <c r="CCZ17" s="84"/>
      <c r="CDA17" s="84"/>
      <c r="CDB17" s="84"/>
      <c r="CDC17" s="84"/>
      <c r="CDD17" s="84"/>
      <c r="CDE17" s="84"/>
      <c r="CDF17" s="84"/>
      <c r="CDG17" s="84"/>
      <c r="CDH17" s="84"/>
      <c r="CDI17" s="84"/>
      <c r="CDJ17" s="84"/>
      <c r="CDK17" s="84"/>
      <c r="CDL17" s="84"/>
      <c r="CDM17" s="84"/>
      <c r="CDN17" s="84"/>
      <c r="CDO17" s="84"/>
      <c r="CDP17" s="84"/>
      <c r="CDQ17" s="84"/>
      <c r="CDR17" s="84"/>
      <c r="CDS17" s="84"/>
      <c r="CDT17" s="84"/>
      <c r="CDU17" s="84"/>
      <c r="CDV17" s="84"/>
      <c r="CDW17" s="84"/>
      <c r="CDX17" s="84"/>
      <c r="CDY17" s="84"/>
      <c r="CDZ17" s="84"/>
      <c r="CEA17" s="84"/>
      <c r="CEB17" s="84"/>
      <c r="CEC17" s="84"/>
      <c r="CED17" s="84"/>
      <c r="CEE17" s="84"/>
      <c r="CEF17" s="84"/>
      <c r="CEG17" s="84"/>
      <c r="CEH17" s="84"/>
      <c r="CEI17" s="84"/>
      <c r="CEJ17" s="84"/>
      <c r="CEK17" s="84"/>
      <c r="CEL17" s="84"/>
      <c r="CEM17" s="84"/>
      <c r="CEN17" s="84"/>
      <c r="CEO17" s="84"/>
      <c r="CEP17" s="84"/>
      <c r="CEQ17" s="84"/>
      <c r="CER17" s="84"/>
      <c r="CES17" s="84"/>
      <c r="CET17" s="84"/>
      <c r="CEU17" s="84"/>
      <c r="CEV17" s="84"/>
      <c r="CEW17" s="84"/>
      <c r="CEX17" s="84"/>
      <c r="CEY17" s="84"/>
      <c r="CEZ17" s="84"/>
      <c r="CFA17" s="84"/>
      <c r="CFB17" s="84"/>
      <c r="CFC17" s="84"/>
      <c r="CFD17" s="84"/>
      <c r="CFE17" s="84"/>
      <c r="CFF17" s="84"/>
      <c r="CFG17" s="84"/>
      <c r="CFH17" s="84"/>
      <c r="CFI17" s="84"/>
      <c r="CFJ17" s="84"/>
      <c r="CFK17" s="84"/>
      <c r="CFL17" s="84"/>
      <c r="CFM17" s="84"/>
      <c r="CFN17" s="84"/>
      <c r="CFO17" s="84"/>
      <c r="CFP17" s="84"/>
      <c r="CFQ17" s="84"/>
      <c r="CFR17" s="84"/>
      <c r="CFS17" s="84"/>
      <c r="CFT17" s="84"/>
      <c r="CFU17" s="84"/>
      <c r="CFV17" s="84"/>
      <c r="CFW17" s="84"/>
      <c r="CFX17" s="84"/>
      <c r="CFY17" s="84"/>
      <c r="CFZ17" s="84"/>
      <c r="CGA17" s="84"/>
      <c r="CGB17" s="84"/>
      <c r="CGC17" s="84"/>
      <c r="CGD17" s="84"/>
      <c r="CGE17" s="84"/>
      <c r="CGF17" s="84"/>
      <c r="CGG17" s="84"/>
      <c r="CGH17" s="84"/>
      <c r="CGI17" s="84"/>
      <c r="CGJ17" s="84"/>
      <c r="CGK17" s="84"/>
      <c r="CGL17" s="84"/>
      <c r="CGM17" s="84"/>
      <c r="CGN17" s="84"/>
      <c r="CGO17" s="84"/>
      <c r="CGP17" s="84"/>
      <c r="CGQ17" s="84"/>
      <c r="CGR17" s="84"/>
      <c r="CGS17" s="84"/>
      <c r="CGT17" s="84"/>
      <c r="CGU17" s="84"/>
      <c r="CGV17" s="84"/>
      <c r="CGW17" s="84"/>
      <c r="CGX17" s="84"/>
      <c r="CGY17" s="84"/>
      <c r="CGZ17" s="84"/>
      <c r="CHA17" s="84"/>
      <c r="CHB17" s="84"/>
      <c r="CHC17" s="84"/>
      <c r="CHD17" s="84"/>
      <c r="CHE17" s="84"/>
      <c r="CHF17" s="84"/>
      <c r="CHG17" s="84"/>
      <c r="CHH17" s="84"/>
      <c r="CHI17" s="84"/>
      <c r="CHJ17" s="84"/>
      <c r="CHK17" s="84"/>
      <c r="CHL17" s="84"/>
      <c r="CHM17" s="84"/>
      <c r="CHN17" s="84"/>
      <c r="CHO17" s="84"/>
      <c r="CHP17" s="84"/>
      <c r="CHQ17" s="84"/>
      <c r="CHR17" s="84"/>
      <c r="CHS17" s="84"/>
      <c r="CHT17" s="84"/>
      <c r="CHU17" s="84"/>
      <c r="CHV17" s="84"/>
      <c r="CHW17" s="84"/>
      <c r="CHX17" s="84"/>
      <c r="CHY17" s="84"/>
      <c r="CHZ17" s="84"/>
      <c r="CIA17" s="84"/>
      <c r="CIB17" s="84"/>
      <c r="CIC17" s="84"/>
      <c r="CID17" s="84"/>
      <c r="CIE17" s="84"/>
      <c r="CIF17" s="84"/>
      <c r="CIG17" s="84"/>
      <c r="CIH17" s="84"/>
      <c r="CII17" s="84"/>
      <c r="CIJ17" s="84"/>
      <c r="CIK17" s="84"/>
      <c r="CIL17" s="84"/>
      <c r="CIM17" s="84"/>
      <c r="CIN17" s="84"/>
      <c r="CIO17" s="84"/>
      <c r="CIP17" s="84"/>
      <c r="CIQ17" s="84"/>
      <c r="CIR17" s="84"/>
      <c r="CIS17" s="84"/>
      <c r="CIT17" s="84"/>
      <c r="CIU17" s="84"/>
      <c r="CIV17" s="84"/>
      <c r="CIW17" s="84"/>
      <c r="CIX17" s="84"/>
      <c r="CIY17" s="84"/>
      <c r="CIZ17" s="84"/>
      <c r="CJA17" s="84"/>
      <c r="CJB17" s="84"/>
      <c r="CJC17" s="84"/>
      <c r="CJD17" s="84"/>
      <c r="CJE17" s="84"/>
      <c r="CJF17" s="84"/>
      <c r="CJG17" s="84"/>
      <c r="CJH17" s="84"/>
      <c r="CJI17" s="84"/>
      <c r="CJJ17" s="84"/>
      <c r="CJK17" s="84"/>
      <c r="CJL17" s="84"/>
      <c r="CJM17" s="84"/>
      <c r="CJN17" s="84"/>
      <c r="CJO17" s="84"/>
      <c r="CJP17" s="84"/>
      <c r="CJQ17" s="84"/>
      <c r="CJR17" s="84"/>
      <c r="CJS17" s="84"/>
      <c r="CJT17" s="84"/>
      <c r="CJU17" s="84"/>
      <c r="CJV17" s="84"/>
      <c r="CJW17" s="84"/>
      <c r="CJX17" s="84"/>
      <c r="CJY17" s="84"/>
      <c r="CJZ17" s="84"/>
      <c r="CKA17" s="84"/>
      <c r="CKB17" s="84"/>
      <c r="CKC17" s="84"/>
      <c r="CKD17" s="84"/>
      <c r="CKE17" s="84"/>
      <c r="CKF17" s="84"/>
      <c r="CKG17" s="84"/>
      <c r="CKH17" s="84"/>
      <c r="CKI17" s="84"/>
      <c r="CKJ17" s="84"/>
      <c r="CKK17" s="84"/>
      <c r="CKL17" s="84"/>
      <c r="CKM17" s="84"/>
      <c r="CKN17" s="84"/>
      <c r="CKO17" s="84"/>
      <c r="CKP17" s="84"/>
      <c r="CKQ17" s="84"/>
      <c r="CKR17" s="84"/>
      <c r="CKS17" s="84"/>
      <c r="CKT17" s="84"/>
      <c r="CKU17" s="84"/>
      <c r="CKV17" s="84"/>
      <c r="CKW17" s="84"/>
      <c r="CKX17" s="84"/>
      <c r="CKY17" s="84"/>
      <c r="CKZ17" s="84"/>
      <c r="CLA17" s="84"/>
      <c r="CLB17" s="84"/>
      <c r="CLC17" s="84"/>
      <c r="CLD17" s="84"/>
      <c r="CLE17" s="84"/>
      <c r="CLF17" s="84"/>
      <c r="CLG17" s="84"/>
      <c r="CLH17" s="84"/>
      <c r="CLI17" s="84"/>
      <c r="CLJ17" s="84"/>
      <c r="CLK17" s="84"/>
      <c r="CLL17" s="84"/>
      <c r="CLM17" s="84"/>
      <c r="CLN17" s="84"/>
      <c r="CLO17" s="84"/>
      <c r="CLP17" s="84"/>
      <c r="CLQ17" s="84"/>
      <c r="CLR17" s="84"/>
      <c r="CLS17" s="84"/>
      <c r="CLT17" s="84"/>
      <c r="CLU17" s="84"/>
      <c r="CLV17" s="84"/>
      <c r="CLW17" s="84"/>
      <c r="CLX17" s="84"/>
      <c r="CLY17" s="84"/>
      <c r="CLZ17" s="84"/>
      <c r="CMA17" s="84"/>
      <c r="CMB17" s="84"/>
      <c r="CMC17" s="84"/>
      <c r="CMD17" s="84"/>
      <c r="CME17" s="84"/>
      <c r="CMF17" s="84"/>
      <c r="CMG17" s="84"/>
      <c r="CMH17" s="84"/>
      <c r="CMI17" s="84"/>
      <c r="CMJ17" s="84"/>
      <c r="CMK17" s="84"/>
      <c r="CML17" s="84"/>
      <c r="CMM17" s="84"/>
      <c r="CMN17" s="84"/>
      <c r="CMO17" s="84"/>
      <c r="CMP17" s="84"/>
      <c r="CMQ17" s="84"/>
      <c r="CMR17" s="84"/>
      <c r="CMS17" s="84"/>
      <c r="CMT17" s="84"/>
      <c r="CMU17" s="84"/>
      <c r="CMV17" s="84"/>
      <c r="CMW17" s="84"/>
      <c r="CMX17" s="84"/>
      <c r="CMY17" s="84"/>
      <c r="CMZ17" s="84"/>
      <c r="CNA17" s="84"/>
      <c r="CNB17" s="84"/>
      <c r="CNC17" s="84"/>
      <c r="CND17" s="84"/>
      <c r="CNE17" s="84"/>
      <c r="CNF17" s="84"/>
      <c r="CNG17" s="84"/>
      <c r="CNH17" s="84"/>
      <c r="CNI17" s="84"/>
      <c r="CNJ17" s="84"/>
      <c r="CNK17" s="84"/>
      <c r="CNL17" s="84"/>
      <c r="CNM17" s="84"/>
      <c r="CNN17" s="84"/>
      <c r="CNO17" s="84"/>
      <c r="CNP17" s="84"/>
      <c r="CNQ17" s="84"/>
      <c r="CNR17" s="84"/>
      <c r="CNS17" s="84"/>
      <c r="CNT17" s="84"/>
      <c r="CNU17" s="84"/>
      <c r="CNV17" s="84"/>
      <c r="CNW17" s="84"/>
      <c r="CNX17" s="84"/>
      <c r="CNY17" s="84"/>
      <c r="CNZ17" s="84"/>
      <c r="COA17" s="84"/>
      <c r="COB17" s="84"/>
      <c r="COC17" s="84"/>
      <c r="COD17" s="84"/>
      <c r="COE17" s="84"/>
      <c r="COF17" s="84"/>
      <c r="COG17" s="84"/>
      <c r="COH17" s="84"/>
      <c r="COI17" s="84"/>
      <c r="COJ17" s="84"/>
      <c r="COK17" s="84"/>
      <c r="COL17" s="84"/>
      <c r="COM17" s="84"/>
      <c r="CON17" s="84"/>
      <c r="COO17" s="84"/>
      <c r="COP17" s="84"/>
      <c r="COQ17" s="84"/>
      <c r="COR17" s="84"/>
      <c r="COS17" s="84"/>
      <c r="COT17" s="84"/>
      <c r="COU17" s="84"/>
      <c r="COV17" s="84"/>
      <c r="COW17" s="84"/>
      <c r="COX17" s="84"/>
      <c r="COY17" s="84"/>
      <c r="COZ17" s="84"/>
      <c r="CPA17" s="84"/>
      <c r="CPB17" s="84"/>
      <c r="CPC17" s="84"/>
      <c r="CPD17" s="84"/>
      <c r="CPE17" s="84"/>
      <c r="CPF17" s="84"/>
      <c r="CPG17" s="84"/>
      <c r="CPH17" s="84"/>
      <c r="CPI17" s="84"/>
      <c r="CPJ17" s="84"/>
      <c r="CPK17" s="84"/>
      <c r="CPL17" s="84"/>
      <c r="CPM17" s="84"/>
      <c r="CPN17" s="84"/>
      <c r="CPO17" s="84"/>
      <c r="CPP17" s="84"/>
      <c r="CPQ17" s="84"/>
      <c r="CPR17" s="84"/>
      <c r="CPS17" s="84"/>
      <c r="CPT17" s="84"/>
      <c r="CPU17" s="84"/>
      <c r="CPV17" s="84"/>
      <c r="CPW17" s="84"/>
      <c r="CPX17" s="84"/>
      <c r="CPY17" s="84"/>
      <c r="CPZ17" s="84"/>
      <c r="CQA17" s="84"/>
      <c r="CQB17" s="84"/>
      <c r="CQC17" s="84"/>
      <c r="CQD17" s="84"/>
      <c r="CQE17" s="84"/>
      <c r="CQF17" s="84"/>
      <c r="CQG17" s="84"/>
      <c r="CQH17" s="84"/>
      <c r="CQI17" s="84"/>
      <c r="CQJ17" s="84"/>
      <c r="CQK17" s="84"/>
      <c r="CQL17" s="84"/>
      <c r="CQM17" s="84"/>
      <c r="CQN17" s="84"/>
      <c r="CQO17" s="84"/>
      <c r="CQP17" s="84"/>
      <c r="CQQ17" s="84"/>
      <c r="CQR17" s="84"/>
      <c r="CQS17" s="84"/>
      <c r="CQT17" s="84"/>
      <c r="CQU17" s="84"/>
      <c r="CQV17" s="84"/>
      <c r="CQW17" s="84"/>
      <c r="CQX17" s="84"/>
      <c r="CQY17" s="84"/>
      <c r="CQZ17" s="84"/>
      <c r="CRA17" s="84"/>
      <c r="CRB17" s="84"/>
      <c r="CRC17" s="84"/>
      <c r="CRD17" s="84"/>
      <c r="CRE17" s="84"/>
      <c r="CRF17" s="84"/>
      <c r="CRG17" s="84"/>
      <c r="CRH17" s="84"/>
      <c r="CRI17" s="84"/>
      <c r="CRJ17" s="84"/>
      <c r="CRK17" s="84"/>
      <c r="CRL17" s="84"/>
      <c r="CRM17" s="84"/>
      <c r="CRN17" s="84"/>
      <c r="CRO17" s="84"/>
      <c r="CRP17" s="84"/>
      <c r="CRQ17" s="84"/>
      <c r="CRR17" s="84"/>
      <c r="CRS17" s="84"/>
      <c r="CRT17" s="84"/>
      <c r="CRU17" s="84"/>
      <c r="CRV17" s="84"/>
      <c r="CRW17" s="84"/>
      <c r="CRX17" s="84"/>
      <c r="CRY17" s="84"/>
      <c r="CRZ17" s="84"/>
      <c r="CSA17" s="84"/>
      <c r="CSB17" s="84"/>
      <c r="CSC17" s="84"/>
      <c r="CSD17" s="84"/>
      <c r="CSE17" s="84"/>
      <c r="CSF17" s="84"/>
      <c r="CSG17" s="84"/>
      <c r="CSH17" s="84"/>
      <c r="CSI17" s="84"/>
      <c r="CSJ17" s="84"/>
      <c r="CSK17" s="84"/>
      <c r="CSL17" s="84"/>
      <c r="CSM17" s="84"/>
      <c r="CSN17" s="84"/>
      <c r="CSO17" s="84"/>
      <c r="CSP17" s="84"/>
      <c r="CSQ17" s="84"/>
      <c r="CSR17" s="84"/>
      <c r="CSS17" s="84"/>
      <c r="CST17" s="84"/>
      <c r="CSU17" s="84"/>
      <c r="CSV17" s="84"/>
      <c r="CSW17" s="84"/>
      <c r="CSX17" s="84"/>
      <c r="CSY17" s="84"/>
      <c r="CSZ17" s="84"/>
      <c r="CTA17" s="84"/>
      <c r="CTB17" s="84"/>
      <c r="CTC17" s="84"/>
      <c r="CTD17" s="84"/>
      <c r="CTE17" s="84"/>
      <c r="CTF17" s="84"/>
      <c r="CTG17" s="84"/>
      <c r="CTH17" s="84"/>
      <c r="CTI17" s="84"/>
      <c r="CTJ17" s="84"/>
      <c r="CTK17" s="84"/>
      <c r="CTL17" s="84"/>
      <c r="CTM17" s="84"/>
      <c r="CTN17" s="84"/>
      <c r="CTO17" s="84"/>
      <c r="CTP17" s="84"/>
      <c r="CTQ17" s="84"/>
      <c r="CTR17" s="84"/>
      <c r="CTS17" s="84"/>
      <c r="CTT17" s="84"/>
      <c r="CTU17" s="84"/>
      <c r="CTV17" s="84"/>
      <c r="CTW17" s="84"/>
      <c r="CTX17" s="84"/>
      <c r="CTY17" s="84"/>
      <c r="CTZ17" s="84"/>
      <c r="CUA17" s="84"/>
      <c r="CUB17" s="84"/>
      <c r="CUC17" s="84"/>
      <c r="CUD17" s="84"/>
      <c r="CUE17" s="84"/>
      <c r="CUF17" s="84"/>
      <c r="CUG17" s="84"/>
      <c r="CUH17" s="84"/>
      <c r="CUI17" s="84"/>
      <c r="CUJ17" s="84"/>
      <c r="CUK17" s="84"/>
      <c r="CUL17" s="84"/>
      <c r="CUM17" s="84"/>
      <c r="CUN17" s="84"/>
      <c r="CUO17" s="84"/>
      <c r="CUP17" s="84"/>
      <c r="CUQ17" s="84"/>
      <c r="CUR17" s="84"/>
      <c r="CUS17" s="84"/>
      <c r="CUT17" s="84"/>
      <c r="CUU17" s="84"/>
      <c r="CUV17" s="84"/>
      <c r="CUW17" s="84"/>
      <c r="CUX17" s="84"/>
      <c r="CUY17" s="84"/>
      <c r="CUZ17" s="84"/>
      <c r="CVA17" s="84"/>
      <c r="CVB17" s="84"/>
      <c r="CVC17" s="84"/>
      <c r="CVD17" s="84"/>
      <c r="CVE17" s="84"/>
      <c r="CVF17" s="84"/>
      <c r="CVG17" s="84"/>
      <c r="CVH17" s="84"/>
      <c r="CVI17" s="84"/>
      <c r="CVJ17" s="84"/>
      <c r="CVK17" s="84"/>
      <c r="CVL17" s="84"/>
      <c r="CVM17" s="84"/>
      <c r="CVN17" s="84"/>
      <c r="CVO17" s="84"/>
      <c r="CVP17" s="84"/>
      <c r="CVQ17" s="84"/>
      <c r="CVR17" s="84"/>
      <c r="CVS17" s="84"/>
      <c r="CVT17" s="84"/>
      <c r="CVU17" s="84"/>
      <c r="CVV17" s="84"/>
      <c r="CVW17" s="84"/>
      <c r="CVX17" s="84"/>
      <c r="CVY17" s="84"/>
      <c r="CVZ17" s="84"/>
      <c r="CWA17" s="84"/>
      <c r="CWB17" s="84"/>
      <c r="CWC17" s="84"/>
      <c r="CWD17" s="84"/>
      <c r="CWE17" s="84"/>
      <c r="CWF17" s="84"/>
      <c r="CWG17" s="84"/>
      <c r="CWH17" s="84"/>
      <c r="CWI17" s="84"/>
      <c r="CWJ17" s="84"/>
      <c r="CWK17" s="84"/>
      <c r="CWL17" s="84"/>
      <c r="CWM17" s="84"/>
      <c r="CWN17" s="84"/>
      <c r="CWO17" s="84"/>
      <c r="CWP17" s="84"/>
      <c r="CWQ17" s="84"/>
      <c r="CWR17" s="84"/>
      <c r="CWS17" s="84"/>
      <c r="CWT17" s="84"/>
      <c r="CWU17" s="84"/>
      <c r="CWV17" s="84"/>
      <c r="CWW17" s="84"/>
      <c r="CWX17" s="84"/>
      <c r="CWY17" s="84"/>
      <c r="CWZ17" s="84"/>
      <c r="CXA17" s="84"/>
      <c r="CXB17" s="84"/>
      <c r="CXC17" s="84"/>
      <c r="CXD17" s="84"/>
      <c r="CXE17" s="84"/>
      <c r="CXF17" s="84"/>
      <c r="CXG17" s="84"/>
      <c r="CXH17" s="84"/>
      <c r="CXI17" s="84"/>
      <c r="CXJ17" s="84"/>
      <c r="CXK17" s="84"/>
      <c r="CXL17" s="84"/>
      <c r="CXM17" s="84"/>
      <c r="CXN17" s="84"/>
      <c r="CXO17" s="84"/>
      <c r="CXP17" s="84"/>
      <c r="CXQ17" s="84"/>
      <c r="CXR17" s="84"/>
      <c r="CXS17" s="84"/>
      <c r="CXT17" s="84"/>
      <c r="CXU17" s="84"/>
      <c r="CXV17" s="84"/>
      <c r="CXW17" s="84"/>
      <c r="CXX17" s="84"/>
      <c r="CXY17" s="84"/>
      <c r="CXZ17" s="84"/>
      <c r="CYA17" s="84"/>
      <c r="CYB17" s="84"/>
      <c r="CYC17" s="84"/>
      <c r="CYD17" s="84"/>
      <c r="CYE17" s="84"/>
      <c r="CYF17" s="84"/>
      <c r="CYG17" s="84"/>
      <c r="CYH17" s="84"/>
      <c r="CYI17" s="84"/>
      <c r="CYJ17" s="84"/>
      <c r="CYK17" s="84"/>
      <c r="CYL17" s="84"/>
      <c r="CYM17" s="84"/>
      <c r="CYN17" s="84"/>
      <c r="CYO17" s="84"/>
      <c r="CYP17" s="84"/>
      <c r="CYQ17" s="84"/>
      <c r="CYR17" s="84"/>
      <c r="CYS17" s="84"/>
      <c r="CYT17" s="84"/>
      <c r="CYU17" s="84"/>
      <c r="CYV17" s="84"/>
      <c r="CYW17" s="84"/>
      <c r="CYX17" s="84"/>
      <c r="CYY17" s="84"/>
      <c r="CYZ17" s="84"/>
      <c r="CZA17" s="84"/>
      <c r="CZB17" s="84"/>
      <c r="CZC17" s="84"/>
      <c r="CZD17" s="84"/>
      <c r="CZE17" s="84"/>
      <c r="CZF17" s="84"/>
      <c r="CZG17" s="84"/>
      <c r="CZH17" s="84"/>
      <c r="CZI17" s="84"/>
      <c r="CZJ17" s="84"/>
      <c r="CZK17" s="84"/>
      <c r="CZL17" s="84"/>
      <c r="CZM17" s="84"/>
      <c r="CZN17" s="84"/>
      <c r="CZO17" s="84"/>
      <c r="CZP17" s="84"/>
      <c r="CZQ17" s="84"/>
      <c r="CZR17" s="84"/>
      <c r="CZS17" s="84"/>
      <c r="CZT17" s="84"/>
      <c r="CZU17" s="84"/>
      <c r="CZV17" s="84"/>
      <c r="CZW17" s="84"/>
      <c r="CZX17" s="84"/>
      <c r="CZY17" s="84"/>
      <c r="CZZ17" s="84"/>
      <c r="DAA17" s="84"/>
      <c r="DAB17" s="84"/>
      <c r="DAC17" s="84"/>
      <c r="DAD17" s="84"/>
      <c r="DAE17" s="84"/>
      <c r="DAF17" s="84"/>
      <c r="DAG17" s="84"/>
      <c r="DAH17" s="84"/>
      <c r="DAI17" s="84"/>
      <c r="DAJ17" s="84"/>
      <c r="DAK17" s="84"/>
      <c r="DAL17" s="84"/>
      <c r="DAM17" s="84"/>
      <c r="DAN17" s="84"/>
      <c r="DAO17" s="84"/>
      <c r="DAP17" s="84"/>
      <c r="DAQ17" s="84"/>
      <c r="DAR17" s="84"/>
      <c r="DAS17" s="84"/>
      <c r="DAT17" s="84"/>
      <c r="DAU17" s="84"/>
      <c r="DAV17" s="84"/>
      <c r="DAW17" s="84"/>
      <c r="DAX17" s="84"/>
      <c r="DAY17" s="84"/>
      <c r="DAZ17" s="84"/>
      <c r="DBA17" s="84"/>
      <c r="DBB17" s="84"/>
      <c r="DBC17" s="84"/>
      <c r="DBD17" s="84"/>
      <c r="DBE17" s="84"/>
      <c r="DBF17" s="84"/>
      <c r="DBG17" s="84"/>
      <c r="DBH17" s="84"/>
      <c r="DBI17" s="84"/>
      <c r="DBJ17" s="84"/>
      <c r="DBK17" s="84"/>
      <c r="DBL17" s="84"/>
      <c r="DBM17" s="84"/>
      <c r="DBN17" s="84"/>
      <c r="DBO17" s="84"/>
      <c r="DBP17" s="84"/>
      <c r="DBQ17" s="84"/>
      <c r="DBR17" s="84"/>
      <c r="DBS17" s="84"/>
      <c r="DBT17" s="84"/>
      <c r="DBU17" s="84"/>
      <c r="DBV17" s="84"/>
      <c r="DBW17" s="84"/>
      <c r="DBX17" s="84"/>
      <c r="DBY17" s="84"/>
      <c r="DBZ17" s="84"/>
      <c r="DCA17" s="84"/>
      <c r="DCB17" s="84"/>
      <c r="DCC17" s="84"/>
      <c r="DCD17" s="84"/>
      <c r="DCE17" s="84"/>
      <c r="DCF17" s="84"/>
      <c r="DCG17" s="84"/>
      <c r="DCH17" s="84"/>
      <c r="DCI17" s="84"/>
      <c r="DCJ17" s="84"/>
      <c r="DCK17" s="84"/>
      <c r="DCL17" s="84"/>
      <c r="DCM17" s="84"/>
      <c r="DCN17" s="84"/>
      <c r="DCO17" s="84"/>
      <c r="DCP17" s="84"/>
      <c r="DCQ17" s="84"/>
      <c r="DCR17" s="84"/>
      <c r="DCS17" s="84"/>
      <c r="DCT17" s="84"/>
      <c r="DCU17" s="84"/>
      <c r="DCV17" s="84"/>
      <c r="DCW17" s="84"/>
      <c r="DCX17" s="84"/>
      <c r="DCY17" s="84"/>
      <c r="DCZ17" s="84"/>
      <c r="DDA17" s="84"/>
      <c r="DDB17" s="84"/>
      <c r="DDC17" s="84"/>
      <c r="DDD17" s="84"/>
      <c r="DDE17" s="84"/>
      <c r="DDF17" s="84"/>
      <c r="DDG17" s="84"/>
      <c r="DDH17" s="84"/>
      <c r="DDI17" s="84"/>
      <c r="DDJ17" s="84"/>
      <c r="DDK17" s="84"/>
      <c r="DDL17" s="84"/>
      <c r="DDM17" s="84"/>
      <c r="DDN17" s="84"/>
      <c r="DDO17" s="84"/>
      <c r="DDP17" s="84"/>
      <c r="DDQ17" s="84"/>
      <c r="DDR17" s="84"/>
      <c r="DDS17" s="84"/>
      <c r="DDT17" s="84"/>
      <c r="DDU17" s="84"/>
      <c r="DDV17" s="84"/>
      <c r="DDW17" s="84"/>
      <c r="DDX17" s="84"/>
      <c r="DDY17" s="84"/>
      <c r="DDZ17" s="84"/>
      <c r="DEA17" s="84"/>
      <c r="DEB17" s="84"/>
      <c r="DEC17" s="84"/>
      <c r="DED17" s="84"/>
      <c r="DEE17" s="84"/>
      <c r="DEF17" s="84"/>
      <c r="DEG17" s="84"/>
      <c r="DEH17" s="84"/>
      <c r="DEI17" s="84"/>
      <c r="DEJ17" s="84"/>
      <c r="DEK17" s="84"/>
      <c r="DEL17" s="84"/>
      <c r="DEM17" s="84"/>
      <c r="DEN17" s="84"/>
      <c r="DEO17" s="84"/>
      <c r="DEP17" s="84"/>
      <c r="DEQ17" s="84"/>
      <c r="DER17" s="84"/>
      <c r="DES17" s="84"/>
      <c r="DET17" s="84"/>
      <c r="DEU17" s="84"/>
      <c r="DEV17" s="84"/>
      <c r="DEW17" s="84"/>
      <c r="DEX17" s="84"/>
      <c r="DEY17" s="84"/>
      <c r="DEZ17" s="84"/>
      <c r="DFA17" s="84"/>
      <c r="DFB17" s="84"/>
      <c r="DFC17" s="84"/>
      <c r="DFD17" s="84"/>
      <c r="DFE17" s="84"/>
      <c r="DFF17" s="84"/>
      <c r="DFG17" s="84"/>
      <c r="DFH17" s="84"/>
      <c r="DFI17" s="84"/>
      <c r="DFJ17" s="84"/>
      <c r="DFK17" s="84"/>
      <c r="DFL17" s="84"/>
      <c r="DFM17" s="84"/>
      <c r="DFN17" s="84"/>
      <c r="DFO17" s="84"/>
      <c r="DFP17" s="84"/>
      <c r="DFQ17" s="84"/>
      <c r="DFR17" s="84"/>
      <c r="DFS17" s="84"/>
      <c r="DFT17" s="84"/>
      <c r="DFU17" s="84"/>
      <c r="DFV17" s="84"/>
      <c r="DFW17" s="84"/>
      <c r="DFX17" s="84"/>
      <c r="DFY17" s="84"/>
      <c r="DFZ17" s="84"/>
      <c r="DGA17" s="84"/>
      <c r="DGB17" s="84"/>
      <c r="DGC17" s="84"/>
      <c r="DGD17" s="84"/>
      <c r="DGE17" s="84"/>
      <c r="DGF17" s="84"/>
      <c r="DGG17" s="84"/>
      <c r="DGH17" s="84"/>
      <c r="DGI17" s="84"/>
      <c r="DGJ17" s="84"/>
      <c r="DGK17" s="84"/>
      <c r="DGL17" s="84"/>
      <c r="DGM17" s="84"/>
      <c r="DGN17" s="84"/>
      <c r="DGO17" s="84"/>
      <c r="DGP17" s="84"/>
      <c r="DGQ17" s="84"/>
      <c r="DGR17" s="84"/>
      <c r="DGS17" s="84"/>
      <c r="DGT17" s="84"/>
      <c r="DGU17" s="84"/>
      <c r="DGV17" s="84"/>
      <c r="DGW17" s="84"/>
      <c r="DGX17" s="84"/>
      <c r="DGY17" s="84"/>
      <c r="DGZ17" s="84"/>
      <c r="DHA17" s="84"/>
      <c r="DHB17" s="84"/>
      <c r="DHC17" s="84"/>
      <c r="DHD17" s="84"/>
      <c r="DHE17" s="84"/>
      <c r="DHF17" s="84"/>
      <c r="DHG17" s="84"/>
      <c r="DHH17" s="84"/>
      <c r="DHI17" s="84"/>
      <c r="DHJ17" s="84"/>
      <c r="DHK17" s="84"/>
      <c r="DHL17" s="84"/>
      <c r="DHM17" s="84"/>
      <c r="DHN17" s="84"/>
      <c r="DHO17" s="84"/>
      <c r="DHP17" s="84"/>
      <c r="DHQ17" s="84"/>
      <c r="DHR17" s="84"/>
      <c r="DHS17" s="84"/>
      <c r="DHT17" s="84"/>
      <c r="DHU17" s="84"/>
      <c r="DHV17" s="84"/>
      <c r="DHW17" s="84"/>
      <c r="DHX17" s="84"/>
      <c r="DHY17" s="84"/>
      <c r="DHZ17" s="84"/>
      <c r="DIA17" s="84"/>
      <c r="DIB17" s="84"/>
      <c r="DIC17" s="84"/>
      <c r="DID17" s="84"/>
      <c r="DIE17" s="84"/>
      <c r="DIF17" s="84"/>
      <c r="DIG17" s="84"/>
      <c r="DIH17" s="84"/>
      <c r="DII17" s="84"/>
      <c r="DIJ17" s="84"/>
      <c r="DIK17" s="84"/>
      <c r="DIL17" s="84"/>
      <c r="DIM17" s="84"/>
      <c r="DIN17" s="84"/>
      <c r="DIO17" s="84"/>
      <c r="DIP17" s="84"/>
      <c r="DIQ17" s="84"/>
      <c r="DIR17" s="84"/>
      <c r="DIS17" s="84"/>
      <c r="DIT17" s="84"/>
      <c r="DIU17" s="84"/>
      <c r="DIV17" s="84"/>
      <c r="DIW17" s="84"/>
      <c r="DIX17" s="84"/>
      <c r="DIY17" s="84"/>
      <c r="DIZ17" s="84"/>
      <c r="DJA17" s="84"/>
      <c r="DJB17" s="84"/>
      <c r="DJC17" s="84"/>
      <c r="DJD17" s="84"/>
      <c r="DJE17" s="84"/>
      <c r="DJF17" s="84"/>
      <c r="DJG17" s="84"/>
      <c r="DJH17" s="84"/>
      <c r="DJI17" s="84"/>
      <c r="DJJ17" s="84"/>
      <c r="DJK17" s="84"/>
      <c r="DJL17" s="84"/>
      <c r="DJM17" s="84"/>
      <c r="DJN17" s="84"/>
      <c r="DJO17" s="84"/>
      <c r="DJP17" s="84"/>
      <c r="DJQ17" s="84"/>
      <c r="DJR17" s="84"/>
      <c r="DJS17" s="84"/>
      <c r="DJT17" s="84"/>
      <c r="DJU17" s="84"/>
      <c r="DJV17" s="84"/>
      <c r="DJW17" s="84"/>
      <c r="DJX17" s="84"/>
      <c r="DJY17" s="84"/>
      <c r="DJZ17" s="84"/>
      <c r="DKA17" s="84"/>
      <c r="DKB17" s="84"/>
      <c r="DKC17" s="84"/>
      <c r="DKD17" s="84"/>
      <c r="DKE17" s="84"/>
      <c r="DKF17" s="84"/>
      <c r="DKG17" s="84"/>
      <c r="DKH17" s="84"/>
      <c r="DKI17" s="84"/>
      <c r="DKJ17" s="84"/>
      <c r="DKK17" s="84"/>
      <c r="DKL17" s="84"/>
      <c r="DKM17" s="84"/>
      <c r="DKN17" s="84"/>
      <c r="DKO17" s="84"/>
      <c r="DKP17" s="84"/>
      <c r="DKQ17" s="84"/>
      <c r="DKR17" s="84"/>
      <c r="DKS17" s="84"/>
      <c r="DKT17" s="84"/>
      <c r="DKU17" s="84"/>
      <c r="DKV17" s="84"/>
      <c r="DKW17" s="84"/>
      <c r="DKX17" s="84"/>
      <c r="DKY17" s="84"/>
      <c r="DKZ17" s="84"/>
      <c r="DLA17" s="84"/>
      <c r="DLB17" s="84"/>
      <c r="DLC17" s="84"/>
      <c r="DLD17" s="84"/>
      <c r="DLE17" s="84"/>
      <c r="DLF17" s="84"/>
      <c r="DLG17" s="84"/>
      <c r="DLH17" s="84"/>
      <c r="DLI17" s="84"/>
      <c r="DLJ17" s="84"/>
      <c r="DLK17" s="84"/>
      <c r="DLL17" s="84"/>
      <c r="DLM17" s="84"/>
      <c r="DLN17" s="84"/>
      <c r="DLO17" s="84"/>
      <c r="DLP17" s="84"/>
      <c r="DLQ17" s="84"/>
      <c r="DLR17" s="84"/>
      <c r="DLS17" s="84"/>
      <c r="DLT17" s="84"/>
      <c r="DLU17" s="84"/>
      <c r="DLV17" s="84"/>
      <c r="DLW17" s="84"/>
      <c r="DLX17" s="84"/>
      <c r="DLY17" s="84"/>
      <c r="DLZ17" s="84"/>
      <c r="DMA17" s="84"/>
      <c r="DMB17" s="84"/>
      <c r="DMC17" s="84"/>
      <c r="DMD17" s="84"/>
      <c r="DME17" s="84"/>
      <c r="DMF17" s="84"/>
      <c r="DMG17" s="84"/>
      <c r="DMH17" s="84"/>
      <c r="DMI17" s="84"/>
      <c r="DMJ17" s="84"/>
      <c r="DMK17" s="84"/>
      <c r="DML17" s="84"/>
      <c r="DMM17" s="84"/>
      <c r="DMN17" s="84"/>
      <c r="DMO17" s="84"/>
      <c r="DMP17" s="84"/>
      <c r="DMQ17" s="84"/>
      <c r="DMR17" s="84"/>
      <c r="DMS17" s="84"/>
      <c r="DMT17" s="84"/>
      <c r="DMU17" s="84"/>
      <c r="DMV17" s="84"/>
      <c r="DMW17" s="84"/>
      <c r="DMX17" s="84"/>
      <c r="DMY17" s="84"/>
      <c r="DMZ17" s="84"/>
      <c r="DNA17" s="84"/>
      <c r="DNB17" s="84"/>
      <c r="DNC17" s="84"/>
      <c r="DND17" s="84"/>
      <c r="DNE17" s="84"/>
      <c r="DNF17" s="84"/>
      <c r="DNG17" s="84"/>
      <c r="DNH17" s="84"/>
      <c r="DNI17" s="84"/>
      <c r="DNJ17" s="84"/>
      <c r="DNK17" s="84"/>
      <c r="DNL17" s="84"/>
      <c r="DNM17" s="84"/>
      <c r="DNN17" s="84"/>
      <c r="DNO17" s="84"/>
      <c r="DNP17" s="84"/>
      <c r="DNQ17" s="84"/>
      <c r="DNR17" s="84"/>
      <c r="DNS17" s="84"/>
      <c r="DNT17" s="84"/>
      <c r="DNU17" s="84"/>
      <c r="DNV17" s="84"/>
      <c r="DNW17" s="84"/>
      <c r="DNX17" s="84"/>
      <c r="DNY17" s="84"/>
      <c r="DNZ17" s="84"/>
      <c r="DOA17" s="84"/>
      <c r="DOB17" s="84"/>
      <c r="DOC17" s="84"/>
      <c r="DOD17" s="84"/>
      <c r="DOE17" s="84"/>
      <c r="DOF17" s="84"/>
      <c r="DOG17" s="84"/>
      <c r="DOH17" s="84"/>
      <c r="DOI17" s="84"/>
      <c r="DOJ17" s="84"/>
      <c r="DOK17" s="84"/>
      <c r="DOL17" s="84"/>
      <c r="DOM17" s="84"/>
      <c r="DON17" s="84"/>
      <c r="DOO17" s="84"/>
      <c r="DOP17" s="84"/>
      <c r="DOQ17" s="84"/>
      <c r="DOR17" s="84"/>
      <c r="DOS17" s="84"/>
      <c r="DOT17" s="84"/>
      <c r="DOU17" s="84"/>
      <c r="DOV17" s="84"/>
      <c r="DOW17" s="84"/>
      <c r="DOX17" s="84"/>
      <c r="DOY17" s="84"/>
      <c r="DOZ17" s="84"/>
      <c r="DPA17" s="84"/>
      <c r="DPB17" s="84"/>
      <c r="DPC17" s="84"/>
      <c r="DPD17" s="84"/>
      <c r="DPE17" s="84"/>
      <c r="DPF17" s="84"/>
      <c r="DPG17" s="84"/>
      <c r="DPH17" s="84"/>
      <c r="DPI17" s="84"/>
      <c r="DPJ17" s="84"/>
      <c r="DPK17" s="84"/>
      <c r="DPL17" s="84"/>
      <c r="DPM17" s="84"/>
      <c r="DPN17" s="84"/>
      <c r="DPO17" s="84"/>
      <c r="DPP17" s="84"/>
      <c r="DPQ17" s="84"/>
      <c r="DPR17" s="84"/>
      <c r="DPS17" s="84"/>
      <c r="DPT17" s="84"/>
      <c r="DPU17" s="84"/>
      <c r="DPV17" s="84"/>
      <c r="DPW17" s="84"/>
      <c r="DPX17" s="84"/>
      <c r="DPY17" s="84"/>
      <c r="DPZ17" s="84"/>
      <c r="DQA17" s="84"/>
      <c r="DQB17" s="84"/>
      <c r="DQC17" s="84"/>
      <c r="DQD17" s="84"/>
      <c r="DQE17" s="84"/>
      <c r="DQF17" s="84"/>
      <c r="DQG17" s="84"/>
      <c r="DQH17" s="84"/>
      <c r="DQI17" s="84"/>
      <c r="DQJ17" s="84"/>
      <c r="DQK17" s="84"/>
      <c r="DQL17" s="84"/>
      <c r="DQM17" s="84"/>
      <c r="DQN17" s="84"/>
      <c r="DQO17" s="84"/>
      <c r="DQP17" s="84"/>
      <c r="DQQ17" s="84"/>
      <c r="DQR17" s="84"/>
      <c r="DQS17" s="84"/>
      <c r="DQT17" s="84"/>
      <c r="DQU17" s="84"/>
      <c r="DQV17" s="84"/>
      <c r="DQW17" s="84"/>
      <c r="DQX17" s="84"/>
      <c r="DQY17" s="84"/>
      <c r="DQZ17" s="84"/>
      <c r="DRA17" s="84"/>
      <c r="DRB17" s="84"/>
      <c r="DRC17" s="84"/>
      <c r="DRD17" s="84"/>
      <c r="DRE17" s="84"/>
      <c r="DRF17" s="84"/>
      <c r="DRG17" s="84"/>
      <c r="DRH17" s="84"/>
      <c r="DRI17" s="84"/>
      <c r="DRJ17" s="84"/>
      <c r="DRK17" s="84"/>
      <c r="DRL17" s="84"/>
      <c r="DRM17" s="84"/>
      <c r="DRN17" s="84"/>
      <c r="DRO17" s="84"/>
      <c r="DRP17" s="84"/>
      <c r="DRQ17" s="84"/>
      <c r="DRR17" s="84"/>
      <c r="DRS17" s="84"/>
      <c r="DRT17" s="84"/>
      <c r="DRU17" s="84"/>
      <c r="DRV17" s="84"/>
      <c r="DRW17" s="84"/>
      <c r="DRX17" s="84"/>
      <c r="DRY17" s="84"/>
      <c r="DRZ17" s="84"/>
      <c r="DSA17" s="84"/>
      <c r="DSB17" s="84"/>
      <c r="DSC17" s="84"/>
      <c r="DSD17" s="84"/>
      <c r="DSE17" s="84"/>
      <c r="DSF17" s="84"/>
      <c r="DSG17" s="84"/>
      <c r="DSH17" s="84"/>
      <c r="DSI17" s="84"/>
      <c r="DSJ17" s="84"/>
      <c r="DSK17" s="84"/>
      <c r="DSL17" s="84"/>
      <c r="DSM17" s="84"/>
      <c r="DSN17" s="84"/>
      <c r="DSO17" s="84"/>
      <c r="DSP17" s="84"/>
      <c r="DSQ17" s="84"/>
      <c r="DSR17" s="84"/>
      <c r="DSS17" s="84"/>
      <c r="DST17" s="84"/>
      <c r="DSU17" s="84"/>
      <c r="DSV17" s="84"/>
      <c r="DSW17" s="84"/>
      <c r="DSX17" s="84"/>
      <c r="DSY17" s="84"/>
      <c r="DSZ17" s="84"/>
      <c r="DTA17" s="84"/>
      <c r="DTB17" s="84"/>
      <c r="DTC17" s="84"/>
      <c r="DTD17" s="84"/>
      <c r="DTE17" s="84"/>
      <c r="DTF17" s="84"/>
      <c r="DTG17" s="84"/>
      <c r="DTH17" s="84"/>
      <c r="DTI17" s="84"/>
      <c r="DTJ17" s="84"/>
      <c r="DTK17" s="84"/>
      <c r="DTL17" s="84"/>
      <c r="DTM17" s="84"/>
      <c r="DTN17" s="84"/>
      <c r="DTO17" s="84"/>
      <c r="DTP17" s="84"/>
      <c r="DTQ17" s="84"/>
      <c r="DTR17" s="84"/>
      <c r="DTS17" s="84"/>
      <c r="DTT17" s="84"/>
      <c r="DTU17" s="84"/>
      <c r="DTV17" s="84"/>
      <c r="DTW17" s="84"/>
      <c r="DTX17" s="84"/>
      <c r="DTY17" s="84"/>
      <c r="DTZ17" s="84"/>
      <c r="DUA17" s="84"/>
      <c r="DUB17" s="84"/>
      <c r="DUC17" s="84"/>
      <c r="DUD17" s="84"/>
      <c r="DUE17" s="84"/>
      <c r="DUF17" s="84"/>
      <c r="DUG17" s="84"/>
      <c r="DUH17" s="84"/>
      <c r="DUI17" s="84"/>
      <c r="DUJ17" s="84"/>
      <c r="DUK17" s="84"/>
      <c r="DUL17" s="84"/>
      <c r="DUM17" s="84"/>
      <c r="DUN17" s="84"/>
      <c r="DUO17" s="84"/>
      <c r="DUP17" s="84"/>
      <c r="DUQ17" s="84"/>
      <c r="DUR17" s="84"/>
      <c r="DUS17" s="84"/>
      <c r="DUT17" s="84"/>
      <c r="DUU17" s="84"/>
      <c r="DUV17" s="84"/>
      <c r="DUW17" s="84"/>
      <c r="DUX17" s="84"/>
      <c r="DUY17" s="84"/>
      <c r="DUZ17" s="84"/>
      <c r="DVA17" s="84"/>
      <c r="DVB17" s="84"/>
      <c r="DVC17" s="84"/>
      <c r="DVD17" s="84"/>
      <c r="DVE17" s="84"/>
      <c r="DVF17" s="84"/>
      <c r="DVG17" s="84"/>
      <c r="DVH17" s="84"/>
      <c r="DVI17" s="84"/>
      <c r="DVJ17" s="84"/>
      <c r="DVK17" s="84"/>
      <c r="DVL17" s="84"/>
      <c r="DVM17" s="84"/>
      <c r="DVN17" s="84"/>
      <c r="DVO17" s="84"/>
      <c r="DVP17" s="84"/>
      <c r="DVQ17" s="84"/>
      <c r="DVR17" s="84"/>
      <c r="DVS17" s="84"/>
      <c r="DVT17" s="84"/>
      <c r="DVU17" s="84"/>
      <c r="DVV17" s="84"/>
      <c r="DVW17" s="84"/>
      <c r="DVX17" s="84"/>
      <c r="DVY17" s="84"/>
      <c r="DVZ17" s="84"/>
      <c r="DWA17" s="84"/>
      <c r="DWB17" s="84"/>
      <c r="DWC17" s="84"/>
      <c r="DWD17" s="84"/>
      <c r="DWE17" s="84"/>
      <c r="DWF17" s="84"/>
      <c r="DWG17" s="84"/>
      <c r="DWH17" s="84"/>
      <c r="DWI17" s="84"/>
      <c r="DWJ17" s="84"/>
      <c r="DWK17" s="84"/>
      <c r="DWL17" s="84"/>
      <c r="DWM17" s="84"/>
      <c r="DWN17" s="84"/>
      <c r="DWO17" s="84"/>
      <c r="DWP17" s="84"/>
      <c r="DWQ17" s="84"/>
      <c r="DWR17" s="84"/>
      <c r="DWS17" s="84"/>
      <c r="DWT17" s="84"/>
      <c r="DWU17" s="84"/>
      <c r="DWV17" s="84"/>
      <c r="DWW17" s="84"/>
      <c r="DWX17" s="84"/>
      <c r="DWY17" s="84"/>
      <c r="DWZ17" s="84"/>
      <c r="DXA17" s="84"/>
      <c r="DXB17" s="84"/>
      <c r="DXC17" s="84"/>
      <c r="DXD17" s="84"/>
      <c r="DXE17" s="84"/>
      <c r="DXF17" s="84"/>
      <c r="DXG17" s="84"/>
      <c r="DXH17" s="84"/>
      <c r="DXI17" s="84"/>
      <c r="DXJ17" s="84"/>
      <c r="DXK17" s="84"/>
      <c r="DXL17" s="84"/>
      <c r="DXM17" s="84"/>
      <c r="DXN17" s="84"/>
      <c r="DXO17" s="84"/>
      <c r="DXP17" s="84"/>
      <c r="DXQ17" s="84"/>
      <c r="DXR17" s="84"/>
      <c r="DXS17" s="84"/>
      <c r="DXT17" s="84"/>
      <c r="DXU17" s="84"/>
      <c r="DXV17" s="84"/>
      <c r="DXW17" s="84"/>
      <c r="DXX17" s="84"/>
      <c r="DXY17" s="84"/>
      <c r="DXZ17" s="84"/>
      <c r="DYA17" s="84"/>
      <c r="DYB17" s="84"/>
      <c r="DYC17" s="84"/>
      <c r="DYD17" s="84"/>
      <c r="DYE17" s="84"/>
      <c r="DYF17" s="84"/>
      <c r="DYG17" s="84"/>
      <c r="DYH17" s="84"/>
      <c r="DYI17" s="84"/>
      <c r="DYJ17" s="84"/>
      <c r="DYK17" s="84"/>
      <c r="DYL17" s="84"/>
      <c r="DYM17" s="84"/>
      <c r="DYN17" s="84"/>
      <c r="DYO17" s="84"/>
      <c r="DYP17" s="84"/>
      <c r="DYQ17" s="84"/>
      <c r="DYR17" s="84"/>
      <c r="DYS17" s="84"/>
      <c r="DYT17" s="84"/>
      <c r="DYU17" s="84"/>
      <c r="DYV17" s="84"/>
      <c r="DYW17" s="84"/>
      <c r="DYX17" s="84"/>
      <c r="DYY17" s="84"/>
      <c r="DYZ17" s="84"/>
      <c r="DZA17" s="84"/>
      <c r="DZB17" s="84"/>
      <c r="DZC17" s="84"/>
      <c r="DZD17" s="84"/>
      <c r="DZE17" s="84"/>
      <c r="DZF17" s="84"/>
      <c r="DZG17" s="84"/>
      <c r="DZH17" s="84"/>
      <c r="DZI17" s="84"/>
      <c r="DZJ17" s="84"/>
      <c r="DZK17" s="84"/>
      <c r="DZL17" s="84"/>
      <c r="DZM17" s="84"/>
      <c r="DZN17" s="84"/>
      <c r="DZO17" s="84"/>
      <c r="DZP17" s="84"/>
      <c r="DZQ17" s="84"/>
      <c r="DZR17" s="84"/>
      <c r="DZS17" s="84"/>
      <c r="DZT17" s="84"/>
      <c r="DZU17" s="84"/>
      <c r="DZV17" s="84"/>
      <c r="DZW17" s="84"/>
      <c r="DZX17" s="84"/>
      <c r="DZY17" s="84"/>
      <c r="DZZ17" s="84"/>
      <c r="EAA17" s="84"/>
      <c r="EAB17" s="84"/>
      <c r="EAC17" s="84"/>
      <c r="EAD17" s="84"/>
      <c r="EAE17" s="84"/>
      <c r="EAF17" s="84"/>
      <c r="EAG17" s="84"/>
      <c r="EAH17" s="84"/>
      <c r="EAI17" s="84"/>
      <c r="EAJ17" s="84"/>
      <c r="EAK17" s="84"/>
      <c r="EAL17" s="84"/>
      <c r="EAM17" s="84"/>
      <c r="EAN17" s="84"/>
      <c r="EAO17" s="84"/>
      <c r="EAP17" s="84"/>
      <c r="EAQ17" s="84"/>
      <c r="EAR17" s="84"/>
      <c r="EAS17" s="84"/>
      <c r="EAT17" s="84"/>
      <c r="EAU17" s="84"/>
      <c r="EAV17" s="84"/>
      <c r="EAW17" s="84"/>
      <c r="EAX17" s="84"/>
      <c r="EAY17" s="84"/>
      <c r="EAZ17" s="84"/>
      <c r="EBA17" s="84"/>
      <c r="EBB17" s="84"/>
      <c r="EBC17" s="84"/>
      <c r="EBD17" s="84"/>
      <c r="EBE17" s="84"/>
      <c r="EBF17" s="84"/>
      <c r="EBG17" s="84"/>
      <c r="EBH17" s="84"/>
      <c r="EBI17" s="84"/>
      <c r="EBJ17" s="84"/>
      <c r="EBK17" s="84"/>
      <c r="EBL17" s="84"/>
      <c r="EBM17" s="84"/>
      <c r="EBN17" s="84"/>
      <c r="EBO17" s="84"/>
      <c r="EBP17" s="84"/>
      <c r="EBQ17" s="84"/>
      <c r="EBR17" s="84"/>
      <c r="EBS17" s="84"/>
      <c r="EBT17" s="84"/>
      <c r="EBU17" s="84"/>
      <c r="EBV17" s="84"/>
      <c r="EBW17" s="84"/>
      <c r="EBX17" s="84"/>
      <c r="EBY17" s="84"/>
      <c r="EBZ17" s="84"/>
      <c r="ECA17" s="84"/>
      <c r="ECB17" s="84"/>
      <c r="ECC17" s="84"/>
      <c r="ECD17" s="84"/>
      <c r="ECE17" s="84"/>
      <c r="ECF17" s="84"/>
      <c r="ECG17" s="84"/>
      <c r="ECH17" s="84"/>
      <c r="ECI17" s="84"/>
      <c r="ECJ17" s="84"/>
      <c r="ECK17" s="84"/>
      <c r="ECL17" s="84"/>
      <c r="ECM17" s="84"/>
      <c r="ECN17" s="84"/>
      <c r="ECO17" s="84"/>
      <c r="ECP17" s="84"/>
      <c r="ECQ17" s="84"/>
      <c r="ECR17" s="84"/>
      <c r="ECS17" s="84"/>
      <c r="ECT17" s="84"/>
      <c r="ECU17" s="84"/>
      <c r="ECV17" s="84"/>
      <c r="ECW17" s="84"/>
      <c r="ECX17" s="84"/>
      <c r="ECY17" s="84"/>
      <c r="ECZ17" s="84"/>
      <c r="EDA17" s="84"/>
      <c r="EDB17" s="84"/>
      <c r="EDC17" s="84"/>
      <c r="EDD17" s="84"/>
      <c r="EDE17" s="84"/>
      <c r="EDF17" s="84"/>
      <c r="EDG17" s="84"/>
      <c r="EDH17" s="84"/>
      <c r="EDI17" s="84"/>
      <c r="EDJ17" s="84"/>
      <c r="EDK17" s="84"/>
      <c r="EDL17" s="84"/>
      <c r="EDM17" s="84"/>
      <c r="EDN17" s="84"/>
      <c r="EDO17" s="84"/>
      <c r="EDP17" s="84"/>
      <c r="EDQ17" s="84"/>
      <c r="EDR17" s="84"/>
      <c r="EDS17" s="84"/>
      <c r="EDT17" s="84"/>
      <c r="EDU17" s="84"/>
      <c r="EDV17" s="84"/>
      <c r="EDW17" s="84"/>
      <c r="EDX17" s="84"/>
      <c r="EDY17" s="84"/>
      <c r="EDZ17" s="84"/>
      <c r="EEA17" s="84"/>
      <c r="EEB17" s="84"/>
      <c r="EEC17" s="84"/>
      <c r="EED17" s="84"/>
      <c r="EEE17" s="84"/>
      <c r="EEF17" s="84"/>
      <c r="EEG17" s="84"/>
      <c r="EEH17" s="84"/>
      <c r="EEI17" s="84"/>
      <c r="EEJ17" s="84"/>
      <c r="EEK17" s="84"/>
      <c r="EEL17" s="84"/>
      <c r="EEM17" s="84"/>
      <c r="EEN17" s="84"/>
      <c r="EEO17" s="84"/>
      <c r="EEP17" s="84"/>
      <c r="EEQ17" s="84"/>
      <c r="EER17" s="84"/>
      <c r="EES17" s="84"/>
      <c r="EET17" s="84"/>
      <c r="EEU17" s="84"/>
      <c r="EEV17" s="84"/>
      <c r="EEW17" s="84"/>
      <c r="EEX17" s="84"/>
      <c r="EEY17" s="84"/>
      <c r="EEZ17" s="84"/>
      <c r="EFA17" s="84"/>
      <c r="EFB17" s="84"/>
      <c r="EFC17" s="84"/>
      <c r="EFD17" s="84"/>
      <c r="EFE17" s="84"/>
      <c r="EFF17" s="84"/>
      <c r="EFG17" s="84"/>
      <c r="EFH17" s="84"/>
      <c r="EFI17" s="84"/>
      <c r="EFJ17" s="84"/>
      <c r="EFK17" s="84"/>
      <c r="EFL17" s="84"/>
      <c r="EFM17" s="84"/>
      <c r="EFN17" s="84"/>
      <c r="EFO17" s="84"/>
      <c r="EFP17" s="84"/>
      <c r="EFQ17" s="84"/>
      <c r="EFR17" s="84"/>
      <c r="EFS17" s="84"/>
      <c r="EFT17" s="84"/>
      <c r="EFU17" s="84"/>
      <c r="EFV17" s="84"/>
      <c r="EFW17" s="84"/>
      <c r="EFX17" s="84"/>
      <c r="EFY17" s="84"/>
      <c r="EFZ17" s="84"/>
      <c r="EGA17" s="84"/>
      <c r="EGB17" s="84"/>
      <c r="EGC17" s="84"/>
      <c r="EGD17" s="84"/>
      <c r="EGE17" s="84"/>
      <c r="EGF17" s="84"/>
      <c r="EGG17" s="84"/>
      <c r="EGH17" s="84"/>
      <c r="EGI17" s="84"/>
      <c r="EGJ17" s="84"/>
      <c r="EGK17" s="84"/>
      <c r="EGL17" s="84"/>
      <c r="EGM17" s="84"/>
      <c r="EGN17" s="84"/>
      <c r="EGO17" s="84"/>
      <c r="EGP17" s="84"/>
      <c r="EGQ17" s="84"/>
      <c r="EGR17" s="84"/>
      <c r="EGS17" s="84"/>
      <c r="EGT17" s="84"/>
      <c r="EGU17" s="84"/>
      <c r="EGV17" s="84"/>
      <c r="EGW17" s="84"/>
      <c r="EGX17" s="84"/>
      <c r="EGY17" s="84"/>
      <c r="EGZ17" s="84"/>
      <c r="EHA17" s="84"/>
      <c r="EHB17" s="84"/>
      <c r="EHC17" s="84"/>
      <c r="EHD17" s="84"/>
      <c r="EHE17" s="84"/>
      <c r="EHF17" s="84"/>
      <c r="EHG17" s="84"/>
      <c r="EHH17" s="84"/>
      <c r="EHI17" s="84"/>
      <c r="EHJ17" s="84"/>
      <c r="EHK17" s="84"/>
      <c r="EHL17" s="84"/>
      <c r="EHM17" s="84"/>
      <c r="EHN17" s="84"/>
      <c r="EHO17" s="84"/>
      <c r="EHP17" s="84"/>
      <c r="EHQ17" s="84"/>
      <c r="EHR17" s="84"/>
      <c r="EHS17" s="84"/>
      <c r="EHT17" s="84"/>
      <c r="EHU17" s="84"/>
      <c r="EHV17" s="84"/>
      <c r="EHW17" s="84"/>
      <c r="EHX17" s="84"/>
      <c r="EHY17" s="84"/>
      <c r="EHZ17" s="84"/>
      <c r="EIA17" s="84"/>
      <c r="EIB17" s="84"/>
      <c r="EIC17" s="84"/>
      <c r="EID17" s="84"/>
      <c r="EIE17" s="84"/>
      <c r="EIF17" s="84"/>
      <c r="EIG17" s="84"/>
      <c r="EIH17" s="84"/>
      <c r="EII17" s="84"/>
      <c r="EIJ17" s="84"/>
      <c r="EIK17" s="84"/>
      <c r="EIL17" s="84"/>
      <c r="EIM17" s="84"/>
      <c r="EIN17" s="84"/>
      <c r="EIO17" s="84"/>
      <c r="EIP17" s="84"/>
      <c r="EIQ17" s="84"/>
      <c r="EIR17" s="84"/>
      <c r="EIS17" s="84"/>
      <c r="EIT17" s="84"/>
      <c r="EIU17" s="84"/>
      <c r="EIV17" s="84"/>
      <c r="EIW17" s="84"/>
      <c r="EIX17" s="84"/>
      <c r="EIY17" s="84"/>
      <c r="EIZ17" s="84"/>
      <c r="EJA17" s="84"/>
      <c r="EJB17" s="84"/>
      <c r="EJC17" s="84"/>
      <c r="EJD17" s="84"/>
      <c r="EJE17" s="84"/>
      <c r="EJF17" s="84"/>
      <c r="EJG17" s="84"/>
      <c r="EJH17" s="84"/>
      <c r="EJI17" s="84"/>
      <c r="EJJ17" s="84"/>
      <c r="EJK17" s="84"/>
      <c r="EJL17" s="84"/>
      <c r="EJM17" s="84"/>
      <c r="EJN17" s="84"/>
      <c r="EJO17" s="84"/>
      <c r="EJP17" s="84"/>
      <c r="EJQ17" s="84"/>
      <c r="EJR17" s="84"/>
      <c r="EJS17" s="84"/>
      <c r="EJT17" s="84"/>
      <c r="EJU17" s="84"/>
      <c r="EJV17" s="84"/>
      <c r="EJW17" s="84"/>
      <c r="EJX17" s="84"/>
      <c r="EJY17" s="84"/>
      <c r="EJZ17" s="84"/>
      <c r="EKA17" s="84"/>
      <c r="EKB17" s="84"/>
      <c r="EKC17" s="84"/>
      <c r="EKD17" s="84"/>
      <c r="EKE17" s="84"/>
      <c r="EKF17" s="84"/>
      <c r="EKG17" s="84"/>
      <c r="EKH17" s="84"/>
      <c r="EKI17" s="84"/>
      <c r="EKJ17" s="84"/>
      <c r="EKK17" s="84"/>
      <c r="EKL17" s="84"/>
      <c r="EKM17" s="84"/>
      <c r="EKN17" s="84"/>
      <c r="EKO17" s="84"/>
      <c r="EKP17" s="84"/>
      <c r="EKQ17" s="84"/>
      <c r="EKR17" s="84"/>
      <c r="EKS17" s="84"/>
      <c r="EKT17" s="84"/>
      <c r="EKU17" s="84"/>
      <c r="EKV17" s="84"/>
      <c r="EKW17" s="84"/>
      <c r="EKX17" s="84"/>
      <c r="EKY17" s="84"/>
      <c r="EKZ17" s="84"/>
      <c r="ELA17" s="84"/>
      <c r="ELB17" s="84"/>
      <c r="ELC17" s="84"/>
      <c r="ELD17" s="84"/>
      <c r="ELE17" s="84"/>
      <c r="ELF17" s="84"/>
      <c r="ELG17" s="84"/>
      <c r="ELH17" s="84"/>
      <c r="ELI17" s="84"/>
      <c r="ELJ17" s="84"/>
      <c r="ELK17" s="84"/>
      <c r="ELL17" s="84"/>
      <c r="ELM17" s="84"/>
      <c r="ELN17" s="84"/>
      <c r="ELO17" s="84"/>
      <c r="ELP17" s="84"/>
      <c r="ELQ17" s="84"/>
      <c r="ELR17" s="84"/>
      <c r="ELS17" s="84"/>
      <c r="ELT17" s="84"/>
      <c r="ELU17" s="84"/>
      <c r="ELV17" s="84"/>
      <c r="ELW17" s="84"/>
      <c r="ELX17" s="84"/>
      <c r="ELY17" s="84"/>
      <c r="ELZ17" s="84"/>
      <c r="EMA17" s="84"/>
      <c r="EMB17" s="84"/>
      <c r="EMC17" s="84"/>
      <c r="EMD17" s="84"/>
      <c r="EME17" s="84"/>
      <c r="EMF17" s="84"/>
      <c r="EMG17" s="84"/>
      <c r="EMH17" s="84"/>
      <c r="EMI17" s="84"/>
      <c r="EMJ17" s="84"/>
      <c r="EMK17" s="84"/>
      <c r="EML17" s="84"/>
      <c r="EMM17" s="84"/>
      <c r="EMN17" s="84"/>
      <c r="EMO17" s="84"/>
      <c r="EMP17" s="84"/>
      <c r="EMQ17" s="84"/>
      <c r="EMR17" s="84"/>
      <c r="EMS17" s="84"/>
      <c r="EMT17" s="84"/>
      <c r="EMU17" s="84"/>
      <c r="EMV17" s="84"/>
      <c r="EMW17" s="84"/>
      <c r="EMX17" s="84"/>
      <c r="EMY17" s="84"/>
      <c r="EMZ17" s="84"/>
      <c r="ENA17" s="84"/>
      <c r="ENB17" s="84"/>
      <c r="ENC17" s="84"/>
      <c r="END17" s="84"/>
      <c r="ENE17" s="84"/>
      <c r="ENF17" s="84"/>
      <c r="ENG17" s="84"/>
      <c r="ENH17" s="84"/>
      <c r="ENI17" s="84"/>
      <c r="ENJ17" s="84"/>
      <c r="ENK17" s="84"/>
      <c r="ENL17" s="84"/>
      <c r="ENM17" s="84"/>
      <c r="ENN17" s="84"/>
      <c r="ENO17" s="84"/>
      <c r="ENP17" s="84"/>
      <c r="ENQ17" s="84"/>
      <c r="ENR17" s="84"/>
      <c r="ENS17" s="84"/>
      <c r="ENT17" s="84"/>
      <c r="ENU17" s="84"/>
      <c r="ENV17" s="84"/>
      <c r="ENW17" s="84"/>
      <c r="ENX17" s="84"/>
      <c r="ENY17" s="84"/>
      <c r="ENZ17" s="84"/>
      <c r="EOA17" s="84"/>
      <c r="EOB17" s="84"/>
      <c r="EOC17" s="84"/>
      <c r="EOD17" s="84"/>
      <c r="EOE17" s="84"/>
      <c r="EOF17" s="84"/>
      <c r="EOG17" s="84"/>
      <c r="EOH17" s="84"/>
      <c r="EOI17" s="84"/>
      <c r="EOJ17" s="84"/>
      <c r="EOK17" s="84"/>
      <c r="EOL17" s="84"/>
      <c r="EOM17" s="84"/>
      <c r="EON17" s="84"/>
      <c r="EOO17" s="84"/>
      <c r="EOP17" s="84"/>
      <c r="EOQ17" s="84"/>
      <c r="EOR17" s="84"/>
      <c r="EOS17" s="84"/>
      <c r="EOT17" s="84"/>
      <c r="EOU17" s="84"/>
      <c r="EOV17" s="84"/>
      <c r="EOW17" s="84"/>
      <c r="EOX17" s="84"/>
      <c r="EOY17" s="84"/>
      <c r="EOZ17" s="84"/>
      <c r="EPA17" s="84"/>
      <c r="EPB17" s="84"/>
      <c r="EPC17" s="84"/>
      <c r="EPD17" s="84"/>
      <c r="EPE17" s="84"/>
      <c r="EPF17" s="84"/>
      <c r="EPG17" s="84"/>
      <c r="EPH17" s="84"/>
      <c r="EPI17" s="84"/>
      <c r="EPJ17" s="84"/>
      <c r="EPK17" s="84"/>
      <c r="EPL17" s="84"/>
      <c r="EPM17" s="84"/>
      <c r="EPN17" s="84"/>
      <c r="EPO17" s="84"/>
      <c r="EPP17" s="84"/>
      <c r="EPQ17" s="84"/>
      <c r="EPR17" s="84"/>
      <c r="EPS17" s="84"/>
      <c r="EPT17" s="84"/>
      <c r="EPU17" s="84"/>
      <c r="EPV17" s="84"/>
      <c r="EPW17" s="84"/>
      <c r="EPX17" s="84"/>
      <c r="EPY17" s="84"/>
      <c r="EPZ17" s="84"/>
      <c r="EQA17" s="84"/>
      <c r="EQB17" s="84"/>
      <c r="EQC17" s="84"/>
      <c r="EQD17" s="84"/>
      <c r="EQE17" s="84"/>
      <c r="EQF17" s="84"/>
      <c r="EQG17" s="84"/>
      <c r="EQH17" s="84"/>
      <c r="EQI17" s="84"/>
      <c r="EQJ17" s="84"/>
      <c r="EQK17" s="84"/>
      <c r="EQL17" s="84"/>
      <c r="EQM17" s="84"/>
      <c r="EQN17" s="84"/>
      <c r="EQO17" s="84"/>
      <c r="EQP17" s="84"/>
      <c r="EQQ17" s="84"/>
      <c r="EQR17" s="84"/>
      <c r="EQS17" s="84"/>
      <c r="EQT17" s="84"/>
      <c r="EQU17" s="84"/>
      <c r="EQV17" s="84"/>
      <c r="EQW17" s="84"/>
      <c r="EQX17" s="84"/>
      <c r="EQY17" s="84"/>
      <c r="EQZ17" s="84"/>
      <c r="ERA17" s="84"/>
      <c r="ERB17" s="84"/>
      <c r="ERC17" s="84"/>
      <c r="ERD17" s="84"/>
      <c r="ERE17" s="84"/>
      <c r="ERF17" s="84"/>
      <c r="ERG17" s="84"/>
      <c r="ERH17" s="84"/>
      <c r="ERI17" s="84"/>
      <c r="ERJ17" s="84"/>
      <c r="ERK17" s="84"/>
      <c r="ERL17" s="84"/>
      <c r="ERM17" s="84"/>
      <c r="ERN17" s="84"/>
      <c r="ERO17" s="84"/>
      <c r="ERP17" s="84"/>
      <c r="ERQ17" s="84"/>
      <c r="ERR17" s="84"/>
      <c r="ERS17" s="84"/>
      <c r="ERT17" s="84"/>
      <c r="ERU17" s="84"/>
      <c r="ERV17" s="84"/>
      <c r="ERW17" s="84"/>
      <c r="ERX17" s="84"/>
      <c r="ERY17" s="84"/>
      <c r="ERZ17" s="84"/>
      <c r="ESA17" s="84"/>
      <c r="ESB17" s="84"/>
      <c r="ESC17" s="84"/>
      <c r="ESD17" s="84"/>
      <c r="ESE17" s="84"/>
      <c r="ESF17" s="84"/>
      <c r="ESG17" s="84"/>
      <c r="ESH17" s="84"/>
      <c r="ESI17" s="84"/>
      <c r="ESJ17" s="84"/>
      <c r="ESK17" s="84"/>
      <c r="ESL17" s="84"/>
      <c r="ESM17" s="84"/>
      <c r="ESN17" s="84"/>
      <c r="ESO17" s="84"/>
      <c r="ESP17" s="84"/>
      <c r="ESQ17" s="84"/>
      <c r="ESR17" s="84"/>
      <c r="ESS17" s="84"/>
      <c r="EST17" s="84"/>
      <c r="ESU17" s="84"/>
      <c r="ESV17" s="84"/>
      <c r="ESW17" s="84"/>
      <c r="ESX17" s="84"/>
      <c r="ESY17" s="84"/>
      <c r="ESZ17" s="84"/>
      <c r="ETA17" s="84"/>
      <c r="ETB17" s="84"/>
      <c r="ETC17" s="84"/>
      <c r="ETD17" s="84"/>
      <c r="ETE17" s="84"/>
      <c r="ETF17" s="84"/>
      <c r="ETG17" s="84"/>
      <c r="ETH17" s="84"/>
      <c r="ETI17" s="84"/>
      <c r="ETJ17" s="84"/>
      <c r="ETK17" s="84"/>
      <c r="ETL17" s="84"/>
      <c r="ETM17" s="84"/>
      <c r="ETN17" s="84"/>
      <c r="ETO17" s="84"/>
      <c r="ETP17" s="84"/>
      <c r="ETQ17" s="84"/>
      <c r="ETR17" s="84"/>
      <c r="ETS17" s="84"/>
      <c r="ETT17" s="84"/>
      <c r="ETU17" s="84"/>
      <c r="ETV17" s="84"/>
      <c r="ETW17" s="84"/>
      <c r="ETX17" s="84"/>
      <c r="ETY17" s="84"/>
      <c r="ETZ17" s="84"/>
      <c r="EUA17" s="84"/>
      <c r="EUB17" s="84"/>
      <c r="EUC17" s="84"/>
      <c r="EUD17" s="84"/>
      <c r="EUE17" s="84"/>
      <c r="EUF17" s="84"/>
      <c r="EUG17" s="84"/>
      <c r="EUH17" s="84"/>
      <c r="EUI17" s="84"/>
      <c r="EUJ17" s="84"/>
      <c r="EUK17" s="84"/>
      <c r="EUL17" s="84"/>
      <c r="EUM17" s="84"/>
      <c r="EUN17" s="84"/>
      <c r="EUO17" s="84"/>
      <c r="EUP17" s="84"/>
      <c r="EUQ17" s="84"/>
      <c r="EUR17" s="84"/>
      <c r="EUS17" s="84"/>
      <c r="EUT17" s="84"/>
      <c r="EUU17" s="84"/>
      <c r="EUV17" s="84"/>
      <c r="EUW17" s="84"/>
      <c r="EUX17" s="84"/>
      <c r="EUY17" s="84"/>
      <c r="EUZ17" s="84"/>
      <c r="EVA17" s="84"/>
      <c r="EVB17" s="84"/>
      <c r="EVC17" s="84"/>
      <c r="EVD17" s="84"/>
      <c r="EVE17" s="84"/>
      <c r="EVF17" s="84"/>
      <c r="EVG17" s="84"/>
      <c r="EVH17" s="84"/>
      <c r="EVI17" s="84"/>
      <c r="EVJ17" s="84"/>
      <c r="EVK17" s="84"/>
      <c r="EVL17" s="84"/>
      <c r="EVM17" s="84"/>
      <c r="EVN17" s="84"/>
      <c r="EVO17" s="84"/>
      <c r="EVP17" s="84"/>
      <c r="EVQ17" s="84"/>
      <c r="EVR17" s="84"/>
      <c r="EVS17" s="84"/>
      <c r="EVT17" s="84"/>
      <c r="EVU17" s="84"/>
      <c r="EVV17" s="84"/>
      <c r="EVW17" s="84"/>
      <c r="EVX17" s="84"/>
      <c r="EVY17" s="84"/>
      <c r="EVZ17" s="84"/>
      <c r="EWA17" s="84"/>
      <c r="EWB17" s="84"/>
      <c r="EWC17" s="84"/>
      <c r="EWD17" s="84"/>
      <c r="EWE17" s="84"/>
      <c r="EWF17" s="84"/>
      <c r="EWG17" s="84"/>
      <c r="EWH17" s="84"/>
      <c r="EWI17" s="84"/>
      <c r="EWJ17" s="84"/>
      <c r="EWK17" s="84"/>
      <c r="EWL17" s="84"/>
      <c r="EWM17" s="84"/>
      <c r="EWN17" s="84"/>
      <c r="EWO17" s="84"/>
      <c r="EWP17" s="84"/>
      <c r="EWQ17" s="84"/>
      <c r="EWR17" s="84"/>
      <c r="EWS17" s="84"/>
      <c r="EWT17" s="84"/>
      <c r="EWU17" s="84"/>
      <c r="EWV17" s="84"/>
      <c r="EWW17" s="84"/>
      <c r="EWX17" s="84"/>
      <c r="EWY17" s="84"/>
      <c r="EWZ17" s="84"/>
      <c r="EXA17" s="84"/>
      <c r="EXB17" s="84"/>
      <c r="EXC17" s="84"/>
      <c r="EXD17" s="84"/>
      <c r="EXE17" s="84"/>
      <c r="EXF17" s="84"/>
      <c r="EXG17" s="84"/>
      <c r="EXH17" s="84"/>
      <c r="EXI17" s="84"/>
      <c r="EXJ17" s="84"/>
      <c r="EXK17" s="84"/>
      <c r="EXL17" s="84"/>
      <c r="EXM17" s="84"/>
      <c r="EXN17" s="84"/>
      <c r="EXO17" s="84"/>
      <c r="EXP17" s="84"/>
      <c r="EXQ17" s="84"/>
      <c r="EXR17" s="84"/>
      <c r="EXS17" s="84"/>
      <c r="EXT17" s="84"/>
      <c r="EXU17" s="84"/>
      <c r="EXV17" s="84"/>
      <c r="EXW17" s="84"/>
      <c r="EXX17" s="84"/>
      <c r="EXY17" s="84"/>
      <c r="EXZ17" s="84"/>
      <c r="EYA17" s="84"/>
      <c r="EYB17" s="84"/>
      <c r="EYC17" s="84"/>
      <c r="EYD17" s="84"/>
      <c r="EYE17" s="84"/>
      <c r="EYF17" s="84"/>
      <c r="EYG17" s="84"/>
      <c r="EYH17" s="84"/>
      <c r="EYI17" s="84"/>
      <c r="EYJ17" s="84"/>
      <c r="EYK17" s="84"/>
      <c r="EYL17" s="84"/>
      <c r="EYM17" s="84"/>
      <c r="EYN17" s="84"/>
      <c r="EYO17" s="84"/>
      <c r="EYP17" s="84"/>
      <c r="EYQ17" s="84"/>
      <c r="EYR17" s="84"/>
      <c r="EYS17" s="84"/>
      <c r="EYT17" s="84"/>
      <c r="EYU17" s="84"/>
      <c r="EYV17" s="84"/>
      <c r="EYW17" s="84"/>
      <c r="EYX17" s="84"/>
      <c r="EYY17" s="84"/>
      <c r="EYZ17" s="84"/>
      <c r="EZA17" s="84"/>
      <c r="EZB17" s="84"/>
      <c r="EZC17" s="84"/>
      <c r="EZD17" s="84"/>
      <c r="EZE17" s="84"/>
      <c r="EZF17" s="84"/>
      <c r="EZG17" s="84"/>
      <c r="EZH17" s="84"/>
      <c r="EZI17" s="84"/>
      <c r="EZJ17" s="84"/>
      <c r="EZK17" s="84"/>
      <c r="EZL17" s="84"/>
      <c r="EZM17" s="84"/>
      <c r="EZN17" s="84"/>
      <c r="EZO17" s="84"/>
      <c r="EZP17" s="84"/>
      <c r="EZQ17" s="84"/>
      <c r="EZR17" s="84"/>
      <c r="EZS17" s="84"/>
      <c r="EZT17" s="84"/>
      <c r="EZU17" s="84"/>
      <c r="EZV17" s="84"/>
      <c r="EZW17" s="84"/>
      <c r="EZX17" s="84"/>
      <c r="EZY17" s="84"/>
      <c r="EZZ17" s="84"/>
      <c r="FAA17" s="84"/>
      <c r="FAB17" s="84"/>
      <c r="FAC17" s="84"/>
      <c r="FAD17" s="84"/>
      <c r="FAE17" s="84"/>
      <c r="FAF17" s="84"/>
      <c r="FAG17" s="84"/>
      <c r="FAH17" s="84"/>
      <c r="FAI17" s="84"/>
      <c r="FAJ17" s="84"/>
      <c r="FAK17" s="84"/>
      <c r="FAL17" s="84"/>
      <c r="FAM17" s="84"/>
      <c r="FAN17" s="84"/>
      <c r="FAO17" s="84"/>
      <c r="FAP17" s="84"/>
      <c r="FAQ17" s="84"/>
      <c r="FAR17" s="84"/>
      <c r="FAS17" s="84"/>
      <c r="FAT17" s="84"/>
      <c r="FAU17" s="84"/>
      <c r="FAV17" s="84"/>
      <c r="FAW17" s="84"/>
      <c r="FAX17" s="84"/>
      <c r="FAY17" s="84"/>
      <c r="FAZ17" s="84"/>
      <c r="FBA17" s="84"/>
      <c r="FBB17" s="84"/>
      <c r="FBC17" s="84"/>
      <c r="FBD17" s="84"/>
      <c r="FBE17" s="84"/>
      <c r="FBF17" s="84"/>
      <c r="FBG17" s="84"/>
      <c r="FBH17" s="84"/>
      <c r="FBI17" s="84"/>
      <c r="FBJ17" s="84"/>
      <c r="FBK17" s="84"/>
      <c r="FBL17" s="84"/>
      <c r="FBM17" s="84"/>
      <c r="FBN17" s="84"/>
      <c r="FBO17" s="84"/>
      <c r="FBP17" s="84"/>
      <c r="FBQ17" s="84"/>
      <c r="FBR17" s="84"/>
      <c r="FBS17" s="84"/>
      <c r="FBT17" s="84"/>
      <c r="FBU17" s="84"/>
      <c r="FBV17" s="84"/>
      <c r="FBW17" s="84"/>
      <c r="FBX17" s="84"/>
      <c r="FBY17" s="84"/>
      <c r="FBZ17" s="84"/>
      <c r="FCA17" s="84"/>
      <c r="FCB17" s="84"/>
      <c r="FCC17" s="84"/>
      <c r="FCD17" s="84"/>
      <c r="FCE17" s="84"/>
      <c r="FCF17" s="84"/>
      <c r="FCG17" s="84"/>
      <c r="FCH17" s="84"/>
      <c r="FCI17" s="84"/>
      <c r="FCJ17" s="84"/>
      <c r="FCK17" s="84"/>
      <c r="FCL17" s="84"/>
      <c r="FCM17" s="84"/>
      <c r="FCN17" s="84"/>
      <c r="FCO17" s="84"/>
      <c r="FCP17" s="84"/>
      <c r="FCQ17" s="84"/>
      <c r="FCR17" s="84"/>
      <c r="FCS17" s="84"/>
      <c r="FCT17" s="84"/>
      <c r="FCU17" s="84"/>
      <c r="FCV17" s="84"/>
      <c r="FCW17" s="84"/>
      <c r="FCX17" s="84"/>
      <c r="FCY17" s="84"/>
      <c r="FCZ17" s="84"/>
      <c r="FDA17" s="84"/>
      <c r="FDB17" s="84"/>
      <c r="FDC17" s="84"/>
      <c r="FDD17" s="84"/>
      <c r="FDE17" s="84"/>
      <c r="FDF17" s="84"/>
      <c r="FDG17" s="84"/>
      <c r="FDH17" s="84"/>
      <c r="FDI17" s="84"/>
      <c r="FDJ17" s="84"/>
      <c r="FDK17" s="84"/>
      <c r="FDL17" s="84"/>
      <c r="FDM17" s="84"/>
      <c r="FDN17" s="84"/>
      <c r="FDO17" s="84"/>
      <c r="FDP17" s="84"/>
      <c r="FDQ17" s="84"/>
      <c r="FDR17" s="84"/>
      <c r="FDS17" s="84"/>
      <c r="FDT17" s="84"/>
      <c r="FDU17" s="84"/>
      <c r="FDV17" s="84"/>
      <c r="FDW17" s="84"/>
      <c r="FDX17" s="84"/>
      <c r="FDY17" s="84"/>
      <c r="FDZ17" s="84"/>
      <c r="FEA17" s="84"/>
      <c r="FEB17" s="84"/>
      <c r="FEC17" s="84"/>
      <c r="FED17" s="84"/>
      <c r="FEE17" s="84"/>
      <c r="FEF17" s="84"/>
      <c r="FEG17" s="84"/>
      <c r="FEH17" s="84"/>
      <c r="FEI17" s="84"/>
      <c r="FEJ17" s="84"/>
      <c r="FEK17" s="84"/>
      <c r="FEL17" s="84"/>
      <c r="FEM17" s="84"/>
      <c r="FEN17" s="84"/>
      <c r="FEO17" s="84"/>
      <c r="FEP17" s="84"/>
      <c r="FEQ17" s="84"/>
      <c r="FER17" s="84"/>
      <c r="FES17" s="84"/>
      <c r="FET17" s="84"/>
      <c r="FEU17" s="84"/>
      <c r="FEV17" s="84"/>
      <c r="FEW17" s="84"/>
      <c r="FEX17" s="84"/>
      <c r="FEY17" s="84"/>
      <c r="FEZ17" s="84"/>
      <c r="FFA17" s="84"/>
      <c r="FFB17" s="84"/>
      <c r="FFC17" s="84"/>
      <c r="FFD17" s="84"/>
      <c r="FFE17" s="84"/>
      <c r="FFF17" s="84"/>
      <c r="FFG17" s="84"/>
      <c r="FFH17" s="84"/>
      <c r="FFI17" s="84"/>
      <c r="FFJ17" s="84"/>
      <c r="FFK17" s="84"/>
      <c r="FFL17" s="84"/>
      <c r="FFM17" s="84"/>
      <c r="FFN17" s="84"/>
      <c r="FFO17" s="84"/>
      <c r="FFP17" s="84"/>
      <c r="FFQ17" s="84"/>
      <c r="FFR17" s="84"/>
      <c r="FFS17" s="84"/>
      <c r="FFT17" s="84"/>
      <c r="FFU17" s="84"/>
      <c r="FFV17" s="84"/>
      <c r="FFW17" s="84"/>
      <c r="FFX17" s="84"/>
      <c r="FFY17" s="84"/>
      <c r="FFZ17" s="84"/>
      <c r="FGA17" s="84"/>
      <c r="FGB17" s="84"/>
      <c r="FGC17" s="84"/>
      <c r="FGD17" s="84"/>
      <c r="FGE17" s="84"/>
      <c r="FGF17" s="84"/>
      <c r="FGG17" s="84"/>
      <c r="FGH17" s="84"/>
      <c r="FGI17" s="84"/>
      <c r="FGJ17" s="84"/>
      <c r="FGK17" s="84"/>
      <c r="FGL17" s="84"/>
      <c r="FGM17" s="84"/>
      <c r="FGN17" s="84"/>
      <c r="FGO17" s="84"/>
      <c r="FGP17" s="84"/>
      <c r="FGQ17" s="84"/>
      <c r="FGR17" s="84"/>
      <c r="FGS17" s="84"/>
      <c r="FGT17" s="84"/>
      <c r="FGU17" s="84"/>
      <c r="FGV17" s="84"/>
      <c r="FGW17" s="84"/>
      <c r="FGX17" s="84"/>
      <c r="FGY17" s="84"/>
      <c r="FGZ17" s="84"/>
      <c r="FHA17" s="84"/>
      <c r="FHB17" s="84"/>
      <c r="FHC17" s="84"/>
      <c r="FHD17" s="84"/>
      <c r="FHE17" s="84"/>
      <c r="FHF17" s="84"/>
      <c r="FHG17" s="84"/>
      <c r="FHH17" s="84"/>
      <c r="FHI17" s="84"/>
      <c r="FHJ17" s="84"/>
      <c r="FHK17" s="84"/>
      <c r="FHL17" s="84"/>
      <c r="FHM17" s="84"/>
      <c r="FHN17" s="84"/>
      <c r="FHO17" s="84"/>
      <c r="FHP17" s="84"/>
      <c r="FHQ17" s="84"/>
      <c r="FHR17" s="84"/>
      <c r="FHS17" s="84"/>
      <c r="FHT17" s="84"/>
      <c r="FHU17" s="84"/>
      <c r="FHV17" s="84"/>
      <c r="FHW17" s="84"/>
      <c r="FHX17" s="84"/>
      <c r="FHY17" s="84"/>
      <c r="FHZ17" s="84"/>
      <c r="FIA17" s="84"/>
      <c r="FIB17" s="84"/>
      <c r="FIC17" s="84"/>
      <c r="FID17" s="84"/>
      <c r="FIE17" s="84"/>
      <c r="FIF17" s="84"/>
      <c r="FIG17" s="84"/>
      <c r="FIH17" s="84"/>
      <c r="FII17" s="84"/>
      <c r="FIJ17" s="84"/>
      <c r="FIK17" s="84"/>
      <c r="FIL17" s="84"/>
      <c r="FIM17" s="84"/>
      <c r="FIN17" s="84"/>
      <c r="FIO17" s="84"/>
      <c r="FIP17" s="84"/>
      <c r="FIQ17" s="84"/>
      <c r="FIR17" s="84"/>
      <c r="FIS17" s="84"/>
      <c r="FIT17" s="84"/>
      <c r="FIU17" s="84"/>
      <c r="FIV17" s="84"/>
      <c r="FIW17" s="84"/>
      <c r="FIX17" s="84"/>
      <c r="FIY17" s="84"/>
      <c r="FIZ17" s="84"/>
      <c r="FJA17" s="84"/>
      <c r="FJB17" s="84"/>
      <c r="FJC17" s="84"/>
      <c r="FJD17" s="84"/>
      <c r="FJE17" s="84"/>
      <c r="FJF17" s="84"/>
      <c r="FJG17" s="84"/>
      <c r="FJH17" s="84"/>
      <c r="FJI17" s="84"/>
      <c r="FJJ17" s="84"/>
      <c r="FJK17" s="84"/>
      <c r="FJL17" s="84"/>
      <c r="FJM17" s="84"/>
      <c r="FJN17" s="84"/>
      <c r="FJO17" s="84"/>
      <c r="FJP17" s="84"/>
      <c r="FJQ17" s="84"/>
      <c r="FJR17" s="84"/>
      <c r="FJS17" s="84"/>
      <c r="FJT17" s="84"/>
      <c r="FJU17" s="84"/>
      <c r="FJV17" s="84"/>
      <c r="FJW17" s="84"/>
      <c r="FJX17" s="84"/>
      <c r="FJY17" s="84"/>
      <c r="FJZ17" s="84"/>
      <c r="FKA17" s="84"/>
      <c r="FKB17" s="84"/>
      <c r="FKC17" s="84"/>
      <c r="FKD17" s="84"/>
      <c r="FKE17" s="84"/>
      <c r="FKF17" s="84"/>
      <c r="FKG17" s="84"/>
      <c r="FKH17" s="84"/>
      <c r="FKI17" s="84"/>
      <c r="FKJ17" s="84"/>
      <c r="FKK17" s="84"/>
      <c r="FKL17" s="84"/>
      <c r="FKM17" s="84"/>
      <c r="FKN17" s="84"/>
      <c r="FKO17" s="84"/>
      <c r="FKP17" s="84"/>
      <c r="FKQ17" s="84"/>
      <c r="FKR17" s="84"/>
      <c r="FKS17" s="84"/>
      <c r="FKT17" s="84"/>
      <c r="FKU17" s="84"/>
      <c r="FKV17" s="84"/>
      <c r="FKW17" s="84"/>
      <c r="FKX17" s="84"/>
      <c r="FKY17" s="84"/>
      <c r="FKZ17" s="84"/>
      <c r="FLA17" s="84"/>
      <c r="FLB17" s="84"/>
      <c r="FLC17" s="84"/>
      <c r="FLD17" s="84"/>
      <c r="FLE17" s="84"/>
      <c r="FLF17" s="84"/>
      <c r="FLG17" s="84"/>
      <c r="FLH17" s="84"/>
      <c r="FLI17" s="84"/>
      <c r="FLJ17" s="84"/>
      <c r="FLK17" s="84"/>
      <c r="FLL17" s="84"/>
      <c r="FLM17" s="84"/>
      <c r="FLN17" s="84"/>
      <c r="FLO17" s="84"/>
      <c r="FLP17" s="84"/>
      <c r="FLQ17" s="84"/>
      <c r="FLR17" s="84"/>
      <c r="FLS17" s="84"/>
      <c r="FLT17" s="84"/>
      <c r="FLU17" s="84"/>
      <c r="FLV17" s="84"/>
      <c r="FLW17" s="84"/>
      <c r="FLX17" s="84"/>
      <c r="FLY17" s="84"/>
      <c r="FLZ17" s="84"/>
      <c r="FMA17" s="84"/>
      <c r="FMB17" s="84"/>
      <c r="FMC17" s="84"/>
      <c r="FMD17" s="84"/>
      <c r="FME17" s="84"/>
      <c r="FMF17" s="84"/>
      <c r="FMG17" s="84"/>
      <c r="FMH17" s="84"/>
      <c r="FMI17" s="84"/>
      <c r="FMJ17" s="84"/>
      <c r="FMK17" s="84"/>
      <c r="FML17" s="84"/>
      <c r="FMM17" s="84"/>
      <c r="FMN17" s="84"/>
      <c r="FMO17" s="84"/>
      <c r="FMP17" s="84"/>
      <c r="FMQ17" s="84"/>
      <c r="FMR17" s="84"/>
      <c r="FMS17" s="84"/>
      <c r="FMT17" s="84"/>
      <c r="FMU17" s="84"/>
      <c r="FMV17" s="84"/>
      <c r="FMW17" s="84"/>
      <c r="FMX17" s="84"/>
      <c r="FMY17" s="84"/>
      <c r="FMZ17" s="84"/>
      <c r="FNA17" s="84"/>
      <c r="FNB17" s="84"/>
      <c r="FNC17" s="84"/>
      <c r="FND17" s="84"/>
      <c r="FNE17" s="84"/>
      <c r="FNF17" s="84"/>
      <c r="FNG17" s="84"/>
      <c r="FNH17" s="84"/>
      <c r="FNI17" s="84"/>
      <c r="FNJ17" s="84"/>
      <c r="FNK17" s="84"/>
      <c r="FNL17" s="84"/>
      <c r="FNM17" s="84"/>
      <c r="FNN17" s="84"/>
      <c r="FNO17" s="84"/>
      <c r="FNP17" s="84"/>
      <c r="FNQ17" s="84"/>
      <c r="FNR17" s="84"/>
      <c r="FNS17" s="84"/>
      <c r="FNT17" s="84"/>
      <c r="FNU17" s="84"/>
      <c r="FNV17" s="84"/>
      <c r="FNW17" s="84"/>
      <c r="FNX17" s="84"/>
      <c r="FNY17" s="84"/>
      <c r="FNZ17" s="84"/>
      <c r="FOA17" s="84"/>
      <c r="FOB17" s="84"/>
      <c r="FOC17" s="84"/>
      <c r="FOD17" s="84"/>
      <c r="FOE17" s="84"/>
      <c r="FOF17" s="84"/>
      <c r="FOG17" s="84"/>
      <c r="FOH17" s="84"/>
      <c r="FOI17" s="84"/>
      <c r="FOJ17" s="84"/>
      <c r="FOK17" s="84"/>
      <c r="FOL17" s="84"/>
      <c r="FOM17" s="84"/>
      <c r="FON17" s="84"/>
      <c r="FOO17" s="84"/>
      <c r="FOP17" s="84"/>
      <c r="FOQ17" s="84"/>
      <c r="FOR17" s="84"/>
      <c r="FOS17" s="84"/>
      <c r="FOT17" s="84"/>
      <c r="FOU17" s="84"/>
      <c r="FOV17" s="84"/>
      <c r="FOW17" s="84"/>
      <c r="FOX17" s="84"/>
      <c r="FOY17" s="84"/>
      <c r="FOZ17" s="84"/>
      <c r="FPA17" s="84"/>
      <c r="FPB17" s="84"/>
      <c r="FPC17" s="84"/>
      <c r="FPD17" s="84"/>
      <c r="FPE17" s="84"/>
      <c r="FPF17" s="84"/>
      <c r="FPG17" s="84"/>
      <c r="FPH17" s="84"/>
      <c r="FPI17" s="84"/>
      <c r="FPJ17" s="84"/>
      <c r="FPK17" s="84"/>
      <c r="FPL17" s="84"/>
      <c r="FPM17" s="84"/>
      <c r="FPN17" s="84"/>
      <c r="FPO17" s="84"/>
      <c r="FPP17" s="84"/>
      <c r="FPQ17" s="84"/>
      <c r="FPR17" s="84"/>
      <c r="FPS17" s="84"/>
      <c r="FPT17" s="84"/>
      <c r="FPU17" s="84"/>
      <c r="FPV17" s="84"/>
      <c r="FPW17" s="84"/>
      <c r="FPX17" s="84"/>
      <c r="FPY17" s="84"/>
      <c r="FPZ17" s="84"/>
      <c r="FQA17" s="84"/>
      <c r="FQB17" s="84"/>
      <c r="FQC17" s="84"/>
      <c r="FQD17" s="84"/>
      <c r="FQE17" s="84"/>
      <c r="FQF17" s="84"/>
      <c r="FQG17" s="84"/>
      <c r="FQH17" s="84"/>
      <c r="FQI17" s="84"/>
      <c r="FQJ17" s="84"/>
      <c r="FQK17" s="84"/>
      <c r="FQL17" s="84"/>
      <c r="FQM17" s="84"/>
      <c r="FQN17" s="84"/>
      <c r="FQO17" s="84"/>
      <c r="FQP17" s="84"/>
      <c r="FQQ17" s="84"/>
      <c r="FQR17" s="84"/>
      <c r="FQS17" s="84"/>
      <c r="FQT17" s="84"/>
      <c r="FQU17" s="84"/>
      <c r="FQV17" s="84"/>
      <c r="FQW17" s="84"/>
      <c r="FQX17" s="84"/>
      <c r="FQY17" s="84"/>
      <c r="FQZ17" s="84"/>
      <c r="FRA17" s="84"/>
      <c r="FRB17" s="84"/>
      <c r="FRC17" s="84"/>
      <c r="FRD17" s="84"/>
      <c r="FRE17" s="84"/>
      <c r="FRF17" s="84"/>
      <c r="FRG17" s="84"/>
      <c r="FRH17" s="84"/>
      <c r="FRI17" s="84"/>
      <c r="FRJ17" s="84"/>
      <c r="FRK17" s="84"/>
      <c r="FRL17" s="84"/>
      <c r="FRM17" s="84"/>
      <c r="FRN17" s="84"/>
      <c r="FRO17" s="84"/>
      <c r="FRP17" s="84"/>
      <c r="FRQ17" s="84"/>
      <c r="FRR17" s="84"/>
      <c r="FRS17" s="84"/>
      <c r="FRT17" s="84"/>
      <c r="FRU17" s="84"/>
      <c r="FRV17" s="84"/>
      <c r="FRW17" s="84"/>
      <c r="FRX17" s="84"/>
      <c r="FRY17" s="84"/>
      <c r="FRZ17" s="84"/>
      <c r="FSA17" s="84"/>
      <c r="FSB17" s="84"/>
      <c r="FSC17" s="84"/>
      <c r="FSD17" s="84"/>
      <c r="FSE17" s="84"/>
      <c r="FSF17" s="84"/>
      <c r="FSG17" s="84"/>
      <c r="FSH17" s="84"/>
      <c r="FSI17" s="84"/>
      <c r="FSJ17" s="84"/>
      <c r="FSK17" s="84"/>
      <c r="FSL17" s="84"/>
      <c r="FSM17" s="84"/>
      <c r="FSN17" s="84"/>
      <c r="FSO17" s="84"/>
      <c r="FSP17" s="84"/>
      <c r="FSQ17" s="84"/>
      <c r="FSR17" s="84"/>
      <c r="FSS17" s="84"/>
      <c r="FST17" s="84"/>
      <c r="FSU17" s="84"/>
      <c r="FSV17" s="84"/>
      <c r="FSW17" s="84"/>
      <c r="FSX17" s="84"/>
      <c r="FSY17" s="84"/>
      <c r="FSZ17" s="84"/>
      <c r="FTA17" s="84"/>
      <c r="FTB17" s="84"/>
      <c r="FTC17" s="84"/>
      <c r="FTD17" s="84"/>
      <c r="FTE17" s="84"/>
      <c r="FTF17" s="84"/>
      <c r="FTG17" s="84"/>
      <c r="FTH17" s="84"/>
      <c r="FTI17" s="84"/>
      <c r="FTJ17" s="84"/>
      <c r="FTK17" s="84"/>
      <c r="FTL17" s="84"/>
      <c r="FTM17" s="84"/>
      <c r="FTN17" s="84"/>
      <c r="FTO17" s="84"/>
      <c r="FTP17" s="84"/>
      <c r="FTQ17" s="84"/>
      <c r="FTR17" s="84"/>
      <c r="FTS17" s="84"/>
      <c r="FTT17" s="84"/>
      <c r="FTU17" s="84"/>
      <c r="FTV17" s="84"/>
      <c r="FTW17" s="84"/>
      <c r="FTX17" s="84"/>
      <c r="FTY17" s="84"/>
      <c r="FTZ17" s="84"/>
      <c r="FUA17" s="84"/>
      <c r="FUB17" s="84"/>
      <c r="FUC17" s="84"/>
      <c r="FUD17" s="84"/>
      <c r="FUE17" s="84"/>
      <c r="FUF17" s="84"/>
      <c r="FUG17" s="84"/>
      <c r="FUH17" s="84"/>
      <c r="FUI17" s="84"/>
      <c r="FUJ17" s="84"/>
      <c r="FUK17" s="84"/>
      <c r="FUL17" s="84"/>
      <c r="FUM17" s="84"/>
      <c r="FUN17" s="84"/>
      <c r="FUO17" s="84"/>
      <c r="FUP17" s="84"/>
      <c r="FUQ17" s="84"/>
      <c r="FUR17" s="84"/>
      <c r="FUS17" s="84"/>
      <c r="FUT17" s="84"/>
      <c r="FUU17" s="84"/>
      <c r="FUV17" s="84"/>
      <c r="FUW17" s="84"/>
      <c r="FUX17" s="84"/>
      <c r="FUY17" s="84"/>
      <c r="FUZ17" s="84"/>
      <c r="FVA17" s="84"/>
      <c r="FVB17" s="84"/>
      <c r="FVC17" s="84"/>
      <c r="FVD17" s="84"/>
      <c r="FVE17" s="84"/>
      <c r="FVF17" s="84"/>
      <c r="FVG17" s="84"/>
      <c r="FVH17" s="84"/>
      <c r="FVI17" s="84"/>
      <c r="FVJ17" s="84"/>
      <c r="FVK17" s="84"/>
      <c r="FVL17" s="84"/>
      <c r="FVM17" s="84"/>
      <c r="FVN17" s="84"/>
      <c r="FVO17" s="84"/>
      <c r="FVP17" s="84"/>
      <c r="FVQ17" s="84"/>
      <c r="FVR17" s="84"/>
      <c r="FVS17" s="84"/>
      <c r="FVT17" s="84"/>
      <c r="FVU17" s="84"/>
      <c r="FVV17" s="84"/>
      <c r="FVW17" s="84"/>
      <c r="FVX17" s="84"/>
      <c r="FVY17" s="84"/>
      <c r="FVZ17" s="84"/>
      <c r="FWA17" s="84"/>
      <c r="FWB17" s="84"/>
      <c r="FWC17" s="84"/>
      <c r="FWD17" s="84"/>
      <c r="FWE17" s="84"/>
      <c r="FWF17" s="84"/>
      <c r="FWG17" s="84"/>
      <c r="FWH17" s="84"/>
      <c r="FWI17" s="84"/>
      <c r="FWJ17" s="84"/>
      <c r="FWK17" s="84"/>
      <c r="FWL17" s="84"/>
      <c r="FWM17" s="84"/>
      <c r="FWN17" s="84"/>
      <c r="FWO17" s="84"/>
      <c r="FWP17" s="84"/>
      <c r="FWQ17" s="84"/>
      <c r="FWR17" s="84"/>
      <c r="FWS17" s="84"/>
      <c r="FWT17" s="84"/>
      <c r="FWU17" s="84"/>
      <c r="FWV17" s="84"/>
      <c r="FWW17" s="84"/>
      <c r="FWX17" s="84"/>
      <c r="FWY17" s="84"/>
      <c r="FWZ17" s="84"/>
      <c r="FXA17" s="84"/>
      <c r="FXB17" s="84"/>
      <c r="FXC17" s="84"/>
      <c r="FXD17" s="84"/>
      <c r="FXE17" s="84"/>
      <c r="FXF17" s="84"/>
      <c r="FXG17" s="84"/>
      <c r="FXH17" s="84"/>
      <c r="FXI17" s="84"/>
      <c r="FXJ17" s="84"/>
      <c r="FXK17" s="84"/>
      <c r="FXL17" s="84"/>
      <c r="FXM17" s="84"/>
      <c r="FXN17" s="84"/>
      <c r="FXO17" s="84"/>
      <c r="FXP17" s="84"/>
      <c r="FXQ17" s="84"/>
      <c r="FXR17" s="84"/>
      <c r="FXS17" s="84"/>
      <c r="FXT17" s="84"/>
      <c r="FXU17" s="84"/>
      <c r="FXV17" s="84"/>
      <c r="FXW17" s="84"/>
      <c r="FXX17" s="84"/>
      <c r="FXY17" s="84"/>
      <c r="FXZ17" s="84"/>
      <c r="FYA17" s="84"/>
      <c r="FYB17" s="84"/>
      <c r="FYC17" s="84"/>
      <c r="FYD17" s="84"/>
      <c r="FYE17" s="84"/>
      <c r="FYF17" s="84"/>
      <c r="FYG17" s="84"/>
      <c r="FYH17" s="84"/>
      <c r="FYI17" s="84"/>
      <c r="FYJ17" s="84"/>
      <c r="FYK17" s="84"/>
      <c r="FYL17" s="84"/>
      <c r="FYM17" s="84"/>
      <c r="FYN17" s="84"/>
      <c r="FYO17" s="84"/>
      <c r="FYP17" s="84"/>
      <c r="FYQ17" s="84"/>
      <c r="FYR17" s="84"/>
      <c r="FYS17" s="84"/>
      <c r="FYT17" s="84"/>
      <c r="FYU17" s="84"/>
      <c r="FYV17" s="84"/>
      <c r="FYW17" s="84"/>
      <c r="FYX17" s="84"/>
      <c r="FYY17" s="84"/>
      <c r="FYZ17" s="84"/>
      <c r="FZA17" s="84"/>
      <c r="FZB17" s="84"/>
      <c r="FZC17" s="84"/>
      <c r="FZD17" s="84"/>
      <c r="FZE17" s="84"/>
      <c r="FZF17" s="84"/>
      <c r="FZG17" s="84"/>
      <c r="FZH17" s="84"/>
      <c r="FZI17" s="84"/>
      <c r="FZJ17" s="84"/>
      <c r="FZK17" s="84"/>
      <c r="FZL17" s="84"/>
      <c r="FZM17" s="84"/>
      <c r="FZN17" s="84"/>
      <c r="FZO17" s="84"/>
      <c r="FZP17" s="84"/>
      <c r="FZQ17" s="84"/>
      <c r="FZR17" s="84"/>
      <c r="FZS17" s="84"/>
      <c r="FZT17" s="84"/>
      <c r="FZU17" s="84"/>
      <c r="FZV17" s="84"/>
      <c r="FZW17" s="84"/>
      <c r="FZX17" s="84"/>
      <c r="FZY17" s="84"/>
      <c r="FZZ17" s="84"/>
      <c r="GAA17" s="84"/>
      <c r="GAB17" s="84"/>
      <c r="GAC17" s="84"/>
      <c r="GAD17" s="84"/>
      <c r="GAE17" s="84"/>
      <c r="GAF17" s="84"/>
      <c r="GAG17" s="84"/>
      <c r="GAH17" s="84"/>
      <c r="GAI17" s="84"/>
      <c r="GAJ17" s="84"/>
      <c r="GAK17" s="84"/>
      <c r="GAL17" s="84"/>
      <c r="GAM17" s="84"/>
      <c r="GAN17" s="84"/>
      <c r="GAO17" s="84"/>
      <c r="GAP17" s="84"/>
      <c r="GAQ17" s="84"/>
      <c r="GAR17" s="84"/>
      <c r="GAS17" s="84"/>
      <c r="GAT17" s="84"/>
      <c r="GAU17" s="84"/>
      <c r="GAV17" s="84"/>
      <c r="GAW17" s="84"/>
      <c r="GAX17" s="84"/>
      <c r="GAY17" s="84"/>
      <c r="GAZ17" s="84"/>
      <c r="GBA17" s="84"/>
      <c r="GBB17" s="84"/>
      <c r="GBC17" s="84"/>
      <c r="GBD17" s="84"/>
      <c r="GBE17" s="84"/>
      <c r="GBF17" s="84"/>
      <c r="GBG17" s="84"/>
      <c r="GBH17" s="84"/>
      <c r="GBI17" s="84"/>
      <c r="GBJ17" s="84"/>
      <c r="GBK17" s="84"/>
      <c r="GBL17" s="84"/>
      <c r="GBM17" s="84"/>
      <c r="GBN17" s="84"/>
      <c r="GBO17" s="84"/>
      <c r="GBP17" s="84"/>
      <c r="GBQ17" s="84"/>
      <c r="GBR17" s="84"/>
      <c r="GBS17" s="84"/>
      <c r="GBT17" s="84"/>
      <c r="GBU17" s="84"/>
      <c r="GBV17" s="84"/>
      <c r="GBW17" s="84"/>
      <c r="GBX17" s="84"/>
      <c r="GBY17" s="84"/>
      <c r="GBZ17" s="84"/>
      <c r="GCA17" s="84"/>
      <c r="GCB17" s="84"/>
      <c r="GCC17" s="84"/>
      <c r="GCD17" s="84"/>
      <c r="GCE17" s="84"/>
      <c r="GCF17" s="84"/>
      <c r="GCG17" s="84"/>
      <c r="GCH17" s="84"/>
      <c r="GCI17" s="84"/>
      <c r="GCJ17" s="84"/>
      <c r="GCK17" s="84"/>
      <c r="GCL17" s="84"/>
      <c r="GCM17" s="84"/>
      <c r="GCN17" s="84"/>
      <c r="GCO17" s="84"/>
      <c r="GCP17" s="84"/>
      <c r="GCQ17" s="84"/>
      <c r="GCR17" s="84"/>
      <c r="GCS17" s="84"/>
      <c r="GCT17" s="84"/>
      <c r="GCU17" s="84"/>
      <c r="GCV17" s="84"/>
      <c r="GCW17" s="84"/>
      <c r="GCX17" s="84"/>
      <c r="GCY17" s="84"/>
      <c r="GCZ17" s="84"/>
      <c r="GDA17" s="84"/>
      <c r="GDB17" s="84"/>
      <c r="GDC17" s="84"/>
      <c r="GDD17" s="84"/>
      <c r="GDE17" s="84"/>
      <c r="GDF17" s="84"/>
      <c r="GDG17" s="84"/>
      <c r="GDH17" s="84"/>
      <c r="GDI17" s="84"/>
      <c r="GDJ17" s="84"/>
      <c r="GDK17" s="84"/>
      <c r="GDL17" s="84"/>
      <c r="GDM17" s="84"/>
      <c r="GDN17" s="84"/>
      <c r="GDO17" s="84"/>
      <c r="GDP17" s="84"/>
      <c r="GDQ17" s="84"/>
      <c r="GDR17" s="84"/>
      <c r="GDS17" s="84"/>
      <c r="GDT17" s="84"/>
      <c r="GDU17" s="84"/>
      <c r="GDV17" s="84"/>
      <c r="GDW17" s="84"/>
      <c r="GDX17" s="84"/>
      <c r="GDY17" s="84"/>
      <c r="GDZ17" s="84"/>
      <c r="GEA17" s="84"/>
      <c r="GEB17" s="84"/>
      <c r="GEC17" s="84"/>
      <c r="GED17" s="84"/>
      <c r="GEE17" s="84"/>
      <c r="GEF17" s="84"/>
      <c r="GEG17" s="84"/>
      <c r="GEH17" s="84"/>
      <c r="GEI17" s="84"/>
      <c r="GEJ17" s="84"/>
      <c r="GEK17" s="84"/>
      <c r="GEL17" s="84"/>
      <c r="GEM17" s="84"/>
      <c r="GEN17" s="84"/>
      <c r="GEO17" s="84"/>
      <c r="GEP17" s="84"/>
      <c r="GEQ17" s="84"/>
      <c r="GER17" s="84"/>
      <c r="GES17" s="84"/>
      <c r="GET17" s="84"/>
      <c r="GEU17" s="84"/>
      <c r="GEV17" s="84"/>
      <c r="GEW17" s="84"/>
      <c r="GEX17" s="84"/>
      <c r="GEY17" s="84"/>
      <c r="GEZ17" s="84"/>
      <c r="GFA17" s="84"/>
      <c r="GFB17" s="84"/>
      <c r="GFC17" s="84"/>
      <c r="GFD17" s="84"/>
      <c r="GFE17" s="84"/>
      <c r="GFF17" s="84"/>
      <c r="GFG17" s="84"/>
      <c r="GFH17" s="84"/>
      <c r="GFI17" s="84"/>
      <c r="GFJ17" s="84"/>
      <c r="GFK17" s="84"/>
      <c r="GFL17" s="84"/>
      <c r="GFM17" s="84"/>
      <c r="GFN17" s="84"/>
      <c r="GFO17" s="84"/>
      <c r="GFP17" s="84"/>
      <c r="GFQ17" s="84"/>
      <c r="GFR17" s="84"/>
      <c r="GFS17" s="84"/>
      <c r="GFT17" s="84"/>
      <c r="GFU17" s="84"/>
      <c r="GFV17" s="84"/>
      <c r="GFW17" s="84"/>
      <c r="GFX17" s="84"/>
      <c r="GFY17" s="84"/>
      <c r="GFZ17" s="84"/>
      <c r="GGA17" s="84"/>
      <c r="GGB17" s="84"/>
      <c r="GGC17" s="84"/>
      <c r="GGD17" s="84"/>
      <c r="GGE17" s="84"/>
      <c r="GGF17" s="84"/>
      <c r="GGG17" s="84"/>
      <c r="GGH17" s="84"/>
      <c r="GGI17" s="84"/>
      <c r="GGJ17" s="84"/>
      <c r="GGK17" s="84"/>
      <c r="GGL17" s="84"/>
      <c r="GGM17" s="84"/>
      <c r="GGN17" s="84"/>
      <c r="GGO17" s="84"/>
      <c r="GGP17" s="84"/>
      <c r="GGQ17" s="84"/>
      <c r="GGR17" s="84"/>
      <c r="GGS17" s="84"/>
      <c r="GGT17" s="84"/>
      <c r="GGU17" s="84"/>
      <c r="GGV17" s="84"/>
      <c r="GGW17" s="84"/>
      <c r="GGX17" s="84"/>
      <c r="GGY17" s="84"/>
      <c r="GGZ17" s="84"/>
      <c r="GHA17" s="84"/>
      <c r="GHB17" s="84"/>
      <c r="GHC17" s="84"/>
      <c r="GHD17" s="84"/>
      <c r="GHE17" s="84"/>
      <c r="GHF17" s="84"/>
      <c r="GHG17" s="84"/>
      <c r="GHH17" s="84"/>
      <c r="GHI17" s="84"/>
      <c r="GHJ17" s="84"/>
      <c r="GHK17" s="84"/>
      <c r="GHL17" s="84"/>
      <c r="GHM17" s="84"/>
      <c r="GHN17" s="84"/>
      <c r="GHO17" s="84"/>
      <c r="GHP17" s="84"/>
      <c r="GHQ17" s="84"/>
      <c r="GHR17" s="84"/>
      <c r="GHS17" s="84"/>
      <c r="GHT17" s="84"/>
      <c r="GHU17" s="84"/>
      <c r="GHV17" s="84"/>
      <c r="GHW17" s="84"/>
      <c r="GHX17" s="84"/>
      <c r="GHY17" s="84"/>
      <c r="GHZ17" s="84"/>
      <c r="GIA17" s="84"/>
      <c r="GIB17" s="84"/>
      <c r="GIC17" s="84"/>
      <c r="GID17" s="84"/>
      <c r="GIE17" s="84"/>
      <c r="GIF17" s="84"/>
      <c r="GIG17" s="84"/>
      <c r="GIH17" s="84"/>
      <c r="GII17" s="84"/>
      <c r="GIJ17" s="84"/>
      <c r="GIK17" s="84"/>
      <c r="GIL17" s="84"/>
      <c r="GIM17" s="84"/>
      <c r="GIN17" s="84"/>
      <c r="GIO17" s="84"/>
      <c r="GIP17" s="84"/>
      <c r="GIQ17" s="84"/>
      <c r="GIR17" s="84"/>
      <c r="GIS17" s="84"/>
      <c r="GIT17" s="84"/>
      <c r="GIU17" s="84"/>
      <c r="GIV17" s="84"/>
      <c r="GIW17" s="84"/>
      <c r="GIX17" s="84"/>
      <c r="GIY17" s="84"/>
      <c r="GIZ17" s="84"/>
      <c r="GJA17" s="84"/>
      <c r="GJB17" s="84"/>
      <c r="GJC17" s="84"/>
      <c r="GJD17" s="84"/>
      <c r="GJE17" s="84"/>
      <c r="GJF17" s="84"/>
      <c r="GJG17" s="84"/>
      <c r="GJH17" s="84"/>
      <c r="GJI17" s="84"/>
      <c r="GJJ17" s="84"/>
      <c r="GJK17" s="84"/>
      <c r="GJL17" s="84"/>
      <c r="GJM17" s="84"/>
      <c r="GJN17" s="84"/>
      <c r="GJO17" s="84"/>
      <c r="GJP17" s="84"/>
      <c r="GJQ17" s="84"/>
      <c r="GJR17" s="84"/>
      <c r="GJS17" s="84"/>
      <c r="GJT17" s="84"/>
      <c r="GJU17" s="84"/>
      <c r="GJV17" s="84"/>
      <c r="GJW17" s="84"/>
      <c r="GJX17" s="84"/>
      <c r="GJY17" s="84"/>
      <c r="GJZ17" s="84"/>
      <c r="GKA17" s="84"/>
      <c r="GKB17" s="84"/>
      <c r="GKC17" s="84"/>
      <c r="GKD17" s="84"/>
      <c r="GKE17" s="84"/>
      <c r="GKF17" s="84"/>
      <c r="GKG17" s="84"/>
      <c r="GKH17" s="84"/>
      <c r="GKI17" s="84"/>
      <c r="GKJ17" s="84"/>
      <c r="GKK17" s="84"/>
      <c r="GKL17" s="84"/>
      <c r="GKM17" s="84"/>
      <c r="GKN17" s="84"/>
      <c r="GKO17" s="84"/>
      <c r="GKP17" s="84"/>
      <c r="GKQ17" s="84"/>
      <c r="GKR17" s="84"/>
      <c r="GKS17" s="84"/>
      <c r="GKT17" s="84"/>
      <c r="GKU17" s="84"/>
      <c r="GKV17" s="84"/>
      <c r="GKW17" s="84"/>
      <c r="GKX17" s="84"/>
      <c r="GKY17" s="84"/>
      <c r="GKZ17" s="84"/>
      <c r="GLA17" s="84"/>
      <c r="GLB17" s="84"/>
      <c r="GLC17" s="84"/>
      <c r="GLD17" s="84"/>
      <c r="GLE17" s="84"/>
      <c r="GLF17" s="84"/>
      <c r="GLG17" s="84"/>
      <c r="GLH17" s="84"/>
      <c r="GLI17" s="84"/>
      <c r="GLJ17" s="84"/>
      <c r="GLK17" s="84"/>
      <c r="GLL17" s="84"/>
      <c r="GLM17" s="84"/>
      <c r="GLN17" s="84"/>
      <c r="GLO17" s="84"/>
      <c r="GLP17" s="84"/>
      <c r="GLQ17" s="84"/>
      <c r="GLR17" s="84"/>
      <c r="GLS17" s="84"/>
      <c r="GLT17" s="84"/>
      <c r="GLU17" s="84"/>
      <c r="GLV17" s="84"/>
      <c r="GLW17" s="84"/>
      <c r="GLX17" s="84"/>
      <c r="GLY17" s="84"/>
      <c r="GLZ17" s="84"/>
      <c r="GMA17" s="84"/>
      <c r="GMB17" s="84"/>
      <c r="GMC17" s="84"/>
      <c r="GMD17" s="84"/>
      <c r="GME17" s="84"/>
      <c r="GMF17" s="84"/>
      <c r="GMG17" s="84"/>
      <c r="GMH17" s="84"/>
      <c r="GMI17" s="84"/>
      <c r="GMJ17" s="84"/>
      <c r="GMK17" s="84"/>
      <c r="GML17" s="84"/>
      <c r="GMM17" s="84"/>
      <c r="GMN17" s="84"/>
      <c r="GMO17" s="84"/>
      <c r="GMP17" s="84"/>
      <c r="GMQ17" s="84"/>
      <c r="GMR17" s="84"/>
      <c r="GMS17" s="84"/>
      <c r="GMT17" s="84"/>
      <c r="GMU17" s="84"/>
      <c r="GMV17" s="84"/>
      <c r="GMW17" s="84"/>
      <c r="GMX17" s="84"/>
      <c r="GMY17" s="84"/>
      <c r="GMZ17" s="84"/>
      <c r="GNA17" s="84"/>
      <c r="GNB17" s="84"/>
      <c r="GNC17" s="84"/>
      <c r="GND17" s="84"/>
      <c r="GNE17" s="84"/>
      <c r="GNF17" s="84"/>
      <c r="GNG17" s="84"/>
      <c r="GNH17" s="84"/>
      <c r="GNI17" s="84"/>
      <c r="GNJ17" s="84"/>
      <c r="GNK17" s="84"/>
      <c r="GNL17" s="84"/>
      <c r="GNM17" s="84"/>
      <c r="GNN17" s="84"/>
      <c r="GNO17" s="84"/>
      <c r="GNP17" s="84"/>
      <c r="GNQ17" s="84"/>
      <c r="GNR17" s="84"/>
      <c r="GNS17" s="84"/>
      <c r="GNT17" s="84"/>
      <c r="GNU17" s="84"/>
      <c r="GNV17" s="84"/>
      <c r="GNW17" s="84"/>
      <c r="GNX17" s="84"/>
      <c r="GNY17" s="84"/>
      <c r="GNZ17" s="84"/>
      <c r="GOA17" s="84"/>
      <c r="GOB17" s="84"/>
      <c r="GOC17" s="84"/>
      <c r="GOD17" s="84"/>
      <c r="GOE17" s="84"/>
      <c r="GOF17" s="84"/>
      <c r="GOG17" s="84"/>
      <c r="GOH17" s="84"/>
      <c r="GOI17" s="84"/>
      <c r="GOJ17" s="84"/>
      <c r="GOK17" s="84"/>
      <c r="GOL17" s="84"/>
      <c r="GOM17" s="84"/>
      <c r="GON17" s="84"/>
      <c r="GOO17" s="84"/>
      <c r="GOP17" s="84"/>
      <c r="GOQ17" s="84"/>
      <c r="GOR17" s="84"/>
      <c r="GOS17" s="84"/>
      <c r="GOT17" s="84"/>
      <c r="GOU17" s="84"/>
      <c r="GOV17" s="84"/>
      <c r="GOW17" s="84"/>
      <c r="GOX17" s="84"/>
      <c r="GOY17" s="84"/>
      <c r="GOZ17" s="84"/>
      <c r="GPA17" s="84"/>
      <c r="GPB17" s="84"/>
      <c r="GPC17" s="84"/>
      <c r="GPD17" s="84"/>
      <c r="GPE17" s="84"/>
      <c r="GPF17" s="84"/>
      <c r="GPG17" s="84"/>
      <c r="GPH17" s="84"/>
      <c r="GPI17" s="84"/>
      <c r="GPJ17" s="84"/>
      <c r="GPK17" s="84"/>
      <c r="GPL17" s="84"/>
      <c r="GPM17" s="84"/>
      <c r="GPN17" s="84"/>
      <c r="GPO17" s="84"/>
      <c r="GPP17" s="84"/>
      <c r="GPQ17" s="84"/>
      <c r="GPR17" s="84"/>
      <c r="GPS17" s="84"/>
      <c r="GPT17" s="84"/>
      <c r="GPU17" s="84"/>
      <c r="GPV17" s="84"/>
      <c r="GPW17" s="84"/>
      <c r="GPX17" s="84"/>
      <c r="GPY17" s="84"/>
      <c r="GPZ17" s="84"/>
      <c r="GQA17" s="84"/>
      <c r="GQB17" s="84"/>
      <c r="GQC17" s="84"/>
      <c r="GQD17" s="84"/>
      <c r="GQE17" s="84"/>
      <c r="GQF17" s="84"/>
      <c r="GQG17" s="84"/>
      <c r="GQH17" s="84"/>
      <c r="GQI17" s="84"/>
      <c r="GQJ17" s="84"/>
      <c r="GQK17" s="84"/>
      <c r="GQL17" s="84"/>
      <c r="GQM17" s="84"/>
      <c r="GQN17" s="84"/>
      <c r="GQO17" s="84"/>
      <c r="GQP17" s="84"/>
      <c r="GQQ17" s="84"/>
      <c r="GQR17" s="84"/>
      <c r="GQS17" s="84"/>
      <c r="GQT17" s="84"/>
      <c r="GQU17" s="84"/>
      <c r="GQV17" s="84"/>
      <c r="GQW17" s="84"/>
      <c r="GQX17" s="84"/>
      <c r="GQY17" s="84"/>
      <c r="GQZ17" s="84"/>
      <c r="GRA17" s="84"/>
      <c r="GRB17" s="84"/>
      <c r="GRC17" s="84"/>
      <c r="GRD17" s="84"/>
      <c r="GRE17" s="84"/>
      <c r="GRF17" s="84"/>
      <c r="GRG17" s="84"/>
      <c r="GRH17" s="84"/>
      <c r="GRI17" s="84"/>
      <c r="GRJ17" s="84"/>
      <c r="GRK17" s="84"/>
      <c r="GRL17" s="84"/>
      <c r="GRM17" s="84"/>
      <c r="GRN17" s="84"/>
      <c r="GRO17" s="84"/>
      <c r="GRP17" s="84"/>
      <c r="GRQ17" s="84"/>
      <c r="GRR17" s="84"/>
      <c r="GRS17" s="84"/>
      <c r="GRT17" s="84"/>
      <c r="GRU17" s="84"/>
      <c r="GRV17" s="84"/>
      <c r="GRW17" s="84"/>
      <c r="GRX17" s="84"/>
      <c r="GRY17" s="84"/>
      <c r="GRZ17" s="84"/>
      <c r="GSA17" s="84"/>
      <c r="GSB17" s="84"/>
      <c r="GSC17" s="84"/>
      <c r="GSD17" s="84"/>
      <c r="GSE17" s="84"/>
      <c r="GSF17" s="84"/>
      <c r="GSG17" s="84"/>
      <c r="GSH17" s="84"/>
      <c r="GSI17" s="84"/>
      <c r="GSJ17" s="84"/>
      <c r="GSK17" s="84"/>
      <c r="GSL17" s="84"/>
      <c r="GSM17" s="84"/>
      <c r="GSN17" s="84"/>
      <c r="GSO17" s="84"/>
      <c r="GSP17" s="84"/>
      <c r="GSQ17" s="84"/>
      <c r="GSR17" s="84"/>
      <c r="GSS17" s="84"/>
      <c r="GST17" s="84"/>
      <c r="GSU17" s="84"/>
      <c r="GSV17" s="84"/>
      <c r="GSW17" s="84"/>
      <c r="GSX17" s="84"/>
      <c r="GSY17" s="84"/>
      <c r="GSZ17" s="84"/>
      <c r="GTA17" s="84"/>
      <c r="GTB17" s="84"/>
      <c r="GTC17" s="84"/>
      <c r="GTD17" s="84"/>
      <c r="GTE17" s="84"/>
      <c r="GTF17" s="84"/>
      <c r="GTG17" s="84"/>
      <c r="GTH17" s="84"/>
      <c r="GTI17" s="84"/>
      <c r="GTJ17" s="84"/>
      <c r="GTK17" s="84"/>
      <c r="GTL17" s="84"/>
      <c r="GTM17" s="84"/>
      <c r="GTN17" s="84"/>
      <c r="GTO17" s="84"/>
      <c r="GTP17" s="84"/>
      <c r="GTQ17" s="84"/>
      <c r="GTR17" s="84"/>
      <c r="GTS17" s="84"/>
      <c r="GTT17" s="84"/>
      <c r="GTU17" s="84"/>
      <c r="GTV17" s="84"/>
      <c r="GTW17" s="84"/>
      <c r="GTX17" s="84"/>
      <c r="GTY17" s="84"/>
      <c r="GTZ17" s="84"/>
      <c r="GUA17" s="84"/>
      <c r="GUB17" s="84"/>
      <c r="GUC17" s="84"/>
      <c r="GUD17" s="84"/>
      <c r="GUE17" s="84"/>
      <c r="GUF17" s="84"/>
      <c r="GUG17" s="84"/>
      <c r="GUH17" s="84"/>
      <c r="GUI17" s="84"/>
      <c r="GUJ17" s="84"/>
      <c r="GUK17" s="84"/>
      <c r="GUL17" s="84"/>
      <c r="GUM17" s="84"/>
      <c r="GUN17" s="84"/>
      <c r="GUO17" s="84"/>
      <c r="GUP17" s="84"/>
      <c r="GUQ17" s="84"/>
      <c r="GUR17" s="84"/>
      <c r="GUS17" s="84"/>
      <c r="GUT17" s="84"/>
      <c r="GUU17" s="84"/>
      <c r="GUV17" s="84"/>
      <c r="GUW17" s="84"/>
      <c r="GUX17" s="84"/>
      <c r="GUY17" s="84"/>
      <c r="GUZ17" s="84"/>
      <c r="GVA17" s="84"/>
      <c r="GVB17" s="84"/>
      <c r="GVC17" s="84"/>
      <c r="GVD17" s="84"/>
      <c r="GVE17" s="84"/>
      <c r="GVF17" s="84"/>
      <c r="GVG17" s="84"/>
      <c r="GVH17" s="84"/>
      <c r="GVI17" s="84"/>
      <c r="GVJ17" s="84"/>
      <c r="GVK17" s="84"/>
      <c r="GVL17" s="84"/>
      <c r="GVM17" s="84"/>
      <c r="GVN17" s="84"/>
      <c r="GVO17" s="84"/>
      <c r="GVP17" s="84"/>
      <c r="GVQ17" s="84"/>
      <c r="GVR17" s="84"/>
      <c r="GVS17" s="84"/>
      <c r="GVT17" s="84"/>
      <c r="GVU17" s="84"/>
      <c r="GVV17" s="84"/>
      <c r="GVW17" s="84"/>
      <c r="GVX17" s="84"/>
      <c r="GVY17" s="84"/>
      <c r="GVZ17" s="84"/>
      <c r="GWA17" s="84"/>
      <c r="GWB17" s="84"/>
      <c r="GWC17" s="84"/>
      <c r="GWD17" s="84"/>
      <c r="GWE17" s="84"/>
      <c r="GWF17" s="84"/>
      <c r="GWG17" s="84"/>
      <c r="GWH17" s="84"/>
      <c r="GWI17" s="84"/>
      <c r="GWJ17" s="84"/>
      <c r="GWK17" s="84"/>
      <c r="GWL17" s="84"/>
      <c r="GWM17" s="84"/>
      <c r="GWN17" s="84"/>
      <c r="GWO17" s="84"/>
      <c r="GWP17" s="84"/>
      <c r="GWQ17" s="84"/>
      <c r="GWR17" s="84"/>
      <c r="GWS17" s="84"/>
      <c r="GWT17" s="84"/>
      <c r="GWU17" s="84"/>
      <c r="GWV17" s="84"/>
      <c r="GWW17" s="84"/>
      <c r="GWX17" s="84"/>
      <c r="GWY17" s="84"/>
      <c r="GWZ17" s="84"/>
      <c r="GXA17" s="84"/>
      <c r="GXB17" s="84"/>
      <c r="GXC17" s="84"/>
      <c r="GXD17" s="84"/>
      <c r="GXE17" s="84"/>
      <c r="GXF17" s="84"/>
      <c r="GXG17" s="84"/>
      <c r="GXH17" s="84"/>
      <c r="GXI17" s="84"/>
      <c r="GXJ17" s="84"/>
      <c r="GXK17" s="84"/>
      <c r="GXL17" s="84"/>
      <c r="GXM17" s="84"/>
      <c r="GXN17" s="84"/>
      <c r="GXO17" s="84"/>
      <c r="GXP17" s="84"/>
      <c r="GXQ17" s="84"/>
      <c r="GXR17" s="84"/>
      <c r="GXS17" s="84"/>
      <c r="GXT17" s="84"/>
      <c r="GXU17" s="84"/>
      <c r="GXV17" s="84"/>
      <c r="GXW17" s="84"/>
      <c r="GXX17" s="84"/>
      <c r="GXY17" s="84"/>
      <c r="GXZ17" s="84"/>
      <c r="GYA17" s="84"/>
      <c r="GYB17" s="84"/>
      <c r="GYC17" s="84"/>
      <c r="GYD17" s="84"/>
      <c r="GYE17" s="84"/>
      <c r="GYF17" s="84"/>
      <c r="GYG17" s="84"/>
      <c r="GYH17" s="84"/>
      <c r="GYI17" s="84"/>
      <c r="GYJ17" s="84"/>
      <c r="GYK17" s="84"/>
      <c r="GYL17" s="84"/>
      <c r="GYM17" s="84"/>
      <c r="GYN17" s="84"/>
      <c r="GYO17" s="84"/>
      <c r="GYP17" s="84"/>
      <c r="GYQ17" s="84"/>
      <c r="GYR17" s="84"/>
      <c r="GYS17" s="84"/>
      <c r="GYT17" s="84"/>
      <c r="GYU17" s="84"/>
      <c r="GYV17" s="84"/>
      <c r="GYW17" s="84"/>
      <c r="GYX17" s="84"/>
      <c r="GYY17" s="84"/>
      <c r="GYZ17" s="84"/>
      <c r="GZA17" s="84"/>
      <c r="GZB17" s="84"/>
      <c r="GZC17" s="84"/>
      <c r="GZD17" s="84"/>
      <c r="GZE17" s="84"/>
      <c r="GZF17" s="84"/>
      <c r="GZG17" s="84"/>
      <c r="GZH17" s="84"/>
      <c r="GZI17" s="84"/>
      <c r="GZJ17" s="84"/>
      <c r="GZK17" s="84"/>
      <c r="GZL17" s="84"/>
      <c r="GZM17" s="84"/>
      <c r="GZN17" s="84"/>
      <c r="GZO17" s="84"/>
      <c r="GZP17" s="84"/>
      <c r="GZQ17" s="84"/>
      <c r="GZR17" s="84"/>
      <c r="GZS17" s="84"/>
      <c r="GZT17" s="84"/>
      <c r="GZU17" s="84"/>
      <c r="GZV17" s="84"/>
      <c r="GZW17" s="84"/>
      <c r="GZX17" s="84"/>
      <c r="GZY17" s="84"/>
      <c r="GZZ17" s="84"/>
      <c r="HAA17" s="84"/>
      <c r="HAB17" s="84"/>
      <c r="HAC17" s="84"/>
      <c r="HAD17" s="84"/>
      <c r="HAE17" s="84"/>
      <c r="HAF17" s="84"/>
      <c r="HAG17" s="84"/>
      <c r="HAH17" s="84"/>
      <c r="HAI17" s="84"/>
      <c r="HAJ17" s="84"/>
      <c r="HAK17" s="84"/>
      <c r="HAL17" s="84"/>
      <c r="HAM17" s="84"/>
      <c r="HAN17" s="84"/>
      <c r="HAO17" s="84"/>
      <c r="HAP17" s="84"/>
      <c r="HAQ17" s="84"/>
      <c r="HAR17" s="84"/>
      <c r="HAS17" s="84"/>
      <c r="HAT17" s="84"/>
      <c r="HAU17" s="84"/>
      <c r="HAV17" s="84"/>
      <c r="HAW17" s="84"/>
      <c r="HAX17" s="84"/>
      <c r="HAY17" s="84"/>
      <c r="HAZ17" s="84"/>
      <c r="HBA17" s="84"/>
      <c r="HBB17" s="84"/>
      <c r="HBC17" s="84"/>
      <c r="HBD17" s="84"/>
      <c r="HBE17" s="84"/>
      <c r="HBF17" s="84"/>
      <c r="HBG17" s="84"/>
      <c r="HBH17" s="84"/>
      <c r="HBI17" s="84"/>
      <c r="HBJ17" s="84"/>
      <c r="HBK17" s="84"/>
      <c r="HBL17" s="84"/>
      <c r="HBM17" s="386"/>
    </row>
    <row r="18" spans="1:5473" s="83" customFormat="1" x14ac:dyDescent="0.3">
      <c r="A18" s="11">
        <v>13</v>
      </c>
      <c r="B18" s="40" t="s">
        <v>1615</v>
      </c>
      <c r="C18" s="12" t="s">
        <v>1614</v>
      </c>
      <c r="D18" s="299">
        <v>910926115622</v>
      </c>
      <c r="E18" s="299" t="s">
        <v>1613</v>
      </c>
      <c r="F18" s="12" t="s">
        <v>7</v>
      </c>
      <c r="G18" s="11" t="s">
        <v>1528</v>
      </c>
      <c r="H18" s="86" t="s">
        <v>1495</v>
      </c>
      <c r="I18" s="550">
        <v>10000</v>
      </c>
      <c r="J18" s="89"/>
      <c r="K18" s="89">
        <v>10000</v>
      </c>
      <c r="L18" s="121">
        <v>9500</v>
      </c>
      <c r="M18" s="122">
        <f t="shared" si="0"/>
        <v>500</v>
      </c>
      <c r="N18" s="295"/>
      <c r="O18" s="121"/>
      <c r="P18" s="547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4"/>
      <c r="DF18" s="84"/>
      <c r="DG18" s="84"/>
      <c r="DH18" s="84"/>
      <c r="DI18" s="84"/>
      <c r="DJ18" s="84"/>
      <c r="DK18" s="84"/>
      <c r="DL18" s="84"/>
      <c r="DM18" s="84"/>
      <c r="DN18" s="84"/>
      <c r="DO18" s="84"/>
      <c r="DP18" s="84"/>
      <c r="DQ18" s="84"/>
      <c r="DR18" s="84"/>
      <c r="DS18" s="84"/>
      <c r="DT18" s="84"/>
      <c r="DU18" s="84"/>
      <c r="DV18" s="84"/>
      <c r="DW18" s="84"/>
      <c r="DX18" s="84"/>
      <c r="DY18" s="84"/>
      <c r="DZ18" s="84"/>
      <c r="EA18" s="84"/>
      <c r="EB18" s="84"/>
      <c r="EC18" s="84"/>
      <c r="ED18" s="84"/>
      <c r="EE18" s="84"/>
      <c r="EF18" s="84"/>
      <c r="EG18" s="84"/>
      <c r="EH18" s="84"/>
      <c r="EI18" s="84"/>
      <c r="EJ18" s="84"/>
      <c r="EK18" s="84"/>
      <c r="EL18" s="84"/>
      <c r="EM18" s="84"/>
      <c r="EN18" s="84"/>
      <c r="EO18" s="84"/>
      <c r="EP18" s="84"/>
      <c r="EQ18" s="84"/>
      <c r="ER18" s="84"/>
      <c r="ES18" s="84"/>
      <c r="ET18" s="84"/>
      <c r="EU18" s="84"/>
      <c r="EV18" s="84"/>
      <c r="EW18" s="84"/>
      <c r="EX18" s="84"/>
      <c r="EY18" s="84"/>
      <c r="EZ18" s="84"/>
      <c r="FA18" s="84"/>
      <c r="FB18" s="84"/>
      <c r="FC18" s="84"/>
      <c r="FD18" s="84"/>
      <c r="FE18" s="84"/>
      <c r="FF18" s="84"/>
      <c r="FG18" s="84"/>
      <c r="FH18" s="84"/>
      <c r="FI18" s="84"/>
      <c r="FJ18" s="84"/>
      <c r="FK18" s="84"/>
      <c r="FL18" s="84"/>
      <c r="FM18" s="84"/>
      <c r="FN18" s="84"/>
      <c r="FO18" s="84"/>
      <c r="FP18" s="84"/>
      <c r="FQ18" s="84"/>
      <c r="FR18" s="84"/>
      <c r="FS18" s="84"/>
      <c r="FT18" s="84"/>
      <c r="FU18" s="84"/>
      <c r="FV18" s="84"/>
      <c r="FW18" s="84"/>
      <c r="FX18" s="84"/>
      <c r="FY18" s="84"/>
      <c r="FZ18" s="84"/>
      <c r="GA18" s="84"/>
      <c r="GB18" s="84"/>
      <c r="GC18" s="84"/>
      <c r="GD18" s="84"/>
      <c r="GE18" s="84"/>
      <c r="GF18" s="84"/>
      <c r="GG18" s="84"/>
      <c r="GH18" s="84"/>
      <c r="GI18" s="84"/>
      <c r="GJ18" s="84"/>
      <c r="GK18" s="84"/>
      <c r="GL18" s="84"/>
      <c r="GM18" s="84"/>
      <c r="GN18" s="84"/>
      <c r="GO18" s="84"/>
      <c r="GP18" s="84"/>
      <c r="GQ18" s="84"/>
      <c r="GR18" s="84"/>
      <c r="GS18" s="84"/>
      <c r="GT18" s="84"/>
      <c r="GU18" s="84"/>
      <c r="GV18" s="84"/>
      <c r="GW18" s="84"/>
      <c r="GX18" s="84"/>
      <c r="GY18" s="84"/>
      <c r="GZ18" s="84"/>
      <c r="HA18" s="84"/>
      <c r="HB18" s="84"/>
      <c r="HC18" s="84"/>
      <c r="HD18" s="84"/>
      <c r="HE18" s="84"/>
      <c r="HF18" s="84"/>
      <c r="HG18" s="84"/>
      <c r="HH18" s="84"/>
      <c r="HI18" s="84"/>
      <c r="HJ18" s="84"/>
      <c r="HK18" s="84"/>
      <c r="HL18" s="84"/>
      <c r="HM18" s="84"/>
      <c r="HN18" s="84"/>
      <c r="HO18" s="84"/>
      <c r="HP18" s="84"/>
      <c r="HQ18" s="84"/>
      <c r="HR18" s="84"/>
      <c r="HS18" s="84"/>
      <c r="HT18" s="84"/>
      <c r="HU18" s="84"/>
      <c r="HV18" s="84"/>
      <c r="HW18" s="84"/>
      <c r="HX18" s="84"/>
      <c r="HY18" s="84"/>
      <c r="HZ18" s="84"/>
      <c r="IA18" s="84"/>
      <c r="IB18" s="84"/>
      <c r="IC18" s="84"/>
      <c r="ID18" s="84"/>
      <c r="IE18" s="84"/>
      <c r="IF18" s="84"/>
      <c r="IG18" s="84"/>
      <c r="IH18" s="84"/>
      <c r="II18" s="84"/>
      <c r="IJ18" s="84"/>
      <c r="IK18" s="84"/>
      <c r="IL18" s="84"/>
      <c r="IM18" s="84"/>
      <c r="IN18" s="84"/>
      <c r="IO18" s="84"/>
      <c r="IP18" s="84"/>
      <c r="IQ18" s="84"/>
      <c r="IR18" s="84"/>
      <c r="IS18" s="84"/>
      <c r="IT18" s="84"/>
      <c r="IU18" s="84"/>
      <c r="IV18" s="84"/>
      <c r="IW18" s="84"/>
      <c r="IX18" s="84"/>
      <c r="IY18" s="84"/>
      <c r="IZ18" s="84"/>
      <c r="JA18" s="84"/>
      <c r="JB18" s="84"/>
      <c r="JC18" s="84"/>
      <c r="JD18" s="84"/>
      <c r="JE18" s="84"/>
      <c r="JF18" s="84"/>
      <c r="JG18" s="84"/>
      <c r="JH18" s="84"/>
      <c r="JI18" s="84"/>
      <c r="JJ18" s="84"/>
      <c r="JK18" s="84"/>
      <c r="JL18" s="84"/>
      <c r="JM18" s="84"/>
      <c r="JN18" s="84"/>
      <c r="JO18" s="84"/>
      <c r="JP18" s="84"/>
      <c r="JQ18" s="84"/>
      <c r="JR18" s="84"/>
      <c r="JS18" s="84"/>
      <c r="JT18" s="84"/>
      <c r="JU18" s="84"/>
      <c r="JV18" s="84"/>
      <c r="JW18" s="84"/>
      <c r="JX18" s="84"/>
      <c r="JY18" s="84"/>
      <c r="JZ18" s="84"/>
      <c r="KA18" s="84"/>
      <c r="KB18" s="84"/>
      <c r="KC18" s="84"/>
      <c r="KD18" s="84"/>
      <c r="KE18" s="84"/>
      <c r="KF18" s="84"/>
      <c r="KG18" s="84"/>
      <c r="KH18" s="84"/>
      <c r="KI18" s="84"/>
      <c r="KJ18" s="84"/>
      <c r="KK18" s="84"/>
      <c r="KL18" s="84"/>
      <c r="KM18" s="84"/>
      <c r="KN18" s="84"/>
      <c r="KO18" s="84"/>
      <c r="KP18" s="84"/>
      <c r="KQ18" s="84"/>
      <c r="KR18" s="84"/>
      <c r="KS18" s="84"/>
      <c r="KT18" s="84"/>
      <c r="KU18" s="84"/>
      <c r="KV18" s="84"/>
      <c r="KW18" s="84"/>
      <c r="KX18" s="84"/>
      <c r="KY18" s="84"/>
      <c r="KZ18" s="84"/>
      <c r="LA18" s="84"/>
      <c r="LB18" s="84"/>
      <c r="LC18" s="84"/>
      <c r="LD18" s="84"/>
      <c r="LE18" s="84"/>
      <c r="LF18" s="84"/>
      <c r="LG18" s="84"/>
      <c r="LH18" s="84"/>
      <c r="LI18" s="84"/>
      <c r="LJ18" s="84"/>
      <c r="LK18" s="84"/>
      <c r="LL18" s="84"/>
      <c r="LM18" s="84"/>
      <c r="LN18" s="84"/>
      <c r="LO18" s="84"/>
      <c r="LP18" s="84"/>
      <c r="LQ18" s="84"/>
      <c r="LR18" s="84"/>
      <c r="LS18" s="84"/>
      <c r="LT18" s="84"/>
      <c r="LU18" s="84"/>
      <c r="LV18" s="84"/>
      <c r="LW18" s="84"/>
      <c r="LX18" s="84"/>
      <c r="LY18" s="84"/>
      <c r="LZ18" s="84"/>
      <c r="MA18" s="84"/>
      <c r="MB18" s="84"/>
      <c r="MC18" s="84"/>
      <c r="MD18" s="84"/>
      <c r="ME18" s="84"/>
      <c r="MF18" s="84"/>
      <c r="MG18" s="84"/>
      <c r="MH18" s="84"/>
      <c r="MI18" s="84"/>
      <c r="MJ18" s="84"/>
      <c r="MK18" s="84"/>
      <c r="ML18" s="84"/>
      <c r="MM18" s="84"/>
      <c r="MN18" s="84"/>
      <c r="MO18" s="84"/>
      <c r="MP18" s="84"/>
      <c r="MQ18" s="84"/>
      <c r="MR18" s="84"/>
      <c r="MS18" s="84"/>
      <c r="MT18" s="84"/>
      <c r="MU18" s="84"/>
      <c r="MV18" s="84"/>
      <c r="MW18" s="84"/>
      <c r="MX18" s="84"/>
      <c r="MY18" s="84"/>
      <c r="MZ18" s="84"/>
      <c r="NA18" s="84"/>
      <c r="NB18" s="84"/>
      <c r="NC18" s="84"/>
      <c r="ND18" s="84"/>
      <c r="NE18" s="84"/>
      <c r="NF18" s="84"/>
      <c r="NG18" s="84"/>
      <c r="NH18" s="84"/>
      <c r="NI18" s="84"/>
      <c r="NJ18" s="84"/>
      <c r="NK18" s="84"/>
      <c r="NL18" s="84"/>
      <c r="NM18" s="84"/>
      <c r="NN18" s="84"/>
      <c r="NO18" s="84"/>
      <c r="NP18" s="84"/>
      <c r="NQ18" s="84"/>
      <c r="NR18" s="84"/>
      <c r="NS18" s="84"/>
      <c r="NT18" s="84"/>
      <c r="NU18" s="84"/>
      <c r="NV18" s="84"/>
      <c r="NW18" s="84"/>
      <c r="NX18" s="84"/>
      <c r="NY18" s="84"/>
      <c r="NZ18" s="84"/>
      <c r="OA18" s="84"/>
      <c r="OB18" s="84"/>
      <c r="OC18" s="84"/>
      <c r="OD18" s="84"/>
      <c r="OE18" s="84"/>
      <c r="OF18" s="84"/>
      <c r="OG18" s="84"/>
      <c r="OH18" s="84"/>
      <c r="OI18" s="84"/>
      <c r="OJ18" s="84"/>
      <c r="OK18" s="84"/>
      <c r="OL18" s="84"/>
      <c r="OM18" s="84"/>
      <c r="ON18" s="84"/>
      <c r="OO18" s="84"/>
      <c r="OP18" s="84"/>
      <c r="OQ18" s="84"/>
      <c r="OR18" s="84"/>
      <c r="OS18" s="84"/>
      <c r="OT18" s="84"/>
      <c r="OU18" s="84"/>
      <c r="OV18" s="84"/>
      <c r="OW18" s="84"/>
      <c r="OX18" s="84"/>
      <c r="OY18" s="84"/>
      <c r="OZ18" s="84"/>
      <c r="PA18" s="84"/>
      <c r="PB18" s="84"/>
      <c r="PC18" s="84"/>
      <c r="PD18" s="84"/>
      <c r="PE18" s="84"/>
      <c r="PF18" s="84"/>
      <c r="PG18" s="84"/>
      <c r="PH18" s="84"/>
      <c r="PI18" s="84"/>
      <c r="PJ18" s="84"/>
      <c r="PK18" s="84"/>
      <c r="PL18" s="84"/>
      <c r="PM18" s="84"/>
      <c r="PN18" s="84"/>
      <c r="PO18" s="84"/>
      <c r="PP18" s="84"/>
      <c r="PQ18" s="84"/>
      <c r="PR18" s="84"/>
      <c r="PS18" s="84"/>
      <c r="PT18" s="84"/>
      <c r="PU18" s="84"/>
      <c r="PV18" s="84"/>
      <c r="PW18" s="84"/>
      <c r="PX18" s="84"/>
      <c r="PY18" s="84"/>
      <c r="PZ18" s="84"/>
      <c r="QA18" s="84"/>
      <c r="QB18" s="84"/>
      <c r="QC18" s="84"/>
      <c r="QD18" s="84"/>
      <c r="QE18" s="84"/>
      <c r="QF18" s="84"/>
      <c r="QG18" s="84"/>
      <c r="QH18" s="84"/>
      <c r="QI18" s="84"/>
      <c r="QJ18" s="84"/>
      <c r="QK18" s="84"/>
      <c r="QL18" s="84"/>
      <c r="QM18" s="84"/>
      <c r="QN18" s="84"/>
      <c r="QO18" s="84"/>
      <c r="QP18" s="84"/>
      <c r="QQ18" s="84"/>
      <c r="QR18" s="84"/>
      <c r="QS18" s="84"/>
      <c r="QT18" s="84"/>
      <c r="QU18" s="84"/>
      <c r="QV18" s="84"/>
      <c r="QW18" s="84"/>
      <c r="QX18" s="84"/>
      <c r="QY18" s="84"/>
      <c r="QZ18" s="84"/>
      <c r="RA18" s="84"/>
      <c r="RB18" s="84"/>
      <c r="RC18" s="84"/>
      <c r="RD18" s="84"/>
      <c r="RE18" s="84"/>
      <c r="RF18" s="84"/>
      <c r="RG18" s="84"/>
      <c r="RH18" s="84"/>
      <c r="RI18" s="84"/>
      <c r="RJ18" s="84"/>
      <c r="RK18" s="84"/>
      <c r="RL18" s="84"/>
      <c r="RM18" s="84"/>
      <c r="RN18" s="84"/>
      <c r="RO18" s="84"/>
      <c r="RP18" s="84"/>
      <c r="RQ18" s="84"/>
      <c r="RR18" s="84"/>
      <c r="RS18" s="84"/>
      <c r="RT18" s="84"/>
      <c r="RU18" s="84"/>
      <c r="RV18" s="84"/>
      <c r="RW18" s="84"/>
      <c r="RX18" s="84"/>
      <c r="RY18" s="84"/>
      <c r="RZ18" s="84"/>
      <c r="SA18" s="84"/>
      <c r="SB18" s="84"/>
      <c r="SC18" s="84"/>
      <c r="SD18" s="84"/>
      <c r="SE18" s="84"/>
      <c r="SF18" s="84"/>
      <c r="SG18" s="84"/>
      <c r="SH18" s="84"/>
      <c r="SI18" s="84"/>
      <c r="SJ18" s="84"/>
      <c r="SK18" s="84"/>
      <c r="SL18" s="84"/>
      <c r="SM18" s="84"/>
      <c r="SN18" s="84"/>
      <c r="SO18" s="84"/>
      <c r="SP18" s="84"/>
      <c r="SQ18" s="84"/>
      <c r="SR18" s="84"/>
      <c r="SS18" s="84"/>
      <c r="ST18" s="84"/>
      <c r="SU18" s="84"/>
      <c r="SV18" s="84"/>
      <c r="SW18" s="84"/>
      <c r="SX18" s="84"/>
      <c r="SY18" s="84"/>
      <c r="SZ18" s="84"/>
      <c r="TA18" s="84"/>
      <c r="TB18" s="84"/>
      <c r="TC18" s="84"/>
      <c r="TD18" s="84"/>
      <c r="TE18" s="84"/>
      <c r="TF18" s="84"/>
      <c r="TG18" s="84"/>
      <c r="TH18" s="84"/>
      <c r="TI18" s="84"/>
      <c r="TJ18" s="84"/>
      <c r="TK18" s="84"/>
      <c r="TL18" s="84"/>
      <c r="TM18" s="84"/>
      <c r="TN18" s="84"/>
      <c r="TO18" s="84"/>
      <c r="TP18" s="84"/>
      <c r="TQ18" s="84"/>
      <c r="TR18" s="84"/>
      <c r="TS18" s="84"/>
      <c r="TT18" s="84"/>
      <c r="TU18" s="84"/>
      <c r="TV18" s="84"/>
      <c r="TW18" s="84"/>
      <c r="TX18" s="84"/>
      <c r="TY18" s="84"/>
      <c r="TZ18" s="84"/>
      <c r="UA18" s="84"/>
      <c r="UB18" s="84"/>
      <c r="UC18" s="84"/>
      <c r="UD18" s="84"/>
      <c r="UE18" s="84"/>
      <c r="UF18" s="84"/>
      <c r="UG18" s="84"/>
      <c r="UH18" s="84"/>
      <c r="UI18" s="84"/>
      <c r="UJ18" s="84"/>
      <c r="UK18" s="84"/>
      <c r="UL18" s="84"/>
      <c r="UM18" s="84"/>
      <c r="UN18" s="84"/>
      <c r="UO18" s="84"/>
      <c r="UP18" s="84"/>
      <c r="UQ18" s="84"/>
      <c r="UR18" s="84"/>
      <c r="US18" s="84"/>
      <c r="UT18" s="84"/>
      <c r="UU18" s="84"/>
      <c r="UV18" s="84"/>
      <c r="UW18" s="84"/>
      <c r="UX18" s="84"/>
      <c r="UY18" s="84"/>
      <c r="UZ18" s="84"/>
      <c r="VA18" s="84"/>
      <c r="VB18" s="84"/>
      <c r="VC18" s="84"/>
      <c r="VD18" s="84"/>
      <c r="VE18" s="84"/>
      <c r="VF18" s="84"/>
      <c r="VG18" s="84"/>
      <c r="VH18" s="84"/>
      <c r="VI18" s="84"/>
      <c r="VJ18" s="84"/>
      <c r="VK18" s="84"/>
      <c r="VL18" s="84"/>
      <c r="VM18" s="84"/>
      <c r="VN18" s="84"/>
      <c r="VO18" s="84"/>
      <c r="VP18" s="84"/>
      <c r="VQ18" s="84"/>
      <c r="VR18" s="84"/>
      <c r="VS18" s="84"/>
      <c r="VT18" s="84"/>
      <c r="VU18" s="84"/>
      <c r="VV18" s="84"/>
      <c r="VW18" s="84"/>
      <c r="VX18" s="84"/>
      <c r="VY18" s="84"/>
      <c r="VZ18" s="84"/>
      <c r="WA18" s="84"/>
      <c r="WB18" s="84"/>
      <c r="WC18" s="84"/>
      <c r="WD18" s="84"/>
      <c r="WE18" s="84"/>
      <c r="WF18" s="84"/>
      <c r="WG18" s="84"/>
      <c r="WH18" s="84"/>
      <c r="WI18" s="84"/>
      <c r="WJ18" s="84"/>
      <c r="WK18" s="84"/>
      <c r="WL18" s="84"/>
      <c r="WM18" s="84"/>
      <c r="WN18" s="84"/>
      <c r="WO18" s="84"/>
      <c r="WP18" s="84"/>
      <c r="WQ18" s="84"/>
      <c r="WR18" s="84"/>
      <c r="WS18" s="84"/>
      <c r="WT18" s="84"/>
      <c r="WU18" s="84"/>
      <c r="WV18" s="84"/>
      <c r="WW18" s="84"/>
      <c r="WX18" s="84"/>
      <c r="WY18" s="84"/>
      <c r="WZ18" s="84"/>
      <c r="XA18" s="84"/>
      <c r="XB18" s="84"/>
      <c r="XC18" s="84"/>
      <c r="XD18" s="84"/>
      <c r="XE18" s="84"/>
      <c r="XF18" s="84"/>
      <c r="XG18" s="84"/>
      <c r="XH18" s="84"/>
      <c r="XI18" s="84"/>
      <c r="XJ18" s="84"/>
      <c r="XK18" s="84"/>
      <c r="XL18" s="84"/>
      <c r="XM18" s="84"/>
      <c r="XN18" s="84"/>
      <c r="XO18" s="84"/>
      <c r="XP18" s="84"/>
      <c r="XQ18" s="84"/>
      <c r="XR18" s="84"/>
      <c r="XS18" s="84"/>
      <c r="XT18" s="84"/>
      <c r="XU18" s="84"/>
      <c r="XV18" s="84"/>
      <c r="XW18" s="84"/>
      <c r="XX18" s="84"/>
      <c r="XY18" s="84"/>
      <c r="XZ18" s="84"/>
      <c r="YA18" s="84"/>
      <c r="YB18" s="84"/>
      <c r="YC18" s="84"/>
      <c r="YD18" s="84"/>
      <c r="YE18" s="84"/>
      <c r="YF18" s="84"/>
      <c r="YG18" s="84"/>
      <c r="YH18" s="84"/>
      <c r="YI18" s="84"/>
      <c r="YJ18" s="84"/>
      <c r="YK18" s="84"/>
      <c r="YL18" s="84"/>
      <c r="YM18" s="84"/>
      <c r="YN18" s="84"/>
      <c r="YO18" s="84"/>
      <c r="YP18" s="84"/>
      <c r="YQ18" s="84"/>
      <c r="YR18" s="84"/>
      <c r="YS18" s="84"/>
      <c r="YT18" s="84"/>
      <c r="YU18" s="84"/>
      <c r="YV18" s="84"/>
      <c r="YW18" s="84"/>
      <c r="YX18" s="84"/>
      <c r="YY18" s="84"/>
      <c r="YZ18" s="84"/>
      <c r="ZA18" s="84"/>
      <c r="ZB18" s="84"/>
      <c r="ZC18" s="84"/>
      <c r="ZD18" s="84"/>
      <c r="ZE18" s="84"/>
      <c r="ZF18" s="84"/>
      <c r="ZG18" s="84"/>
      <c r="ZH18" s="84"/>
      <c r="ZI18" s="84"/>
      <c r="ZJ18" s="84"/>
      <c r="ZK18" s="84"/>
      <c r="ZL18" s="84"/>
      <c r="ZM18" s="84"/>
      <c r="ZN18" s="84"/>
      <c r="ZO18" s="84"/>
      <c r="ZP18" s="84"/>
      <c r="ZQ18" s="84"/>
      <c r="ZR18" s="84"/>
      <c r="ZS18" s="84"/>
      <c r="ZT18" s="84"/>
      <c r="ZU18" s="84"/>
      <c r="ZV18" s="84"/>
      <c r="ZW18" s="84"/>
      <c r="ZX18" s="84"/>
      <c r="ZY18" s="84"/>
      <c r="ZZ18" s="84"/>
      <c r="AAA18" s="84"/>
      <c r="AAB18" s="84"/>
      <c r="AAC18" s="84"/>
      <c r="AAD18" s="84"/>
      <c r="AAE18" s="84"/>
      <c r="AAF18" s="84"/>
      <c r="AAG18" s="84"/>
      <c r="AAH18" s="84"/>
      <c r="AAI18" s="84"/>
      <c r="AAJ18" s="84"/>
      <c r="AAK18" s="84"/>
      <c r="AAL18" s="84"/>
      <c r="AAM18" s="84"/>
      <c r="AAN18" s="84"/>
      <c r="AAO18" s="84"/>
      <c r="AAP18" s="84"/>
      <c r="AAQ18" s="84"/>
      <c r="AAR18" s="84"/>
      <c r="AAS18" s="84"/>
      <c r="AAT18" s="84"/>
      <c r="AAU18" s="84"/>
      <c r="AAV18" s="84"/>
      <c r="AAW18" s="84"/>
      <c r="AAX18" s="84"/>
      <c r="AAY18" s="84"/>
      <c r="AAZ18" s="84"/>
      <c r="ABA18" s="84"/>
      <c r="ABB18" s="84"/>
      <c r="ABC18" s="84"/>
      <c r="ABD18" s="84"/>
      <c r="ABE18" s="84"/>
      <c r="ABF18" s="84"/>
      <c r="ABG18" s="84"/>
      <c r="ABH18" s="84"/>
      <c r="ABI18" s="84"/>
      <c r="ABJ18" s="84"/>
      <c r="ABK18" s="84"/>
      <c r="ABL18" s="84"/>
      <c r="ABM18" s="84"/>
      <c r="ABN18" s="84"/>
      <c r="ABO18" s="84"/>
      <c r="ABP18" s="84"/>
      <c r="ABQ18" s="84"/>
      <c r="ABR18" s="84"/>
      <c r="ABS18" s="84"/>
      <c r="ABT18" s="84"/>
      <c r="ABU18" s="84"/>
      <c r="ABV18" s="84"/>
      <c r="ABW18" s="84"/>
      <c r="ABX18" s="84"/>
      <c r="ABY18" s="84"/>
      <c r="ABZ18" s="84"/>
      <c r="ACA18" s="84"/>
      <c r="ACB18" s="84"/>
      <c r="ACC18" s="84"/>
      <c r="ACD18" s="84"/>
      <c r="ACE18" s="84"/>
      <c r="ACF18" s="84"/>
      <c r="ACG18" s="84"/>
      <c r="ACH18" s="84"/>
      <c r="ACI18" s="84"/>
      <c r="ACJ18" s="84"/>
      <c r="ACK18" s="84"/>
      <c r="ACL18" s="84"/>
      <c r="ACM18" s="84"/>
      <c r="ACN18" s="84"/>
      <c r="ACO18" s="84"/>
      <c r="ACP18" s="84"/>
      <c r="ACQ18" s="84"/>
      <c r="ACR18" s="84"/>
      <c r="ACS18" s="84"/>
      <c r="ACT18" s="84"/>
      <c r="ACU18" s="84"/>
      <c r="ACV18" s="84"/>
      <c r="ACW18" s="84"/>
      <c r="ACX18" s="84"/>
      <c r="ACY18" s="84"/>
      <c r="ACZ18" s="84"/>
      <c r="ADA18" s="84"/>
      <c r="ADB18" s="84"/>
      <c r="ADC18" s="84"/>
      <c r="ADD18" s="84"/>
      <c r="ADE18" s="84"/>
      <c r="ADF18" s="84"/>
      <c r="ADG18" s="84"/>
      <c r="ADH18" s="84"/>
      <c r="ADI18" s="84"/>
      <c r="ADJ18" s="84"/>
      <c r="ADK18" s="84"/>
      <c r="ADL18" s="84"/>
      <c r="ADM18" s="84"/>
      <c r="ADN18" s="84"/>
      <c r="ADO18" s="84"/>
      <c r="ADP18" s="84"/>
      <c r="ADQ18" s="84"/>
      <c r="ADR18" s="84"/>
      <c r="ADS18" s="84"/>
      <c r="ADT18" s="84"/>
      <c r="ADU18" s="84"/>
      <c r="ADV18" s="84"/>
      <c r="ADW18" s="84"/>
      <c r="ADX18" s="84"/>
      <c r="ADY18" s="84"/>
      <c r="ADZ18" s="84"/>
      <c r="AEA18" s="84"/>
      <c r="AEB18" s="84"/>
      <c r="AEC18" s="84"/>
      <c r="AED18" s="84"/>
      <c r="AEE18" s="84"/>
      <c r="AEF18" s="84"/>
      <c r="AEG18" s="84"/>
      <c r="AEH18" s="84"/>
      <c r="AEI18" s="84"/>
      <c r="AEJ18" s="84"/>
      <c r="AEK18" s="84"/>
      <c r="AEL18" s="84"/>
      <c r="AEM18" s="84"/>
      <c r="AEN18" s="84"/>
      <c r="AEO18" s="84"/>
      <c r="AEP18" s="84"/>
      <c r="AEQ18" s="84"/>
      <c r="AER18" s="84"/>
      <c r="AES18" s="84"/>
      <c r="AET18" s="84"/>
      <c r="AEU18" s="84"/>
      <c r="AEV18" s="84"/>
      <c r="AEW18" s="84"/>
      <c r="AEX18" s="84"/>
      <c r="AEY18" s="84"/>
      <c r="AEZ18" s="84"/>
      <c r="AFA18" s="84"/>
      <c r="AFB18" s="84"/>
      <c r="AFC18" s="84"/>
      <c r="AFD18" s="84"/>
      <c r="AFE18" s="84"/>
      <c r="AFF18" s="84"/>
      <c r="AFG18" s="84"/>
      <c r="AFH18" s="84"/>
      <c r="AFI18" s="84"/>
      <c r="AFJ18" s="84"/>
      <c r="AFK18" s="84"/>
      <c r="AFL18" s="84"/>
      <c r="AFM18" s="84"/>
      <c r="AFN18" s="84"/>
      <c r="AFO18" s="84"/>
      <c r="AFP18" s="84"/>
      <c r="AFQ18" s="84"/>
      <c r="AFR18" s="84"/>
      <c r="AFS18" s="84"/>
      <c r="AFT18" s="84"/>
      <c r="AFU18" s="84"/>
      <c r="AFV18" s="84"/>
      <c r="AFW18" s="84"/>
      <c r="AFX18" s="84"/>
      <c r="AFY18" s="84"/>
      <c r="AFZ18" s="84"/>
      <c r="AGA18" s="84"/>
      <c r="AGB18" s="84"/>
      <c r="AGC18" s="84"/>
      <c r="AGD18" s="84"/>
      <c r="AGE18" s="84"/>
      <c r="AGF18" s="84"/>
      <c r="AGG18" s="84"/>
      <c r="AGH18" s="84"/>
      <c r="AGI18" s="84"/>
      <c r="AGJ18" s="84"/>
      <c r="AGK18" s="84"/>
      <c r="AGL18" s="84"/>
      <c r="AGM18" s="84"/>
      <c r="AGN18" s="84"/>
      <c r="AGO18" s="84"/>
      <c r="AGP18" s="84"/>
      <c r="AGQ18" s="84"/>
      <c r="AGR18" s="84"/>
      <c r="AGS18" s="84"/>
      <c r="AGT18" s="84"/>
      <c r="AGU18" s="84"/>
      <c r="AGV18" s="84"/>
      <c r="AGW18" s="84"/>
      <c r="AGX18" s="84"/>
      <c r="AGY18" s="84"/>
      <c r="AGZ18" s="84"/>
      <c r="AHA18" s="84"/>
      <c r="AHB18" s="84"/>
      <c r="AHC18" s="84"/>
      <c r="AHD18" s="84"/>
      <c r="AHE18" s="84"/>
      <c r="AHF18" s="84"/>
      <c r="AHG18" s="84"/>
      <c r="AHH18" s="84"/>
      <c r="AHI18" s="84"/>
      <c r="AHJ18" s="84"/>
      <c r="AHK18" s="84"/>
      <c r="AHL18" s="84"/>
      <c r="AHM18" s="84"/>
      <c r="AHN18" s="84"/>
      <c r="AHO18" s="84"/>
      <c r="AHP18" s="84"/>
      <c r="AHQ18" s="84"/>
      <c r="AHR18" s="84"/>
      <c r="AHS18" s="84"/>
      <c r="AHT18" s="84"/>
      <c r="AHU18" s="84"/>
      <c r="AHV18" s="84"/>
      <c r="AHW18" s="84"/>
      <c r="AHX18" s="84"/>
      <c r="AHY18" s="84"/>
      <c r="AHZ18" s="84"/>
      <c r="AIA18" s="84"/>
      <c r="AIB18" s="84"/>
      <c r="AIC18" s="84"/>
      <c r="AID18" s="84"/>
      <c r="AIE18" s="84"/>
      <c r="AIF18" s="84"/>
      <c r="AIG18" s="84"/>
      <c r="AIH18" s="84"/>
      <c r="AII18" s="84"/>
      <c r="AIJ18" s="84"/>
      <c r="AIK18" s="84"/>
      <c r="AIL18" s="84"/>
      <c r="AIM18" s="84"/>
      <c r="AIN18" s="84"/>
      <c r="AIO18" s="84"/>
      <c r="AIP18" s="84"/>
      <c r="AIQ18" s="84"/>
      <c r="AIR18" s="84"/>
      <c r="AIS18" s="84"/>
      <c r="AIT18" s="84"/>
      <c r="AIU18" s="84"/>
      <c r="AIV18" s="84"/>
      <c r="AIW18" s="84"/>
      <c r="AIX18" s="84"/>
      <c r="AIY18" s="84"/>
      <c r="AIZ18" s="84"/>
      <c r="AJA18" s="84"/>
      <c r="AJB18" s="84"/>
      <c r="AJC18" s="84"/>
      <c r="AJD18" s="84"/>
      <c r="AJE18" s="84"/>
      <c r="AJF18" s="84"/>
      <c r="AJG18" s="84"/>
      <c r="AJH18" s="84"/>
      <c r="AJI18" s="84"/>
      <c r="AJJ18" s="84"/>
      <c r="AJK18" s="84"/>
      <c r="AJL18" s="84"/>
      <c r="AJM18" s="84"/>
      <c r="AJN18" s="84"/>
      <c r="AJO18" s="84"/>
      <c r="AJP18" s="84"/>
      <c r="AJQ18" s="84"/>
      <c r="AJR18" s="84"/>
      <c r="AJS18" s="84"/>
      <c r="AJT18" s="84"/>
      <c r="AJU18" s="84"/>
      <c r="AJV18" s="84"/>
      <c r="AJW18" s="84"/>
      <c r="AJX18" s="84"/>
      <c r="AJY18" s="84"/>
      <c r="AJZ18" s="84"/>
      <c r="AKA18" s="84"/>
      <c r="AKB18" s="84"/>
      <c r="AKC18" s="84"/>
      <c r="AKD18" s="84"/>
      <c r="AKE18" s="84"/>
      <c r="AKF18" s="84"/>
      <c r="AKG18" s="84"/>
      <c r="AKH18" s="84"/>
      <c r="AKI18" s="84"/>
      <c r="AKJ18" s="84"/>
      <c r="AKK18" s="84"/>
      <c r="AKL18" s="84"/>
      <c r="AKM18" s="84"/>
      <c r="AKN18" s="84"/>
      <c r="AKO18" s="84"/>
      <c r="AKP18" s="84"/>
      <c r="AKQ18" s="84"/>
      <c r="AKR18" s="84"/>
      <c r="AKS18" s="84"/>
      <c r="AKT18" s="84"/>
      <c r="AKU18" s="84"/>
      <c r="AKV18" s="84"/>
      <c r="AKW18" s="84"/>
      <c r="AKX18" s="84"/>
      <c r="AKY18" s="84"/>
      <c r="AKZ18" s="84"/>
      <c r="ALA18" s="84"/>
      <c r="ALB18" s="84"/>
      <c r="ALC18" s="84"/>
      <c r="ALD18" s="84"/>
      <c r="ALE18" s="84"/>
      <c r="ALF18" s="84"/>
      <c r="ALG18" s="84"/>
      <c r="ALH18" s="84"/>
      <c r="ALI18" s="84"/>
      <c r="ALJ18" s="84"/>
      <c r="ALK18" s="84"/>
      <c r="ALL18" s="84"/>
      <c r="ALM18" s="84"/>
      <c r="ALN18" s="84"/>
      <c r="ALO18" s="84"/>
      <c r="ALP18" s="84"/>
      <c r="ALQ18" s="84"/>
      <c r="ALR18" s="84"/>
      <c r="ALS18" s="84"/>
      <c r="ALT18" s="84"/>
      <c r="ALU18" s="84"/>
      <c r="ALV18" s="84"/>
      <c r="ALW18" s="84"/>
      <c r="ALX18" s="84"/>
      <c r="ALY18" s="84"/>
      <c r="ALZ18" s="84"/>
      <c r="AMA18" s="84"/>
      <c r="AMB18" s="84"/>
      <c r="AMC18" s="84"/>
      <c r="AMD18" s="84"/>
      <c r="AME18" s="84"/>
      <c r="AMF18" s="84"/>
      <c r="AMG18" s="84"/>
      <c r="AMH18" s="84"/>
      <c r="AMI18" s="84"/>
      <c r="AMJ18" s="84"/>
      <c r="AMK18" s="84"/>
      <c r="AML18" s="84"/>
      <c r="AMM18" s="84"/>
      <c r="AMN18" s="84"/>
      <c r="AMO18" s="84"/>
      <c r="AMP18" s="84"/>
      <c r="AMQ18" s="84"/>
      <c r="AMR18" s="84"/>
      <c r="AMS18" s="84"/>
      <c r="AMT18" s="84"/>
      <c r="AMU18" s="84"/>
      <c r="AMV18" s="84"/>
      <c r="AMW18" s="84"/>
      <c r="AMX18" s="84"/>
      <c r="AMY18" s="84"/>
      <c r="AMZ18" s="84"/>
      <c r="ANA18" s="84"/>
      <c r="ANB18" s="84"/>
      <c r="ANC18" s="84"/>
      <c r="AND18" s="84"/>
      <c r="ANE18" s="84"/>
      <c r="ANF18" s="84"/>
      <c r="ANG18" s="84"/>
      <c r="ANH18" s="84"/>
      <c r="ANI18" s="84"/>
      <c r="ANJ18" s="84"/>
      <c r="ANK18" s="84"/>
      <c r="ANL18" s="84"/>
      <c r="ANM18" s="84"/>
      <c r="ANN18" s="84"/>
      <c r="ANO18" s="84"/>
      <c r="ANP18" s="84"/>
      <c r="ANQ18" s="84"/>
      <c r="ANR18" s="84"/>
      <c r="ANS18" s="84"/>
      <c r="ANT18" s="84"/>
      <c r="ANU18" s="84"/>
      <c r="ANV18" s="84"/>
      <c r="ANW18" s="84"/>
      <c r="ANX18" s="84"/>
      <c r="ANY18" s="84"/>
      <c r="ANZ18" s="84"/>
      <c r="AOA18" s="84"/>
      <c r="AOB18" s="84"/>
      <c r="AOC18" s="84"/>
      <c r="AOD18" s="84"/>
      <c r="AOE18" s="84"/>
      <c r="AOF18" s="84"/>
      <c r="AOG18" s="84"/>
      <c r="AOH18" s="84"/>
      <c r="AOI18" s="84"/>
      <c r="AOJ18" s="84"/>
      <c r="AOK18" s="84"/>
      <c r="AOL18" s="84"/>
      <c r="AOM18" s="84"/>
      <c r="AON18" s="84"/>
      <c r="AOO18" s="84"/>
      <c r="AOP18" s="84"/>
      <c r="AOQ18" s="84"/>
      <c r="AOR18" s="84"/>
      <c r="AOS18" s="84"/>
      <c r="AOT18" s="84"/>
      <c r="AOU18" s="84"/>
      <c r="AOV18" s="84"/>
      <c r="AOW18" s="84"/>
      <c r="AOX18" s="84"/>
      <c r="AOY18" s="84"/>
      <c r="AOZ18" s="84"/>
      <c r="APA18" s="84"/>
      <c r="APB18" s="84"/>
      <c r="APC18" s="84"/>
      <c r="APD18" s="84"/>
      <c r="APE18" s="84"/>
      <c r="APF18" s="84"/>
      <c r="APG18" s="84"/>
      <c r="APH18" s="84"/>
      <c r="API18" s="84"/>
      <c r="APJ18" s="84"/>
      <c r="APK18" s="84"/>
      <c r="APL18" s="84"/>
      <c r="APM18" s="84"/>
      <c r="APN18" s="84"/>
      <c r="APO18" s="84"/>
      <c r="APP18" s="84"/>
      <c r="APQ18" s="84"/>
      <c r="APR18" s="84"/>
      <c r="APS18" s="84"/>
      <c r="APT18" s="84"/>
      <c r="APU18" s="84"/>
      <c r="APV18" s="84"/>
      <c r="APW18" s="84"/>
      <c r="APX18" s="84"/>
      <c r="APY18" s="84"/>
      <c r="APZ18" s="84"/>
      <c r="AQA18" s="84"/>
      <c r="AQB18" s="84"/>
      <c r="AQC18" s="84"/>
      <c r="AQD18" s="84"/>
      <c r="AQE18" s="84"/>
      <c r="AQF18" s="84"/>
      <c r="AQG18" s="84"/>
      <c r="AQH18" s="84"/>
      <c r="AQI18" s="84"/>
      <c r="AQJ18" s="84"/>
      <c r="AQK18" s="84"/>
      <c r="AQL18" s="84"/>
      <c r="AQM18" s="84"/>
      <c r="AQN18" s="84"/>
      <c r="AQO18" s="84"/>
      <c r="AQP18" s="84"/>
      <c r="AQQ18" s="84"/>
      <c r="AQR18" s="84"/>
      <c r="AQS18" s="84"/>
      <c r="AQT18" s="84"/>
      <c r="AQU18" s="84"/>
      <c r="AQV18" s="84"/>
      <c r="AQW18" s="84"/>
      <c r="AQX18" s="84"/>
      <c r="AQY18" s="84"/>
      <c r="AQZ18" s="84"/>
      <c r="ARA18" s="84"/>
      <c r="ARB18" s="84"/>
      <c r="ARC18" s="84"/>
      <c r="ARD18" s="84"/>
      <c r="ARE18" s="84"/>
      <c r="ARF18" s="84"/>
      <c r="ARG18" s="84"/>
      <c r="ARH18" s="84"/>
      <c r="ARI18" s="84"/>
      <c r="ARJ18" s="84"/>
      <c r="ARK18" s="84"/>
      <c r="ARL18" s="84"/>
      <c r="ARM18" s="84"/>
      <c r="ARN18" s="84"/>
      <c r="ARO18" s="84"/>
      <c r="ARP18" s="84"/>
      <c r="ARQ18" s="84"/>
      <c r="ARR18" s="84"/>
      <c r="ARS18" s="84"/>
      <c r="ART18" s="84"/>
      <c r="ARU18" s="84"/>
      <c r="ARV18" s="84"/>
      <c r="ARW18" s="84"/>
      <c r="ARX18" s="84"/>
      <c r="ARY18" s="84"/>
      <c r="ARZ18" s="84"/>
      <c r="ASA18" s="84"/>
      <c r="ASB18" s="84"/>
      <c r="ASC18" s="84"/>
      <c r="ASD18" s="84"/>
      <c r="ASE18" s="84"/>
      <c r="ASF18" s="84"/>
      <c r="ASG18" s="84"/>
      <c r="ASH18" s="84"/>
      <c r="ASI18" s="84"/>
      <c r="ASJ18" s="84"/>
      <c r="ASK18" s="84"/>
      <c r="ASL18" s="84"/>
      <c r="ASM18" s="84"/>
      <c r="ASN18" s="84"/>
      <c r="ASO18" s="84"/>
      <c r="ASP18" s="84"/>
      <c r="ASQ18" s="84"/>
      <c r="ASR18" s="84"/>
      <c r="ASS18" s="84"/>
      <c r="AST18" s="84"/>
      <c r="ASU18" s="84"/>
      <c r="ASV18" s="84"/>
      <c r="ASW18" s="84"/>
      <c r="ASX18" s="84"/>
      <c r="ASY18" s="84"/>
      <c r="ASZ18" s="84"/>
      <c r="ATA18" s="84"/>
      <c r="ATB18" s="84"/>
      <c r="ATC18" s="84"/>
      <c r="ATD18" s="84"/>
      <c r="ATE18" s="84"/>
      <c r="ATF18" s="84"/>
      <c r="ATG18" s="84"/>
      <c r="ATH18" s="84"/>
      <c r="ATI18" s="84"/>
      <c r="ATJ18" s="84"/>
      <c r="ATK18" s="84"/>
      <c r="ATL18" s="84"/>
      <c r="ATM18" s="84"/>
      <c r="ATN18" s="84"/>
      <c r="ATO18" s="84"/>
      <c r="ATP18" s="84"/>
      <c r="ATQ18" s="84"/>
      <c r="ATR18" s="84"/>
      <c r="ATS18" s="84"/>
      <c r="ATT18" s="84"/>
      <c r="ATU18" s="84"/>
      <c r="ATV18" s="84"/>
      <c r="ATW18" s="84"/>
      <c r="ATX18" s="84"/>
      <c r="ATY18" s="84"/>
      <c r="ATZ18" s="84"/>
      <c r="AUA18" s="84"/>
      <c r="AUB18" s="84"/>
      <c r="AUC18" s="84"/>
      <c r="AUD18" s="84"/>
      <c r="AUE18" s="84"/>
      <c r="AUF18" s="84"/>
      <c r="AUG18" s="84"/>
      <c r="AUH18" s="84"/>
      <c r="AUI18" s="84"/>
      <c r="AUJ18" s="84"/>
      <c r="AUK18" s="84"/>
      <c r="AUL18" s="84"/>
      <c r="AUM18" s="84"/>
      <c r="AUN18" s="84"/>
      <c r="AUO18" s="84"/>
      <c r="AUP18" s="84"/>
      <c r="AUQ18" s="84"/>
      <c r="AUR18" s="84"/>
      <c r="AUS18" s="84"/>
      <c r="AUT18" s="84"/>
      <c r="AUU18" s="84"/>
      <c r="AUV18" s="84"/>
      <c r="AUW18" s="84"/>
      <c r="AUX18" s="84"/>
      <c r="AUY18" s="84"/>
      <c r="AUZ18" s="84"/>
      <c r="AVA18" s="84"/>
      <c r="AVB18" s="84"/>
      <c r="AVC18" s="84"/>
      <c r="AVD18" s="84"/>
      <c r="AVE18" s="84"/>
      <c r="AVF18" s="84"/>
      <c r="AVG18" s="84"/>
      <c r="AVH18" s="84"/>
      <c r="AVI18" s="84"/>
      <c r="AVJ18" s="84"/>
      <c r="AVK18" s="84"/>
      <c r="AVL18" s="84"/>
      <c r="AVM18" s="84"/>
      <c r="AVN18" s="84"/>
      <c r="AVO18" s="84"/>
      <c r="AVP18" s="84"/>
      <c r="AVQ18" s="84"/>
      <c r="AVR18" s="84"/>
      <c r="AVS18" s="84"/>
      <c r="AVT18" s="84"/>
      <c r="AVU18" s="84"/>
      <c r="AVV18" s="84"/>
      <c r="AVW18" s="84"/>
      <c r="AVX18" s="84"/>
      <c r="AVY18" s="84"/>
      <c r="AVZ18" s="84"/>
      <c r="AWA18" s="84"/>
      <c r="AWB18" s="84"/>
      <c r="AWC18" s="84"/>
      <c r="AWD18" s="84"/>
      <c r="AWE18" s="84"/>
      <c r="AWF18" s="84"/>
      <c r="AWG18" s="84"/>
      <c r="AWH18" s="84"/>
      <c r="AWI18" s="84"/>
      <c r="AWJ18" s="84"/>
      <c r="AWK18" s="84"/>
      <c r="AWL18" s="84"/>
      <c r="AWM18" s="84"/>
      <c r="AWN18" s="84"/>
      <c r="AWO18" s="84"/>
      <c r="AWP18" s="84"/>
      <c r="AWQ18" s="84"/>
      <c r="AWR18" s="84"/>
      <c r="AWS18" s="84"/>
      <c r="AWT18" s="84"/>
      <c r="AWU18" s="84"/>
      <c r="AWV18" s="84"/>
      <c r="AWW18" s="84"/>
      <c r="AWX18" s="84"/>
      <c r="AWY18" s="84"/>
      <c r="AWZ18" s="84"/>
      <c r="AXA18" s="84"/>
      <c r="AXB18" s="84"/>
      <c r="AXC18" s="84"/>
      <c r="AXD18" s="84"/>
      <c r="AXE18" s="84"/>
      <c r="AXF18" s="84"/>
      <c r="AXG18" s="84"/>
      <c r="AXH18" s="84"/>
      <c r="AXI18" s="84"/>
      <c r="AXJ18" s="84"/>
      <c r="AXK18" s="84"/>
      <c r="AXL18" s="84"/>
      <c r="AXM18" s="84"/>
      <c r="AXN18" s="84"/>
      <c r="AXO18" s="84"/>
      <c r="AXP18" s="84"/>
      <c r="AXQ18" s="84"/>
      <c r="AXR18" s="84"/>
      <c r="AXS18" s="84"/>
      <c r="AXT18" s="84"/>
      <c r="AXU18" s="84"/>
      <c r="AXV18" s="84"/>
      <c r="AXW18" s="84"/>
      <c r="AXX18" s="84"/>
      <c r="AXY18" s="84"/>
      <c r="AXZ18" s="84"/>
      <c r="AYA18" s="84"/>
      <c r="AYB18" s="84"/>
      <c r="AYC18" s="84"/>
      <c r="AYD18" s="84"/>
      <c r="AYE18" s="84"/>
      <c r="AYF18" s="84"/>
      <c r="AYG18" s="84"/>
      <c r="AYH18" s="84"/>
      <c r="AYI18" s="84"/>
      <c r="AYJ18" s="84"/>
      <c r="AYK18" s="84"/>
      <c r="AYL18" s="84"/>
      <c r="AYM18" s="84"/>
      <c r="AYN18" s="84"/>
      <c r="AYO18" s="84"/>
      <c r="AYP18" s="84"/>
      <c r="AYQ18" s="84"/>
      <c r="AYR18" s="84"/>
      <c r="AYS18" s="84"/>
      <c r="AYT18" s="84"/>
      <c r="AYU18" s="84"/>
      <c r="AYV18" s="84"/>
      <c r="AYW18" s="84"/>
      <c r="AYX18" s="84"/>
      <c r="AYY18" s="84"/>
      <c r="AYZ18" s="84"/>
      <c r="AZA18" s="84"/>
      <c r="AZB18" s="84"/>
      <c r="AZC18" s="84"/>
      <c r="AZD18" s="84"/>
      <c r="AZE18" s="84"/>
      <c r="AZF18" s="84"/>
      <c r="AZG18" s="84"/>
      <c r="AZH18" s="84"/>
      <c r="AZI18" s="84"/>
      <c r="AZJ18" s="84"/>
      <c r="AZK18" s="84"/>
      <c r="AZL18" s="84"/>
      <c r="AZM18" s="84"/>
      <c r="AZN18" s="84"/>
      <c r="AZO18" s="84"/>
      <c r="AZP18" s="84"/>
      <c r="AZQ18" s="84"/>
      <c r="AZR18" s="84"/>
      <c r="AZS18" s="84"/>
      <c r="AZT18" s="84"/>
      <c r="AZU18" s="84"/>
      <c r="AZV18" s="84"/>
      <c r="AZW18" s="84"/>
      <c r="AZX18" s="84"/>
      <c r="AZY18" s="84"/>
      <c r="AZZ18" s="84"/>
      <c r="BAA18" s="84"/>
      <c r="BAB18" s="84"/>
      <c r="BAC18" s="84"/>
      <c r="BAD18" s="84"/>
      <c r="BAE18" s="84"/>
      <c r="BAF18" s="84"/>
      <c r="BAG18" s="84"/>
      <c r="BAH18" s="84"/>
      <c r="BAI18" s="84"/>
      <c r="BAJ18" s="84"/>
      <c r="BAK18" s="84"/>
      <c r="BAL18" s="84"/>
      <c r="BAM18" s="84"/>
      <c r="BAN18" s="84"/>
      <c r="BAO18" s="84"/>
      <c r="BAP18" s="84"/>
      <c r="BAQ18" s="84"/>
      <c r="BAR18" s="84"/>
      <c r="BAS18" s="84"/>
      <c r="BAT18" s="84"/>
      <c r="BAU18" s="84"/>
      <c r="BAV18" s="84"/>
      <c r="BAW18" s="84"/>
      <c r="BAX18" s="84"/>
      <c r="BAY18" s="84"/>
      <c r="BAZ18" s="84"/>
      <c r="BBA18" s="84"/>
      <c r="BBB18" s="84"/>
      <c r="BBC18" s="84"/>
      <c r="BBD18" s="84"/>
      <c r="BBE18" s="84"/>
      <c r="BBF18" s="84"/>
      <c r="BBG18" s="84"/>
      <c r="BBH18" s="84"/>
      <c r="BBI18" s="84"/>
      <c r="BBJ18" s="84"/>
      <c r="BBK18" s="84"/>
      <c r="BBL18" s="84"/>
      <c r="BBM18" s="84"/>
      <c r="BBN18" s="84"/>
      <c r="BBO18" s="84"/>
      <c r="BBP18" s="84"/>
      <c r="BBQ18" s="84"/>
      <c r="BBR18" s="84"/>
      <c r="BBS18" s="84"/>
      <c r="BBT18" s="84"/>
      <c r="BBU18" s="84"/>
      <c r="BBV18" s="84"/>
      <c r="BBW18" s="84"/>
      <c r="BBX18" s="84"/>
      <c r="BBY18" s="84"/>
      <c r="BBZ18" s="84"/>
      <c r="BCA18" s="84"/>
      <c r="BCB18" s="84"/>
      <c r="BCC18" s="84"/>
      <c r="BCD18" s="84"/>
      <c r="BCE18" s="84"/>
      <c r="BCF18" s="84"/>
      <c r="BCG18" s="84"/>
      <c r="BCH18" s="84"/>
      <c r="BCI18" s="84"/>
      <c r="BCJ18" s="84"/>
      <c r="BCK18" s="84"/>
      <c r="BCL18" s="84"/>
      <c r="BCM18" s="84"/>
      <c r="BCN18" s="84"/>
      <c r="BCO18" s="84"/>
      <c r="BCP18" s="84"/>
      <c r="BCQ18" s="84"/>
      <c r="BCR18" s="84"/>
      <c r="BCS18" s="84"/>
      <c r="BCT18" s="84"/>
      <c r="BCU18" s="84"/>
      <c r="BCV18" s="84"/>
      <c r="BCW18" s="84"/>
      <c r="BCX18" s="84"/>
      <c r="BCY18" s="84"/>
      <c r="BCZ18" s="84"/>
      <c r="BDA18" s="84"/>
      <c r="BDB18" s="84"/>
      <c r="BDC18" s="84"/>
      <c r="BDD18" s="84"/>
      <c r="BDE18" s="84"/>
      <c r="BDF18" s="84"/>
      <c r="BDG18" s="84"/>
      <c r="BDH18" s="84"/>
      <c r="BDI18" s="84"/>
      <c r="BDJ18" s="84"/>
      <c r="BDK18" s="84"/>
      <c r="BDL18" s="84"/>
      <c r="BDM18" s="84"/>
      <c r="BDN18" s="84"/>
      <c r="BDO18" s="84"/>
      <c r="BDP18" s="84"/>
      <c r="BDQ18" s="84"/>
      <c r="BDR18" s="84"/>
      <c r="BDS18" s="84"/>
      <c r="BDT18" s="84"/>
      <c r="BDU18" s="84"/>
      <c r="BDV18" s="84"/>
      <c r="BDW18" s="84"/>
      <c r="BDX18" s="84"/>
      <c r="BDY18" s="84"/>
      <c r="BDZ18" s="84"/>
      <c r="BEA18" s="84"/>
      <c r="BEB18" s="84"/>
      <c r="BEC18" s="84"/>
      <c r="BED18" s="84"/>
      <c r="BEE18" s="84"/>
      <c r="BEF18" s="84"/>
      <c r="BEG18" s="84"/>
      <c r="BEH18" s="84"/>
      <c r="BEI18" s="84"/>
      <c r="BEJ18" s="84"/>
      <c r="BEK18" s="84"/>
      <c r="BEL18" s="84"/>
      <c r="BEM18" s="84"/>
      <c r="BEN18" s="84"/>
      <c r="BEO18" s="84"/>
      <c r="BEP18" s="84"/>
      <c r="BEQ18" s="84"/>
      <c r="BER18" s="84"/>
      <c r="BES18" s="84"/>
      <c r="BET18" s="84"/>
      <c r="BEU18" s="84"/>
      <c r="BEV18" s="84"/>
      <c r="BEW18" s="84"/>
      <c r="BEX18" s="84"/>
      <c r="BEY18" s="84"/>
      <c r="BEZ18" s="84"/>
      <c r="BFA18" s="84"/>
      <c r="BFB18" s="84"/>
      <c r="BFC18" s="84"/>
      <c r="BFD18" s="84"/>
      <c r="BFE18" s="84"/>
      <c r="BFF18" s="84"/>
      <c r="BFG18" s="84"/>
      <c r="BFH18" s="84"/>
      <c r="BFI18" s="84"/>
      <c r="BFJ18" s="84"/>
      <c r="BFK18" s="84"/>
      <c r="BFL18" s="84"/>
      <c r="BFM18" s="84"/>
      <c r="BFN18" s="84"/>
      <c r="BFO18" s="84"/>
      <c r="BFP18" s="84"/>
      <c r="BFQ18" s="84"/>
      <c r="BFR18" s="84"/>
      <c r="BFS18" s="84"/>
      <c r="BFT18" s="84"/>
      <c r="BFU18" s="84"/>
      <c r="BFV18" s="84"/>
      <c r="BFW18" s="84"/>
      <c r="BFX18" s="84"/>
      <c r="BFY18" s="84"/>
      <c r="BFZ18" s="84"/>
      <c r="BGA18" s="84"/>
      <c r="BGB18" s="84"/>
      <c r="BGC18" s="84"/>
      <c r="BGD18" s="84"/>
      <c r="BGE18" s="84"/>
      <c r="BGF18" s="84"/>
      <c r="BGG18" s="84"/>
      <c r="BGH18" s="84"/>
      <c r="BGI18" s="84"/>
      <c r="BGJ18" s="84"/>
      <c r="BGK18" s="84"/>
      <c r="BGL18" s="84"/>
      <c r="BGM18" s="84"/>
      <c r="BGN18" s="84"/>
      <c r="BGO18" s="84"/>
      <c r="BGP18" s="84"/>
      <c r="BGQ18" s="84"/>
      <c r="BGR18" s="84"/>
      <c r="BGS18" s="84"/>
      <c r="BGT18" s="84"/>
      <c r="BGU18" s="84"/>
      <c r="BGV18" s="84"/>
      <c r="BGW18" s="84"/>
      <c r="BGX18" s="84"/>
      <c r="BGY18" s="84"/>
      <c r="BGZ18" s="84"/>
      <c r="BHA18" s="84"/>
      <c r="BHB18" s="84"/>
      <c r="BHC18" s="84"/>
      <c r="BHD18" s="84"/>
      <c r="BHE18" s="84"/>
      <c r="BHF18" s="84"/>
      <c r="BHG18" s="84"/>
      <c r="BHH18" s="84"/>
      <c r="BHI18" s="84"/>
      <c r="BHJ18" s="84"/>
      <c r="BHK18" s="84"/>
      <c r="BHL18" s="84"/>
      <c r="BHM18" s="84"/>
      <c r="BHN18" s="84"/>
      <c r="BHO18" s="84"/>
      <c r="BHP18" s="84"/>
      <c r="BHQ18" s="84"/>
      <c r="BHR18" s="84"/>
      <c r="BHS18" s="84"/>
      <c r="BHT18" s="84"/>
      <c r="BHU18" s="84"/>
      <c r="BHV18" s="84"/>
      <c r="BHW18" s="84"/>
      <c r="BHX18" s="84"/>
      <c r="BHY18" s="84"/>
      <c r="BHZ18" s="84"/>
      <c r="BIA18" s="84"/>
      <c r="BIB18" s="84"/>
      <c r="BIC18" s="84"/>
      <c r="BID18" s="84"/>
      <c r="BIE18" s="84"/>
      <c r="BIF18" s="84"/>
      <c r="BIG18" s="84"/>
      <c r="BIH18" s="84"/>
      <c r="BII18" s="84"/>
      <c r="BIJ18" s="84"/>
      <c r="BIK18" s="84"/>
      <c r="BIL18" s="84"/>
      <c r="BIM18" s="84"/>
      <c r="BIN18" s="84"/>
      <c r="BIO18" s="84"/>
      <c r="BIP18" s="84"/>
      <c r="BIQ18" s="84"/>
      <c r="BIR18" s="84"/>
      <c r="BIS18" s="84"/>
      <c r="BIT18" s="84"/>
      <c r="BIU18" s="84"/>
      <c r="BIV18" s="84"/>
      <c r="BIW18" s="84"/>
      <c r="BIX18" s="84"/>
      <c r="BIY18" s="84"/>
      <c r="BIZ18" s="84"/>
      <c r="BJA18" s="84"/>
      <c r="BJB18" s="84"/>
      <c r="BJC18" s="84"/>
      <c r="BJD18" s="84"/>
      <c r="BJE18" s="84"/>
      <c r="BJF18" s="84"/>
      <c r="BJG18" s="84"/>
      <c r="BJH18" s="84"/>
      <c r="BJI18" s="84"/>
      <c r="BJJ18" s="84"/>
      <c r="BJK18" s="84"/>
      <c r="BJL18" s="84"/>
      <c r="BJM18" s="84"/>
      <c r="BJN18" s="84"/>
      <c r="BJO18" s="84"/>
      <c r="BJP18" s="84"/>
      <c r="BJQ18" s="84"/>
      <c r="BJR18" s="84"/>
      <c r="BJS18" s="84"/>
      <c r="BJT18" s="84"/>
      <c r="BJU18" s="84"/>
      <c r="BJV18" s="84"/>
      <c r="BJW18" s="84"/>
      <c r="BJX18" s="84"/>
      <c r="BJY18" s="84"/>
      <c r="BJZ18" s="84"/>
      <c r="BKA18" s="84"/>
      <c r="BKB18" s="84"/>
      <c r="BKC18" s="84"/>
      <c r="BKD18" s="84"/>
      <c r="BKE18" s="84"/>
      <c r="BKF18" s="84"/>
      <c r="BKG18" s="84"/>
      <c r="BKH18" s="84"/>
      <c r="BKI18" s="84"/>
      <c r="BKJ18" s="84"/>
      <c r="BKK18" s="84"/>
      <c r="BKL18" s="84"/>
      <c r="BKM18" s="84"/>
      <c r="BKN18" s="84"/>
      <c r="BKO18" s="84"/>
      <c r="BKP18" s="84"/>
      <c r="BKQ18" s="84"/>
      <c r="BKR18" s="84"/>
      <c r="BKS18" s="84"/>
      <c r="BKT18" s="84"/>
      <c r="BKU18" s="84"/>
      <c r="BKV18" s="84"/>
      <c r="BKW18" s="84"/>
      <c r="BKX18" s="84"/>
      <c r="BKY18" s="84"/>
      <c r="BKZ18" s="84"/>
      <c r="BLA18" s="84"/>
      <c r="BLB18" s="84"/>
      <c r="BLC18" s="84"/>
      <c r="BLD18" s="84"/>
      <c r="BLE18" s="84"/>
      <c r="BLF18" s="84"/>
      <c r="BLG18" s="84"/>
      <c r="BLH18" s="84"/>
      <c r="BLI18" s="84"/>
      <c r="BLJ18" s="84"/>
      <c r="BLK18" s="84"/>
      <c r="BLL18" s="84"/>
      <c r="BLM18" s="84"/>
      <c r="BLN18" s="84"/>
      <c r="BLO18" s="84"/>
      <c r="BLP18" s="84"/>
      <c r="BLQ18" s="84"/>
      <c r="BLR18" s="84"/>
      <c r="BLS18" s="84"/>
      <c r="BLT18" s="84"/>
      <c r="BLU18" s="84"/>
      <c r="BLV18" s="84"/>
      <c r="BLW18" s="84"/>
      <c r="BLX18" s="84"/>
      <c r="BLY18" s="84"/>
      <c r="BLZ18" s="84"/>
      <c r="BMA18" s="84"/>
      <c r="BMB18" s="84"/>
      <c r="BMC18" s="84"/>
      <c r="BMD18" s="84"/>
      <c r="BME18" s="84"/>
      <c r="BMF18" s="84"/>
      <c r="BMG18" s="84"/>
      <c r="BMH18" s="84"/>
      <c r="BMI18" s="84"/>
      <c r="BMJ18" s="84"/>
      <c r="BMK18" s="84"/>
      <c r="BML18" s="84"/>
      <c r="BMM18" s="84"/>
      <c r="BMN18" s="84"/>
      <c r="BMO18" s="84"/>
      <c r="BMP18" s="84"/>
      <c r="BMQ18" s="84"/>
      <c r="BMR18" s="84"/>
      <c r="BMS18" s="84"/>
      <c r="BMT18" s="84"/>
      <c r="BMU18" s="84"/>
      <c r="BMV18" s="84"/>
      <c r="BMW18" s="84"/>
      <c r="BMX18" s="84"/>
      <c r="BMY18" s="84"/>
      <c r="BMZ18" s="84"/>
      <c r="BNA18" s="84"/>
      <c r="BNB18" s="84"/>
      <c r="BNC18" s="84"/>
      <c r="BND18" s="84"/>
      <c r="BNE18" s="84"/>
      <c r="BNF18" s="84"/>
      <c r="BNG18" s="84"/>
      <c r="BNH18" s="84"/>
      <c r="BNI18" s="84"/>
      <c r="BNJ18" s="84"/>
      <c r="BNK18" s="84"/>
      <c r="BNL18" s="84"/>
      <c r="BNM18" s="84"/>
      <c r="BNN18" s="84"/>
      <c r="BNO18" s="84"/>
      <c r="BNP18" s="84"/>
      <c r="BNQ18" s="84"/>
      <c r="BNR18" s="84"/>
      <c r="BNS18" s="84"/>
      <c r="BNT18" s="84"/>
      <c r="BNU18" s="84"/>
      <c r="BNV18" s="84"/>
      <c r="BNW18" s="84"/>
      <c r="BNX18" s="84"/>
      <c r="BNY18" s="84"/>
      <c r="BNZ18" s="84"/>
      <c r="BOA18" s="84"/>
      <c r="BOB18" s="84"/>
      <c r="BOC18" s="84"/>
      <c r="BOD18" s="84"/>
      <c r="BOE18" s="84"/>
      <c r="BOF18" s="84"/>
      <c r="BOG18" s="84"/>
      <c r="BOH18" s="84"/>
      <c r="BOI18" s="84"/>
      <c r="BOJ18" s="84"/>
      <c r="BOK18" s="84"/>
      <c r="BOL18" s="84"/>
      <c r="BOM18" s="84"/>
      <c r="BON18" s="84"/>
      <c r="BOO18" s="84"/>
      <c r="BOP18" s="84"/>
      <c r="BOQ18" s="84"/>
      <c r="BOR18" s="84"/>
      <c r="BOS18" s="84"/>
      <c r="BOT18" s="84"/>
      <c r="BOU18" s="84"/>
      <c r="BOV18" s="84"/>
      <c r="BOW18" s="84"/>
      <c r="BOX18" s="84"/>
      <c r="BOY18" s="84"/>
      <c r="BOZ18" s="84"/>
      <c r="BPA18" s="84"/>
      <c r="BPB18" s="84"/>
      <c r="BPC18" s="84"/>
      <c r="BPD18" s="84"/>
      <c r="BPE18" s="84"/>
      <c r="BPF18" s="84"/>
      <c r="BPG18" s="84"/>
      <c r="BPH18" s="84"/>
      <c r="BPI18" s="84"/>
      <c r="BPJ18" s="84"/>
      <c r="BPK18" s="84"/>
      <c r="BPL18" s="84"/>
      <c r="BPM18" s="84"/>
      <c r="BPN18" s="84"/>
      <c r="BPO18" s="84"/>
      <c r="BPP18" s="84"/>
      <c r="BPQ18" s="84"/>
      <c r="BPR18" s="84"/>
      <c r="BPS18" s="84"/>
      <c r="BPT18" s="84"/>
      <c r="BPU18" s="84"/>
      <c r="BPV18" s="84"/>
      <c r="BPW18" s="84"/>
      <c r="BPX18" s="84"/>
      <c r="BPY18" s="84"/>
      <c r="BPZ18" s="84"/>
      <c r="BQA18" s="84"/>
      <c r="BQB18" s="84"/>
      <c r="BQC18" s="84"/>
      <c r="BQD18" s="84"/>
      <c r="BQE18" s="84"/>
      <c r="BQF18" s="84"/>
      <c r="BQG18" s="84"/>
      <c r="BQH18" s="84"/>
      <c r="BQI18" s="84"/>
      <c r="BQJ18" s="84"/>
      <c r="BQK18" s="84"/>
      <c r="BQL18" s="84"/>
      <c r="BQM18" s="84"/>
      <c r="BQN18" s="84"/>
      <c r="BQO18" s="84"/>
      <c r="BQP18" s="84"/>
      <c r="BQQ18" s="84"/>
      <c r="BQR18" s="84"/>
      <c r="BQS18" s="84"/>
      <c r="BQT18" s="84"/>
      <c r="BQU18" s="84"/>
      <c r="BQV18" s="84"/>
      <c r="BQW18" s="84"/>
      <c r="BQX18" s="84"/>
      <c r="BQY18" s="84"/>
      <c r="BQZ18" s="84"/>
      <c r="BRA18" s="84"/>
      <c r="BRB18" s="84"/>
      <c r="BRC18" s="84"/>
      <c r="BRD18" s="84"/>
      <c r="BRE18" s="84"/>
      <c r="BRF18" s="84"/>
      <c r="BRG18" s="84"/>
      <c r="BRH18" s="84"/>
      <c r="BRI18" s="84"/>
      <c r="BRJ18" s="84"/>
      <c r="BRK18" s="84"/>
      <c r="BRL18" s="84"/>
      <c r="BRM18" s="84"/>
      <c r="BRN18" s="84"/>
      <c r="BRO18" s="84"/>
      <c r="BRP18" s="84"/>
      <c r="BRQ18" s="84"/>
      <c r="BRR18" s="84"/>
      <c r="BRS18" s="84"/>
      <c r="BRT18" s="84"/>
      <c r="BRU18" s="84"/>
      <c r="BRV18" s="84"/>
      <c r="BRW18" s="84"/>
      <c r="BRX18" s="84"/>
      <c r="BRY18" s="84"/>
      <c r="BRZ18" s="84"/>
      <c r="BSA18" s="84"/>
      <c r="BSB18" s="84"/>
      <c r="BSC18" s="84"/>
      <c r="BSD18" s="84"/>
      <c r="BSE18" s="84"/>
      <c r="BSF18" s="84"/>
      <c r="BSG18" s="84"/>
      <c r="BSH18" s="84"/>
      <c r="BSI18" s="84"/>
      <c r="BSJ18" s="84"/>
      <c r="BSK18" s="84"/>
      <c r="BSL18" s="84"/>
      <c r="BSM18" s="84"/>
      <c r="BSN18" s="84"/>
      <c r="BSO18" s="84"/>
      <c r="BSP18" s="84"/>
      <c r="BSQ18" s="84"/>
      <c r="BSR18" s="84"/>
      <c r="BSS18" s="84"/>
      <c r="BST18" s="84"/>
      <c r="BSU18" s="84"/>
      <c r="BSV18" s="84"/>
      <c r="BSW18" s="84"/>
      <c r="BSX18" s="84"/>
      <c r="BSY18" s="84"/>
      <c r="BSZ18" s="84"/>
      <c r="BTA18" s="84"/>
      <c r="BTB18" s="84"/>
      <c r="BTC18" s="84"/>
      <c r="BTD18" s="84"/>
      <c r="BTE18" s="84"/>
      <c r="BTF18" s="84"/>
      <c r="BTG18" s="84"/>
      <c r="BTH18" s="84"/>
      <c r="BTI18" s="84"/>
      <c r="BTJ18" s="84"/>
      <c r="BTK18" s="84"/>
      <c r="BTL18" s="84"/>
      <c r="BTM18" s="84"/>
      <c r="BTN18" s="84"/>
      <c r="BTO18" s="84"/>
      <c r="BTP18" s="84"/>
      <c r="BTQ18" s="84"/>
      <c r="BTR18" s="84"/>
      <c r="BTS18" s="84"/>
      <c r="BTT18" s="84"/>
      <c r="BTU18" s="84"/>
      <c r="BTV18" s="84"/>
      <c r="BTW18" s="84"/>
      <c r="BTX18" s="84"/>
      <c r="BTY18" s="84"/>
      <c r="BTZ18" s="84"/>
      <c r="BUA18" s="84"/>
      <c r="BUB18" s="84"/>
      <c r="BUC18" s="84"/>
      <c r="BUD18" s="84"/>
      <c r="BUE18" s="84"/>
      <c r="BUF18" s="84"/>
      <c r="BUG18" s="84"/>
      <c r="BUH18" s="84"/>
      <c r="BUI18" s="84"/>
      <c r="BUJ18" s="84"/>
      <c r="BUK18" s="84"/>
      <c r="BUL18" s="84"/>
      <c r="BUM18" s="84"/>
      <c r="BUN18" s="84"/>
      <c r="BUO18" s="84"/>
      <c r="BUP18" s="84"/>
      <c r="BUQ18" s="84"/>
      <c r="BUR18" s="84"/>
      <c r="BUS18" s="84"/>
      <c r="BUT18" s="84"/>
      <c r="BUU18" s="84"/>
      <c r="BUV18" s="84"/>
      <c r="BUW18" s="84"/>
      <c r="BUX18" s="84"/>
      <c r="BUY18" s="84"/>
      <c r="BUZ18" s="84"/>
      <c r="BVA18" s="84"/>
      <c r="BVB18" s="84"/>
      <c r="BVC18" s="84"/>
      <c r="BVD18" s="84"/>
      <c r="BVE18" s="84"/>
      <c r="BVF18" s="84"/>
      <c r="BVG18" s="84"/>
      <c r="BVH18" s="84"/>
      <c r="BVI18" s="84"/>
      <c r="BVJ18" s="84"/>
      <c r="BVK18" s="84"/>
      <c r="BVL18" s="84"/>
      <c r="BVM18" s="84"/>
      <c r="BVN18" s="84"/>
      <c r="BVO18" s="84"/>
      <c r="BVP18" s="84"/>
      <c r="BVQ18" s="84"/>
      <c r="BVR18" s="84"/>
      <c r="BVS18" s="84"/>
      <c r="BVT18" s="84"/>
      <c r="BVU18" s="84"/>
      <c r="BVV18" s="84"/>
      <c r="BVW18" s="84"/>
      <c r="BVX18" s="84"/>
      <c r="BVY18" s="84"/>
      <c r="BVZ18" s="84"/>
      <c r="BWA18" s="84"/>
      <c r="BWB18" s="84"/>
      <c r="BWC18" s="84"/>
      <c r="BWD18" s="84"/>
      <c r="BWE18" s="84"/>
      <c r="BWF18" s="84"/>
      <c r="BWG18" s="84"/>
      <c r="BWH18" s="84"/>
      <c r="BWI18" s="84"/>
      <c r="BWJ18" s="84"/>
      <c r="BWK18" s="84"/>
      <c r="BWL18" s="84"/>
      <c r="BWM18" s="84"/>
      <c r="BWN18" s="84"/>
      <c r="BWO18" s="84"/>
      <c r="BWP18" s="84"/>
      <c r="BWQ18" s="84"/>
      <c r="BWR18" s="84"/>
      <c r="BWS18" s="84"/>
      <c r="BWT18" s="84"/>
      <c r="BWU18" s="84"/>
      <c r="BWV18" s="84"/>
      <c r="BWW18" s="84"/>
      <c r="BWX18" s="84"/>
      <c r="BWY18" s="84"/>
      <c r="BWZ18" s="84"/>
      <c r="BXA18" s="84"/>
      <c r="BXB18" s="84"/>
      <c r="BXC18" s="84"/>
      <c r="BXD18" s="84"/>
      <c r="BXE18" s="84"/>
      <c r="BXF18" s="84"/>
      <c r="BXG18" s="84"/>
      <c r="BXH18" s="84"/>
      <c r="BXI18" s="84"/>
      <c r="BXJ18" s="84"/>
      <c r="BXK18" s="84"/>
      <c r="BXL18" s="84"/>
      <c r="BXM18" s="84"/>
      <c r="BXN18" s="84"/>
      <c r="BXO18" s="84"/>
      <c r="BXP18" s="84"/>
      <c r="BXQ18" s="84"/>
      <c r="BXR18" s="84"/>
      <c r="BXS18" s="84"/>
      <c r="BXT18" s="84"/>
      <c r="BXU18" s="84"/>
      <c r="BXV18" s="84"/>
      <c r="BXW18" s="84"/>
      <c r="BXX18" s="84"/>
      <c r="BXY18" s="84"/>
      <c r="BXZ18" s="84"/>
      <c r="BYA18" s="84"/>
      <c r="BYB18" s="84"/>
      <c r="BYC18" s="84"/>
      <c r="BYD18" s="84"/>
      <c r="BYE18" s="84"/>
      <c r="BYF18" s="84"/>
      <c r="BYG18" s="84"/>
      <c r="BYH18" s="84"/>
      <c r="BYI18" s="84"/>
      <c r="BYJ18" s="84"/>
      <c r="BYK18" s="84"/>
      <c r="BYL18" s="84"/>
      <c r="BYM18" s="84"/>
      <c r="BYN18" s="84"/>
      <c r="BYO18" s="84"/>
      <c r="BYP18" s="84"/>
      <c r="BYQ18" s="84"/>
      <c r="BYR18" s="84"/>
      <c r="BYS18" s="84"/>
      <c r="BYT18" s="84"/>
      <c r="BYU18" s="84"/>
      <c r="BYV18" s="84"/>
      <c r="BYW18" s="84"/>
      <c r="BYX18" s="84"/>
      <c r="BYY18" s="84"/>
      <c r="BYZ18" s="84"/>
      <c r="BZA18" s="84"/>
      <c r="BZB18" s="84"/>
      <c r="BZC18" s="84"/>
      <c r="BZD18" s="84"/>
      <c r="BZE18" s="84"/>
      <c r="BZF18" s="84"/>
      <c r="BZG18" s="84"/>
      <c r="BZH18" s="84"/>
      <c r="BZI18" s="84"/>
      <c r="BZJ18" s="84"/>
      <c r="BZK18" s="84"/>
      <c r="BZL18" s="84"/>
      <c r="BZM18" s="84"/>
      <c r="BZN18" s="84"/>
      <c r="BZO18" s="84"/>
      <c r="BZP18" s="84"/>
      <c r="BZQ18" s="84"/>
      <c r="BZR18" s="84"/>
      <c r="BZS18" s="84"/>
      <c r="BZT18" s="84"/>
      <c r="BZU18" s="84"/>
      <c r="BZV18" s="84"/>
      <c r="BZW18" s="84"/>
      <c r="BZX18" s="84"/>
      <c r="BZY18" s="84"/>
      <c r="BZZ18" s="84"/>
      <c r="CAA18" s="84"/>
      <c r="CAB18" s="84"/>
      <c r="CAC18" s="84"/>
      <c r="CAD18" s="84"/>
      <c r="CAE18" s="84"/>
      <c r="CAF18" s="84"/>
      <c r="CAG18" s="84"/>
      <c r="CAH18" s="84"/>
      <c r="CAI18" s="84"/>
      <c r="CAJ18" s="84"/>
      <c r="CAK18" s="84"/>
      <c r="CAL18" s="84"/>
      <c r="CAM18" s="84"/>
      <c r="CAN18" s="84"/>
      <c r="CAO18" s="84"/>
      <c r="CAP18" s="84"/>
      <c r="CAQ18" s="84"/>
      <c r="CAR18" s="84"/>
      <c r="CAS18" s="84"/>
      <c r="CAT18" s="84"/>
      <c r="CAU18" s="84"/>
      <c r="CAV18" s="84"/>
      <c r="CAW18" s="84"/>
      <c r="CAX18" s="84"/>
      <c r="CAY18" s="84"/>
      <c r="CAZ18" s="84"/>
      <c r="CBA18" s="84"/>
      <c r="CBB18" s="84"/>
      <c r="CBC18" s="84"/>
      <c r="CBD18" s="84"/>
      <c r="CBE18" s="84"/>
      <c r="CBF18" s="84"/>
      <c r="CBG18" s="84"/>
      <c r="CBH18" s="84"/>
      <c r="CBI18" s="84"/>
      <c r="CBJ18" s="84"/>
      <c r="CBK18" s="84"/>
      <c r="CBL18" s="84"/>
      <c r="CBM18" s="84"/>
      <c r="CBN18" s="84"/>
      <c r="CBO18" s="84"/>
      <c r="CBP18" s="84"/>
      <c r="CBQ18" s="84"/>
      <c r="CBR18" s="84"/>
      <c r="CBS18" s="84"/>
      <c r="CBT18" s="84"/>
      <c r="CBU18" s="84"/>
      <c r="CBV18" s="84"/>
      <c r="CBW18" s="84"/>
      <c r="CBX18" s="84"/>
      <c r="CBY18" s="84"/>
      <c r="CBZ18" s="84"/>
      <c r="CCA18" s="84"/>
      <c r="CCB18" s="84"/>
      <c r="CCC18" s="84"/>
      <c r="CCD18" s="84"/>
      <c r="CCE18" s="84"/>
      <c r="CCF18" s="84"/>
      <c r="CCG18" s="84"/>
      <c r="CCH18" s="84"/>
      <c r="CCI18" s="84"/>
      <c r="CCJ18" s="84"/>
      <c r="CCK18" s="84"/>
      <c r="CCL18" s="84"/>
      <c r="CCM18" s="84"/>
      <c r="CCN18" s="84"/>
      <c r="CCO18" s="84"/>
      <c r="CCP18" s="84"/>
      <c r="CCQ18" s="84"/>
      <c r="CCR18" s="84"/>
      <c r="CCS18" s="84"/>
      <c r="CCT18" s="84"/>
      <c r="CCU18" s="84"/>
      <c r="CCV18" s="84"/>
      <c r="CCW18" s="84"/>
      <c r="CCX18" s="84"/>
      <c r="CCY18" s="84"/>
      <c r="CCZ18" s="84"/>
      <c r="CDA18" s="84"/>
      <c r="CDB18" s="84"/>
      <c r="CDC18" s="84"/>
      <c r="CDD18" s="84"/>
      <c r="CDE18" s="84"/>
      <c r="CDF18" s="84"/>
      <c r="CDG18" s="84"/>
      <c r="CDH18" s="84"/>
      <c r="CDI18" s="84"/>
      <c r="CDJ18" s="84"/>
      <c r="CDK18" s="84"/>
      <c r="CDL18" s="84"/>
      <c r="CDM18" s="84"/>
      <c r="CDN18" s="84"/>
      <c r="CDO18" s="84"/>
      <c r="CDP18" s="84"/>
      <c r="CDQ18" s="84"/>
      <c r="CDR18" s="84"/>
      <c r="CDS18" s="84"/>
      <c r="CDT18" s="84"/>
      <c r="CDU18" s="84"/>
      <c r="CDV18" s="84"/>
      <c r="CDW18" s="84"/>
      <c r="CDX18" s="84"/>
      <c r="CDY18" s="84"/>
      <c r="CDZ18" s="84"/>
      <c r="CEA18" s="84"/>
      <c r="CEB18" s="84"/>
      <c r="CEC18" s="84"/>
      <c r="CED18" s="84"/>
      <c r="CEE18" s="84"/>
      <c r="CEF18" s="84"/>
      <c r="CEG18" s="84"/>
      <c r="CEH18" s="84"/>
      <c r="CEI18" s="84"/>
      <c r="CEJ18" s="84"/>
      <c r="CEK18" s="84"/>
      <c r="CEL18" s="84"/>
      <c r="CEM18" s="84"/>
      <c r="CEN18" s="84"/>
      <c r="CEO18" s="84"/>
      <c r="CEP18" s="84"/>
      <c r="CEQ18" s="84"/>
      <c r="CER18" s="84"/>
      <c r="CES18" s="84"/>
      <c r="CET18" s="84"/>
      <c r="CEU18" s="84"/>
      <c r="CEV18" s="84"/>
      <c r="CEW18" s="84"/>
      <c r="CEX18" s="84"/>
      <c r="CEY18" s="84"/>
      <c r="CEZ18" s="84"/>
      <c r="CFA18" s="84"/>
      <c r="CFB18" s="84"/>
      <c r="CFC18" s="84"/>
      <c r="CFD18" s="84"/>
      <c r="CFE18" s="84"/>
      <c r="CFF18" s="84"/>
      <c r="CFG18" s="84"/>
      <c r="CFH18" s="84"/>
      <c r="CFI18" s="84"/>
      <c r="CFJ18" s="84"/>
      <c r="CFK18" s="84"/>
      <c r="CFL18" s="84"/>
      <c r="CFM18" s="84"/>
      <c r="CFN18" s="84"/>
      <c r="CFO18" s="84"/>
      <c r="CFP18" s="84"/>
      <c r="CFQ18" s="84"/>
      <c r="CFR18" s="84"/>
      <c r="CFS18" s="84"/>
      <c r="CFT18" s="84"/>
      <c r="CFU18" s="84"/>
      <c r="CFV18" s="84"/>
      <c r="CFW18" s="84"/>
      <c r="CFX18" s="84"/>
      <c r="CFY18" s="84"/>
      <c r="CFZ18" s="84"/>
      <c r="CGA18" s="84"/>
      <c r="CGB18" s="84"/>
      <c r="CGC18" s="84"/>
      <c r="CGD18" s="84"/>
      <c r="CGE18" s="84"/>
      <c r="CGF18" s="84"/>
      <c r="CGG18" s="84"/>
      <c r="CGH18" s="84"/>
      <c r="CGI18" s="84"/>
      <c r="CGJ18" s="84"/>
      <c r="CGK18" s="84"/>
      <c r="CGL18" s="84"/>
      <c r="CGM18" s="84"/>
      <c r="CGN18" s="84"/>
      <c r="CGO18" s="84"/>
      <c r="CGP18" s="84"/>
      <c r="CGQ18" s="84"/>
      <c r="CGR18" s="84"/>
      <c r="CGS18" s="84"/>
      <c r="CGT18" s="84"/>
      <c r="CGU18" s="84"/>
      <c r="CGV18" s="84"/>
      <c r="CGW18" s="84"/>
      <c r="CGX18" s="84"/>
      <c r="CGY18" s="84"/>
      <c r="CGZ18" s="84"/>
      <c r="CHA18" s="84"/>
      <c r="CHB18" s="84"/>
      <c r="CHC18" s="84"/>
      <c r="CHD18" s="84"/>
      <c r="CHE18" s="84"/>
      <c r="CHF18" s="84"/>
      <c r="CHG18" s="84"/>
      <c r="CHH18" s="84"/>
      <c r="CHI18" s="84"/>
      <c r="CHJ18" s="84"/>
      <c r="CHK18" s="84"/>
      <c r="CHL18" s="84"/>
      <c r="CHM18" s="84"/>
      <c r="CHN18" s="84"/>
      <c r="CHO18" s="84"/>
      <c r="CHP18" s="84"/>
      <c r="CHQ18" s="84"/>
      <c r="CHR18" s="84"/>
      <c r="CHS18" s="84"/>
      <c r="CHT18" s="84"/>
      <c r="CHU18" s="84"/>
      <c r="CHV18" s="84"/>
      <c r="CHW18" s="84"/>
      <c r="CHX18" s="84"/>
      <c r="CHY18" s="84"/>
      <c r="CHZ18" s="84"/>
      <c r="CIA18" s="84"/>
      <c r="CIB18" s="84"/>
      <c r="CIC18" s="84"/>
      <c r="CID18" s="84"/>
      <c r="CIE18" s="84"/>
      <c r="CIF18" s="84"/>
      <c r="CIG18" s="84"/>
      <c r="CIH18" s="84"/>
      <c r="CII18" s="84"/>
      <c r="CIJ18" s="84"/>
      <c r="CIK18" s="84"/>
      <c r="CIL18" s="84"/>
      <c r="CIM18" s="84"/>
      <c r="CIN18" s="84"/>
      <c r="CIO18" s="84"/>
      <c r="CIP18" s="84"/>
      <c r="CIQ18" s="84"/>
      <c r="CIR18" s="84"/>
      <c r="CIS18" s="84"/>
      <c r="CIT18" s="84"/>
      <c r="CIU18" s="84"/>
      <c r="CIV18" s="84"/>
      <c r="CIW18" s="84"/>
      <c r="CIX18" s="84"/>
      <c r="CIY18" s="84"/>
      <c r="CIZ18" s="84"/>
      <c r="CJA18" s="84"/>
      <c r="CJB18" s="84"/>
      <c r="CJC18" s="84"/>
      <c r="CJD18" s="84"/>
      <c r="CJE18" s="84"/>
      <c r="CJF18" s="84"/>
      <c r="CJG18" s="84"/>
      <c r="CJH18" s="84"/>
      <c r="CJI18" s="84"/>
      <c r="CJJ18" s="84"/>
      <c r="CJK18" s="84"/>
      <c r="CJL18" s="84"/>
      <c r="CJM18" s="84"/>
      <c r="CJN18" s="84"/>
      <c r="CJO18" s="84"/>
      <c r="CJP18" s="84"/>
      <c r="CJQ18" s="84"/>
      <c r="CJR18" s="84"/>
      <c r="CJS18" s="84"/>
      <c r="CJT18" s="84"/>
      <c r="CJU18" s="84"/>
      <c r="CJV18" s="84"/>
      <c r="CJW18" s="84"/>
      <c r="CJX18" s="84"/>
      <c r="CJY18" s="84"/>
      <c r="CJZ18" s="84"/>
      <c r="CKA18" s="84"/>
      <c r="CKB18" s="84"/>
      <c r="CKC18" s="84"/>
      <c r="CKD18" s="84"/>
      <c r="CKE18" s="84"/>
      <c r="CKF18" s="84"/>
      <c r="CKG18" s="84"/>
      <c r="CKH18" s="84"/>
      <c r="CKI18" s="84"/>
      <c r="CKJ18" s="84"/>
      <c r="CKK18" s="84"/>
      <c r="CKL18" s="84"/>
      <c r="CKM18" s="84"/>
      <c r="CKN18" s="84"/>
      <c r="CKO18" s="84"/>
      <c r="CKP18" s="84"/>
      <c r="CKQ18" s="84"/>
      <c r="CKR18" s="84"/>
      <c r="CKS18" s="84"/>
      <c r="CKT18" s="84"/>
      <c r="CKU18" s="84"/>
      <c r="CKV18" s="84"/>
      <c r="CKW18" s="84"/>
      <c r="CKX18" s="84"/>
      <c r="CKY18" s="84"/>
      <c r="CKZ18" s="84"/>
      <c r="CLA18" s="84"/>
      <c r="CLB18" s="84"/>
      <c r="CLC18" s="84"/>
      <c r="CLD18" s="84"/>
      <c r="CLE18" s="84"/>
      <c r="CLF18" s="84"/>
      <c r="CLG18" s="84"/>
      <c r="CLH18" s="84"/>
      <c r="CLI18" s="84"/>
      <c r="CLJ18" s="84"/>
      <c r="CLK18" s="84"/>
      <c r="CLL18" s="84"/>
      <c r="CLM18" s="84"/>
      <c r="CLN18" s="84"/>
      <c r="CLO18" s="84"/>
      <c r="CLP18" s="84"/>
      <c r="CLQ18" s="84"/>
      <c r="CLR18" s="84"/>
      <c r="CLS18" s="84"/>
      <c r="CLT18" s="84"/>
      <c r="CLU18" s="84"/>
      <c r="CLV18" s="84"/>
      <c r="CLW18" s="84"/>
      <c r="CLX18" s="84"/>
      <c r="CLY18" s="84"/>
      <c r="CLZ18" s="84"/>
      <c r="CMA18" s="84"/>
      <c r="CMB18" s="84"/>
      <c r="CMC18" s="84"/>
      <c r="CMD18" s="84"/>
      <c r="CME18" s="84"/>
      <c r="CMF18" s="84"/>
      <c r="CMG18" s="84"/>
      <c r="CMH18" s="84"/>
      <c r="CMI18" s="84"/>
      <c r="CMJ18" s="84"/>
      <c r="CMK18" s="84"/>
      <c r="CML18" s="84"/>
      <c r="CMM18" s="84"/>
      <c r="CMN18" s="84"/>
      <c r="CMO18" s="84"/>
      <c r="CMP18" s="84"/>
      <c r="CMQ18" s="84"/>
      <c r="CMR18" s="84"/>
      <c r="CMS18" s="84"/>
      <c r="CMT18" s="84"/>
      <c r="CMU18" s="84"/>
      <c r="CMV18" s="84"/>
      <c r="CMW18" s="84"/>
      <c r="CMX18" s="84"/>
      <c r="CMY18" s="84"/>
      <c r="CMZ18" s="84"/>
      <c r="CNA18" s="84"/>
      <c r="CNB18" s="84"/>
      <c r="CNC18" s="84"/>
      <c r="CND18" s="84"/>
      <c r="CNE18" s="84"/>
      <c r="CNF18" s="84"/>
      <c r="CNG18" s="84"/>
      <c r="CNH18" s="84"/>
      <c r="CNI18" s="84"/>
      <c r="CNJ18" s="84"/>
      <c r="CNK18" s="84"/>
      <c r="CNL18" s="84"/>
      <c r="CNM18" s="84"/>
      <c r="CNN18" s="84"/>
      <c r="CNO18" s="84"/>
      <c r="CNP18" s="84"/>
      <c r="CNQ18" s="84"/>
      <c r="CNR18" s="84"/>
      <c r="CNS18" s="84"/>
      <c r="CNT18" s="84"/>
      <c r="CNU18" s="84"/>
      <c r="CNV18" s="84"/>
      <c r="CNW18" s="84"/>
      <c r="CNX18" s="84"/>
      <c r="CNY18" s="84"/>
      <c r="CNZ18" s="84"/>
      <c r="COA18" s="84"/>
      <c r="COB18" s="84"/>
      <c r="COC18" s="84"/>
      <c r="COD18" s="84"/>
      <c r="COE18" s="84"/>
      <c r="COF18" s="84"/>
      <c r="COG18" s="84"/>
      <c r="COH18" s="84"/>
      <c r="COI18" s="84"/>
      <c r="COJ18" s="84"/>
      <c r="COK18" s="84"/>
      <c r="COL18" s="84"/>
      <c r="COM18" s="84"/>
      <c r="CON18" s="84"/>
      <c r="COO18" s="84"/>
      <c r="COP18" s="84"/>
      <c r="COQ18" s="84"/>
      <c r="COR18" s="84"/>
      <c r="COS18" s="84"/>
      <c r="COT18" s="84"/>
      <c r="COU18" s="84"/>
      <c r="COV18" s="84"/>
      <c r="COW18" s="84"/>
      <c r="COX18" s="84"/>
      <c r="COY18" s="84"/>
      <c r="COZ18" s="84"/>
      <c r="CPA18" s="84"/>
      <c r="CPB18" s="84"/>
      <c r="CPC18" s="84"/>
      <c r="CPD18" s="84"/>
      <c r="CPE18" s="84"/>
      <c r="CPF18" s="84"/>
      <c r="CPG18" s="84"/>
      <c r="CPH18" s="84"/>
      <c r="CPI18" s="84"/>
      <c r="CPJ18" s="84"/>
      <c r="CPK18" s="84"/>
      <c r="CPL18" s="84"/>
      <c r="CPM18" s="84"/>
      <c r="CPN18" s="84"/>
      <c r="CPO18" s="84"/>
      <c r="CPP18" s="84"/>
      <c r="CPQ18" s="84"/>
      <c r="CPR18" s="84"/>
      <c r="CPS18" s="84"/>
      <c r="CPT18" s="84"/>
      <c r="CPU18" s="84"/>
      <c r="CPV18" s="84"/>
      <c r="CPW18" s="84"/>
      <c r="CPX18" s="84"/>
      <c r="CPY18" s="84"/>
      <c r="CPZ18" s="84"/>
      <c r="CQA18" s="84"/>
      <c r="CQB18" s="84"/>
      <c r="CQC18" s="84"/>
      <c r="CQD18" s="84"/>
      <c r="CQE18" s="84"/>
      <c r="CQF18" s="84"/>
      <c r="CQG18" s="84"/>
      <c r="CQH18" s="84"/>
      <c r="CQI18" s="84"/>
      <c r="CQJ18" s="84"/>
      <c r="CQK18" s="84"/>
      <c r="CQL18" s="84"/>
      <c r="CQM18" s="84"/>
      <c r="CQN18" s="84"/>
      <c r="CQO18" s="84"/>
      <c r="CQP18" s="84"/>
      <c r="CQQ18" s="84"/>
      <c r="CQR18" s="84"/>
      <c r="CQS18" s="84"/>
      <c r="CQT18" s="84"/>
      <c r="CQU18" s="84"/>
      <c r="CQV18" s="84"/>
      <c r="CQW18" s="84"/>
      <c r="CQX18" s="84"/>
      <c r="CQY18" s="84"/>
      <c r="CQZ18" s="84"/>
      <c r="CRA18" s="84"/>
      <c r="CRB18" s="84"/>
      <c r="CRC18" s="84"/>
      <c r="CRD18" s="84"/>
      <c r="CRE18" s="84"/>
      <c r="CRF18" s="84"/>
      <c r="CRG18" s="84"/>
      <c r="CRH18" s="84"/>
      <c r="CRI18" s="84"/>
      <c r="CRJ18" s="84"/>
      <c r="CRK18" s="84"/>
      <c r="CRL18" s="84"/>
      <c r="CRM18" s="84"/>
      <c r="CRN18" s="84"/>
      <c r="CRO18" s="84"/>
      <c r="CRP18" s="84"/>
      <c r="CRQ18" s="84"/>
      <c r="CRR18" s="84"/>
      <c r="CRS18" s="84"/>
      <c r="CRT18" s="84"/>
      <c r="CRU18" s="84"/>
      <c r="CRV18" s="84"/>
      <c r="CRW18" s="84"/>
      <c r="CRX18" s="84"/>
      <c r="CRY18" s="84"/>
      <c r="CRZ18" s="84"/>
      <c r="CSA18" s="84"/>
      <c r="CSB18" s="84"/>
      <c r="CSC18" s="84"/>
      <c r="CSD18" s="84"/>
      <c r="CSE18" s="84"/>
      <c r="CSF18" s="84"/>
      <c r="CSG18" s="84"/>
      <c r="CSH18" s="84"/>
      <c r="CSI18" s="84"/>
      <c r="CSJ18" s="84"/>
      <c r="CSK18" s="84"/>
      <c r="CSL18" s="84"/>
      <c r="CSM18" s="84"/>
      <c r="CSN18" s="84"/>
      <c r="CSO18" s="84"/>
      <c r="CSP18" s="84"/>
      <c r="CSQ18" s="84"/>
      <c r="CSR18" s="84"/>
      <c r="CSS18" s="84"/>
      <c r="CST18" s="84"/>
      <c r="CSU18" s="84"/>
      <c r="CSV18" s="84"/>
      <c r="CSW18" s="84"/>
      <c r="CSX18" s="84"/>
      <c r="CSY18" s="84"/>
      <c r="CSZ18" s="84"/>
      <c r="CTA18" s="84"/>
      <c r="CTB18" s="84"/>
      <c r="CTC18" s="84"/>
      <c r="CTD18" s="84"/>
      <c r="CTE18" s="84"/>
      <c r="CTF18" s="84"/>
      <c r="CTG18" s="84"/>
      <c r="CTH18" s="84"/>
      <c r="CTI18" s="84"/>
      <c r="CTJ18" s="84"/>
      <c r="CTK18" s="84"/>
      <c r="CTL18" s="84"/>
      <c r="CTM18" s="84"/>
      <c r="CTN18" s="84"/>
      <c r="CTO18" s="84"/>
      <c r="CTP18" s="84"/>
      <c r="CTQ18" s="84"/>
      <c r="CTR18" s="84"/>
      <c r="CTS18" s="84"/>
      <c r="CTT18" s="84"/>
      <c r="CTU18" s="84"/>
      <c r="CTV18" s="84"/>
      <c r="CTW18" s="84"/>
      <c r="CTX18" s="84"/>
      <c r="CTY18" s="84"/>
      <c r="CTZ18" s="84"/>
      <c r="CUA18" s="84"/>
      <c r="CUB18" s="84"/>
      <c r="CUC18" s="84"/>
      <c r="CUD18" s="84"/>
      <c r="CUE18" s="84"/>
      <c r="CUF18" s="84"/>
      <c r="CUG18" s="84"/>
      <c r="CUH18" s="84"/>
      <c r="CUI18" s="84"/>
      <c r="CUJ18" s="84"/>
      <c r="CUK18" s="84"/>
      <c r="CUL18" s="84"/>
      <c r="CUM18" s="84"/>
      <c r="CUN18" s="84"/>
      <c r="CUO18" s="84"/>
      <c r="CUP18" s="84"/>
      <c r="CUQ18" s="84"/>
      <c r="CUR18" s="84"/>
      <c r="CUS18" s="84"/>
      <c r="CUT18" s="84"/>
      <c r="CUU18" s="84"/>
      <c r="CUV18" s="84"/>
      <c r="CUW18" s="84"/>
      <c r="CUX18" s="84"/>
      <c r="CUY18" s="84"/>
      <c r="CUZ18" s="84"/>
      <c r="CVA18" s="84"/>
      <c r="CVB18" s="84"/>
      <c r="CVC18" s="84"/>
      <c r="CVD18" s="84"/>
      <c r="CVE18" s="84"/>
      <c r="CVF18" s="84"/>
      <c r="CVG18" s="84"/>
      <c r="CVH18" s="84"/>
      <c r="CVI18" s="84"/>
      <c r="CVJ18" s="84"/>
      <c r="CVK18" s="84"/>
      <c r="CVL18" s="84"/>
      <c r="CVM18" s="84"/>
      <c r="CVN18" s="84"/>
      <c r="CVO18" s="84"/>
      <c r="CVP18" s="84"/>
      <c r="CVQ18" s="84"/>
      <c r="CVR18" s="84"/>
      <c r="CVS18" s="84"/>
      <c r="CVT18" s="84"/>
      <c r="CVU18" s="84"/>
      <c r="CVV18" s="84"/>
      <c r="CVW18" s="84"/>
      <c r="CVX18" s="84"/>
      <c r="CVY18" s="84"/>
      <c r="CVZ18" s="84"/>
      <c r="CWA18" s="84"/>
      <c r="CWB18" s="84"/>
      <c r="CWC18" s="84"/>
      <c r="CWD18" s="84"/>
      <c r="CWE18" s="84"/>
      <c r="CWF18" s="84"/>
      <c r="CWG18" s="84"/>
      <c r="CWH18" s="84"/>
      <c r="CWI18" s="84"/>
      <c r="CWJ18" s="84"/>
      <c r="CWK18" s="84"/>
      <c r="CWL18" s="84"/>
      <c r="CWM18" s="84"/>
      <c r="CWN18" s="84"/>
      <c r="CWO18" s="84"/>
      <c r="CWP18" s="84"/>
      <c r="CWQ18" s="84"/>
      <c r="CWR18" s="84"/>
      <c r="CWS18" s="84"/>
      <c r="CWT18" s="84"/>
      <c r="CWU18" s="84"/>
      <c r="CWV18" s="84"/>
      <c r="CWW18" s="84"/>
      <c r="CWX18" s="84"/>
      <c r="CWY18" s="84"/>
      <c r="CWZ18" s="84"/>
      <c r="CXA18" s="84"/>
      <c r="CXB18" s="84"/>
      <c r="CXC18" s="84"/>
      <c r="CXD18" s="84"/>
      <c r="CXE18" s="84"/>
      <c r="CXF18" s="84"/>
      <c r="CXG18" s="84"/>
      <c r="CXH18" s="84"/>
      <c r="CXI18" s="84"/>
      <c r="CXJ18" s="84"/>
      <c r="CXK18" s="84"/>
      <c r="CXL18" s="84"/>
      <c r="CXM18" s="84"/>
      <c r="CXN18" s="84"/>
      <c r="CXO18" s="84"/>
      <c r="CXP18" s="84"/>
      <c r="CXQ18" s="84"/>
      <c r="CXR18" s="84"/>
      <c r="CXS18" s="84"/>
      <c r="CXT18" s="84"/>
      <c r="CXU18" s="84"/>
      <c r="CXV18" s="84"/>
      <c r="CXW18" s="84"/>
      <c r="CXX18" s="84"/>
      <c r="CXY18" s="84"/>
      <c r="CXZ18" s="84"/>
      <c r="CYA18" s="84"/>
      <c r="CYB18" s="84"/>
      <c r="CYC18" s="84"/>
      <c r="CYD18" s="84"/>
      <c r="CYE18" s="84"/>
      <c r="CYF18" s="84"/>
      <c r="CYG18" s="84"/>
      <c r="CYH18" s="84"/>
      <c r="CYI18" s="84"/>
      <c r="CYJ18" s="84"/>
      <c r="CYK18" s="84"/>
      <c r="CYL18" s="84"/>
      <c r="CYM18" s="84"/>
      <c r="CYN18" s="84"/>
      <c r="CYO18" s="84"/>
      <c r="CYP18" s="84"/>
      <c r="CYQ18" s="84"/>
      <c r="CYR18" s="84"/>
      <c r="CYS18" s="84"/>
      <c r="CYT18" s="84"/>
      <c r="CYU18" s="84"/>
      <c r="CYV18" s="84"/>
      <c r="CYW18" s="84"/>
      <c r="CYX18" s="84"/>
      <c r="CYY18" s="84"/>
      <c r="CYZ18" s="84"/>
      <c r="CZA18" s="84"/>
      <c r="CZB18" s="84"/>
      <c r="CZC18" s="84"/>
      <c r="CZD18" s="84"/>
      <c r="CZE18" s="84"/>
      <c r="CZF18" s="84"/>
      <c r="CZG18" s="84"/>
      <c r="CZH18" s="84"/>
      <c r="CZI18" s="84"/>
      <c r="CZJ18" s="84"/>
      <c r="CZK18" s="84"/>
      <c r="CZL18" s="84"/>
      <c r="CZM18" s="84"/>
      <c r="CZN18" s="84"/>
      <c r="CZO18" s="84"/>
      <c r="CZP18" s="84"/>
      <c r="CZQ18" s="84"/>
      <c r="CZR18" s="84"/>
      <c r="CZS18" s="84"/>
      <c r="CZT18" s="84"/>
      <c r="CZU18" s="84"/>
      <c r="CZV18" s="84"/>
      <c r="CZW18" s="84"/>
      <c r="CZX18" s="84"/>
      <c r="CZY18" s="84"/>
      <c r="CZZ18" s="84"/>
      <c r="DAA18" s="84"/>
      <c r="DAB18" s="84"/>
      <c r="DAC18" s="84"/>
      <c r="DAD18" s="84"/>
      <c r="DAE18" s="84"/>
      <c r="DAF18" s="84"/>
      <c r="DAG18" s="84"/>
      <c r="DAH18" s="84"/>
      <c r="DAI18" s="84"/>
      <c r="DAJ18" s="84"/>
      <c r="DAK18" s="84"/>
      <c r="DAL18" s="84"/>
      <c r="DAM18" s="84"/>
      <c r="DAN18" s="84"/>
      <c r="DAO18" s="84"/>
      <c r="DAP18" s="84"/>
      <c r="DAQ18" s="84"/>
      <c r="DAR18" s="84"/>
      <c r="DAS18" s="84"/>
      <c r="DAT18" s="84"/>
      <c r="DAU18" s="84"/>
      <c r="DAV18" s="84"/>
      <c r="DAW18" s="84"/>
      <c r="DAX18" s="84"/>
      <c r="DAY18" s="84"/>
      <c r="DAZ18" s="84"/>
      <c r="DBA18" s="84"/>
      <c r="DBB18" s="84"/>
      <c r="DBC18" s="84"/>
      <c r="DBD18" s="84"/>
      <c r="DBE18" s="84"/>
      <c r="DBF18" s="84"/>
      <c r="DBG18" s="84"/>
      <c r="DBH18" s="84"/>
      <c r="DBI18" s="84"/>
      <c r="DBJ18" s="84"/>
      <c r="DBK18" s="84"/>
      <c r="DBL18" s="84"/>
      <c r="DBM18" s="84"/>
      <c r="DBN18" s="84"/>
      <c r="DBO18" s="84"/>
      <c r="DBP18" s="84"/>
      <c r="DBQ18" s="84"/>
      <c r="DBR18" s="84"/>
      <c r="DBS18" s="84"/>
      <c r="DBT18" s="84"/>
      <c r="DBU18" s="84"/>
      <c r="DBV18" s="84"/>
      <c r="DBW18" s="84"/>
      <c r="DBX18" s="84"/>
      <c r="DBY18" s="84"/>
      <c r="DBZ18" s="84"/>
      <c r="DCA18" s="84"/>
      <c r="DCB18" s="84"/>
      <c r="DCC18" s="84"/>
      <c r="DCD18" s="84"/>
      <c r="DCE18" s="84"/>
      <c r="DCF18" s="84"/>
      <c r="DCG18" s="84"/>
      <c r="DCH18" s="84"/>
      <c r="DCI18" s="84"/>
      <c r="DCJ18" s="84"/>
      <c r="DCK18" s="84"/>
      <c r="DCL18" s="84"/>
      <c r="DCM18" s="84"/>
      <c r="DCN18" s="84"/>
      <c r="DCO18" s="84"/>
      <c r="DCP18" s="84"/>
      <c r="DCQ18" s="84"/>
      <c r="DCR18" s="84"/>
      <c r="DCS18" s="84"/>
      <c r="DCT18" s="84"/>
      <c r="DCU18" s="84"/>
      <c r="DCV18" s="84"/>
      <c r="DCW18" s="84"/>
      <c r="DCX18" s="84"/>
      <c r="DCY18" s="84"/>
      <c r="DCZ18" s="84"/>
      <c r="DDA18" s="84"/>
      <c r="DDB18" s="84"/>
      <c r="DDC18" s="84"/>
      <c r="DDD18" s="84"/>
      <c r="DDE18" s="84"/>
      <c r="DDF18" s="84"/>
      <c r="DDG18" s="84"/>
      <c r="DDH18" s="84"/>
      <c r="DDI18" s="84"/>
      <c r="DDJ18" s="84"/>
      <c r="DDK18" s="84"/>
      <c r="DDL18" s="84"/>
      <c r="DDM18" s="84"/>
      <c r="DDN18" s="84"/>
      <c r="DDO18" s="84"/>
      <c r="DDP18" s="84"/>
      <c r="DDQ18" s="84"/>
      <c r="DDR18" s="84"/>
      <c r="DDS18" s="84"/>
      <c r="DDT18" s="84"/>
      <c r="DDU18" s="84"/>
      <c r="DDV18" s="84"/>
      <c r="DDW18" s="84"/>
      <c r="DDX18" s="84"/>
      <c r="DDY18" s="84"/>
      <c r="DDZ18" s="84"/>
      <c r="DEA18" s="84"/>
      <c r="DEB18" s="84"/>
      <c r="DEC18" s="84"/>
      <c r="DED18" s="84"/>
      <c r="DEE18" s="84"/>
      <c r="DEF18" s="84"/>
      <c r="DEG18" s="84"/>
      <c r="DEH18" s="84"/>
      <c r="DEI18" s="84"/>
      <c r="DEJ18" s="84"/>
      <c r="DEK18" s="84"/>
      <c r="DEL18" s="84"/>
      <c r="DEM18" s="84"/>
      <c r="DEN18" s="84"/>
      <c r="DEO18" s="84"/>
      <c r="DEP18" s="84"/>
      <c r="DEQ18" s="84"/>
      <c r="DER18" s="84"/>
      <c r="DES18" s="84"/>
      <c r="DET18" s="84"/>
      <c r="DEU18" s="84"/>
      <c r="DEV18" s="84"/>
      <c r="DEW18" s="84"/>
      <c r="DEX18" s="84"/>
      <c r="DEY18" s="84"/>
      <c r="DEZ18" s="84"/>
      <c r="DFA18" s="84"/>
      <c r="DFB18" s="84"/>
      <c r="DFC18" s="84"/>
      <c r="DFD18" s="84"/>
      <c r="DFE18" s="84"/>
      <c r="DFF18" s="84"/>
      <c r="DFG18" s="84"/>
      <c r="DFH18" s="84"/>
      <c r="DFI18" s="84"/>
      <c r="DFJ18" s="84"/>
      <c r="DFK18" s="84"/>
      <c r="DFL18" s="84"/>
      <c r="DFM18" s="84"/>
      <c r="DFN18" s="84"/>
      <c r="DFO18" s="84"/>
      <c r="DFP18" s="84"/>
      <c r="DFQ18" s="84"/>
      <c r="DFR18" s="84"/>
      <c r="DFS18" s="84"/>
      <c r="DFT18" s="84"/>
      <c r="DFU18" s="84"/>
      <c r="DFV18" s="84"/>
      <c r="DFW18" s="84"/>
      <c r="DFX18" s="84"/>
      <c r="DFY18" s="84"/>
      <c r="DFZ18" s="84"/>
      <c r="DGA18" s="84"/>
      <c r="DGB18" s="84"/>
      <c r="DGC18" s="84"/>
      <c r="DGD18" s="84"/>
      <c r="DGE18" s="84"/>
      <c r="DGF18" s="84"/>
      <c r="DGG18" s="84"/>
      <c r="DGH18" s="84"/>
      <c r="DGI18" s="84"/>
      <c r="DGJ18" s="84"/>
      <c r="DGK18" s="84"/>
      <c r="DGL18" s="84"/>
      <c r="DGM18" s="84"/>
      <c r="DGN18" s="84"/>
      <c r="DGO18" s="84"/>
      <c r="DGP18" s="84"/>
      <c r="DGQ18" s="84"/>
      <c r="DGR18" s="84"/>
      <c r="DGS18" s="84"/>
      <c r="DGT18" s="84"/>
      <c r="DGU18" s="84"/>
      <c r="DGV18" s="84"/>
      <c r="DGW18" s="84"/>
      <c r="DGX18" s="84"/>
      <c r="DGY18" s="84"/>
      <c r="DGZ18" s="84"/>
      <c r="DHA18" s="84"/>
      <c r="DHB18" s="84"/>
      <c r="DHC18" s="84"/>
      <c r="DHD18" s="84"/>
      <c r="DHE18" s="84"/>
      <c r="DHF18" s="84"/>
      <c r="DHG18" s="84"/>
      <c r="DHH18" s="84"/>
      <c r="DHI18" s="84"/>
      <c r="DHJ18" s="84"/>
      <c r="DHK18" s="84"/>
      <c r="DHL18" s="84"/>
      <c r="DHM18" s="84"/>
      <c r="DHN18" s="84"/>
      <c r="DHO18" s="84"/>
      <c r="DHP18" s="84"/>
      <c r="DHQ18" s="84"/>
      <c r="DHR18" s="84"/>
      <c r="DHS18" s="84"/>
      <c r="DHT18" s="84"/>
      <c r="DHU18" s="84"/>
      <c r="DHV18" s="84"/>
      <c r="DHW18" s="84"/>
      <c r="DHX18" s="84"/>
      <c r="DHY18" s="84"/>
      <c r="DHZ18" s="84"/>
      <c r="DIA18" s="84"/>
      <c r="DIB18" s="84"/>
      <c r="DIC18" s="84"/>
      <c r="DID18" s="84"/>
      <c r="DIE18" s="84"/>
      <c r="DIF18" s="84"/>
      <c r="DIG18" s="84"/>
      <c r="DIH18" s="84"/>
      <c r="DII18" s="84"/>
      <c r="DIJ18" s="84"/>
      <c r="DIK18" s="84"/>
      <c r="DIL18" s="84"/>
      <c r="DIM18" s="84"/>
      <c r="DIN18" s="84"/>
      <c r="DIO18" s="84"/>
      <c r="DIP18" s="84"/>
      <c r="DIQ18" s="84"/>
      <c r="DIR18" s="84"/>
      <c r="DIS18" s="84"/>
      <c r="DIT18" s="84"/>
      <c r="DIU18" s="84"/>
      <c r="DIV18" s="84"/>
      <c r="DIW18" s="84"/>
      <c r="DIX18" s="84"/>
      <c r="DIY18" s="84"/>
      <c r="DIZ18" s="84"/>
      <c r="DJA18" s="84"/>
      <c r="DJB18" s="84"/>
      <c r="DJC18" s="84"/>
      <c r="DJD18" s="84"/>
      <c r="DJE18" s="84"/>
      <c r="DJF18" s="84"/>
      <c r="DJG18" s="84"/>
      <c r="DJH18" s="84"/>
      <c r="DJI18" s="84"/>
      <c r="DJJ18" s="84"/>
      <c r="DJK18" s="84"/>
      <c r="DJL18" s="84"/>
      <c r="DJM18" s="84"/>
      <c r="DJN18" s="84"/>
      <c r="DJO18" s="84"/>
      <c r="DJP18" s="84"/>
      <c r="DJQ18" s="84"/>
      <c r="DJR18" s="84"/>
      <c r="DJS18" s="84"/>
      <c r="DJT18" s="84"/>
      <c r="DJU18" s="84"/>
      <c r="DJV18" s="84"/>
      <c r="DJW18" s="84"/>
      <c r="DJX18" s="84"/>
      <c r="DJY18" s="84"/>
      <c r="DJZ18" s="84"/>
      <c r="DKA18" s="84"/>
      <c r="DKB18" s="84"/>
      <c r="DKC18" s="84"/>
      <c r="DKD18" s="84"/>
      <c r="DKE18" s="84"/>
      <c r="DKF18" s="84"/>
      <c r="DKG18" s="84"/>
      <c r="DKH18" s="84"/>
      <c r="DKI18" s="84"/>
      <c r="DKJ18" s="84"/>
      <c r="DKK18" s="84"/>
      <c r="DKL18" s="84"/>
      <c r="DKM18" s="84"/>
      <c r="DKN18" s="84"/>
      <c r="DKO18" s="84"/>
      <c r="DKP18" s="84"/>
      <c r="DKQ18" s="84"/>
      <c r="DKR18" s="84"/>
      <c r="DKS18" s="84"/>
      <c r="DKT18" s="84"/>
      <c r="DKU18" s="84"/>
      <c r="DKV18" s="84"/>
      <c r="DKW18" s="84"/>
      <c r="DKX18" s="84"/>
      <c r="DKY18" s="84"/>
      <c r="DKZ18" s="84"/>
      <c r="DLA18" s="84"/>
      <c r="DLB18" s="84"/>
      <c r="DLC18" s="84"/>
      <c r="DLD18" s="84"/>
      <c r="DLE18" s="84"/>
      <c r="DLF18" s="84"/>
      <c r="DLG18" s="84"/>
      <c r="DLH18" s="84"/>
      <c r="DLI18" s="84"/>
      <c r="DLJ18" s="84"/>
      <c r="DLK18" s="84"/>
      <c r="DLL18" s="84"/>
      <c r="DLM18" s="84"/>
      <c r="DLN18" s="84"/>
      <c r="DLO18" s="84"/>
      <c r="DLP18" s="84"/>
      <c r="DLQ18" s="84"/>
      <c r="DLR18" s="84"/>
      <c r="DLS18" s="84"/>
      <c r="DLT18" s="84"/>
      <c r="DLU18" s="84"/>
      <c r="DLV18" s="84"/>
      <c r="DLW18" s="84"/>
      <c r="DLX18" s="84"/>
      <c r="DLY18" s="84"/>
      <c r="DLZ18" s="84"/>
      <c r="DMA18" s="84"/>
      <c r="DMB18" s="84"/>
      <c r="DMC18" s="84"/>
      <c r="DMD18" s="84"/>
      <c r="DME18" s="84"/>
      <c r="DMF18" s="84"/>
      <c r="DMG18" s="84"/>
      <c r="DMH18" s="84"/>
      <c r="DMI18" s="84"/>
      <c r="DMJ18" s="84"/>
      <c r="DMK18" s="84"/>
      <c r="DML18" s="84"/>
      <c r="DMM18" s="84"/>
      <c r="DMN18" s="84"/>
      <c r="DMO18" s="84"/>
      <c r="DMP18" s="84"/>
      <c r="DMQ18" s="84"/>
      <c r="DMR18" s="84"/>
      <c r="DMS18" s="84"/>
      <c r="DMT18" s="84"/>
      <c r="DMU18" s="84"/>
      <c r="DMV18" s="84"/>
      <c r="DMW18" s="84"/>
      <c r="DMX18" s="84"/>
      <c r="DMY18" s="84"/>
      <c r="DMZ18" s="84"/>
      <c r="DNA18" s="84"/>
      <c r="DNB18" s="84"/>
      <c r="DNC18" s="84"/>
      <c r="DND18" s="84"/>
      <c r="DNE18" s="84"/>
      <c r="DNF18" s="84"/>
      <c r="DNG18" s="84"/>
      <c r="DNH18" s="84"/>
      <c r="DNI18" s="84"/>
      <c r="DNJ18" s="84"/>
      <c r="DNK18" s="84"/>
      <c r="DNL18" s="84"/>
      <c r="DNM18" s="84"/>
      <c r="DNN18" s="84"/>
      <c r="DNO18" s="84"/>
      <c r="DNP18" s="84"/>
      <c r="DNQ18" s="84"/>
      <c r="DNR18" s="84"/>
      <c r="DNS18" s="84"/>
      <c r="DNT18" s="84"/>
      <c r="DNU18" s="84"/>
      <c r="DNV18" s="84"/>
      <c r="DNW18" s="84"/>
      <c r="DNX18" s="84"/>
      <c r="DNY18" s="84"/>
      <c r="DNZ18" s="84"/>
      <c r="DOA18" s="84"/>
      <c r="DOB18" s="84"/>
      <c r="DOC18" s="84"/>
      <c r="DOD18" s="84"/>
      <c r="DOE18" s="84"/>
      <c r="DOF18" s="84"/>
      <c r="DOG18" s="84"/>
      <c r="DOH18" s="84"/>
      <c r="DOI18" s="84"/>
      <c r="DOJ18" s="84"/>
      <c r="DOK18" s="84"/>
      <c r="DOL18" s="84"/>
      <c r="DOM18" s="84"/>
      <c r="DON18" s="84"/>
      <c r="DOO18" s="84"/>
      <c r="DOP18" s="84"/>
      <c r="DOQ18" s="84"/>
      <c r="DOR18" s="84"/>
      <c r="DOS18" s="84"/>
      <c r="DOT18" s="84"/>
      <c r="DOU18" s="84"/>
      <c r="DOV18" s="84"/>
      <c r="DOW18" s="84"/>
      <c r="DOX18" s="84"/>
      <c r="DOY18" s="84"/>
      <c r="DOZ18" s="84"/>
      <c r="DPA18" s="84"/>
      <c r="DPB18" s="84"/>
      <c r="DPC18" s="84"/>
      <c r="DPD18" s="84"/>
      <c r="DPE18" s="84"/>
      <c r="DPF18" s="84"/>
      <c r="DPG18" s="84"/>
      <c r="DPH18" s="84"/>
      <c r="DPI18" s="84"/>
      <c r="DPJ18" s="84"/>
      <c r="DPK18" s="84"/>
      <c r="DPL18" s="84"/>
      <c r="DPM18" s="84"/>
      <c r="DPN18" s="84"/>
      <c r="DPO18" s="84"/>
      <c r="DPP18" s="84"/>
      <c r="DPQ18" s="84"/>
      <c r="DPR18" s="84"/>
      <c r="DPS18" s="84"/>
      <c r="DPT18" s="84"/>
      <c r="DPU18" s="84"/>
      <c r="DPV18" s="84"/>
      <c r="DPW18" s="84"/>
      <c r="DPX18" s="84"/>
      <c r="DPY18" s="84"/>
      <c r="DPZ18" s="84"/>
      <c r="DQA18" s="84"/>
      <c r="DQB18" s="84"/>
      <c r="DQC18" s="84"/>
      <c r="DQD18" s="84"/>
      <c r="DQE18" s="84"/>
      <c r="DQF18" s="84"/>
      <c r="DQG18" s="84"/>
      <c r="DQH18" s="84"/>
      <c r="DQI18" s="84"/>
      <c r="DQJ18" s="84"/>
      <c r="DQK18" s="84"/>
      <c r="DQL18" s="84"/>
      <c r="DQM18" s="84"/>
      <c r="DQN18" s="84"/>
      <c r="DQO18" s="84"/>
      <c r="DQP18" s="84"/>
      <c r="DQQ18" s="84"/>
      <c r="DQR18" s="84"/>
      <c r="DQS18" s="84"/>
      <c r="DQT18" s="84"/>
      <c r="DQU18" s="84"/>
      <c r="DQV18" s="84"/>
      <c r="DQW18" s="84"/>
      <c r="DQX18" s="84"/>
      <c r="DQY18" s="84"/>
      <c r="DQZ18" s="84"/>
      <c r="DRA18" s="84"/>
      <c r="DRB18" s="84"/>
      <c r="DRC18" s="84"/>
      <c r="DRD18" s="84"/>
      <c r="DRE18" s="84"/>
      <c r="DRF18" s="84"/>
      <c r="DRG18" s="84"/>
      <c r="DRH18" s="84"/>
      <c r="DRI18" s="84"/>
      <c r="DRJ18" s="84"/>
      <c r="DRK18" s="84"/>
      <c r="DRL18" s="84"/>
      <c r="DRM18" s="84"/>
      <c r="DRN18" s="84"/>
      <c r="DRO18" s="84"/>
      <c r="DRP18" s="84"/>
      <c r="DRQ18" s="84"/>
      <c r="DRR18" s="84"/>
      <c r="DRS18" s="84"/>
      <c r="DRT18" s="84"/>
      <c r="DRU18" s="84"/>
      <c r="DRV18" s="84"/>
      <c r="DRW18" s="84"/>
      <c r="DRX18" s="84"/>
      <c r="DRY18" s="84"/>
      <c r="DRZ18" s="84"/>
      <c r="DSA18" s="84"/>
      <c r="DSB18" s="84"/>
      <c r="DSC18" s="84"/>
      <c r="DSD18" s="84"/>
      <c r="DSE18" s="84"/>
      <c r="DSF18" s="84"/>
      <c r="DSG18" s="84"/>
      <c r="DSH18" s="84"/>
      <c r="DSI18" s="84"/>
      <c r="DSJ18" s="84"/>
      <c r="DSK18" s="84"/>
      <c r="DSL18" s="84"/>
      <c r="DSM18" s="84"/>
      <c r="DSN18" s="84"/>
      <c r="DSO18" s="84"/>
      <c r="DSP18" s="84"/>
      <c r="DSQ18" s="84"/>
      <c r="DSR18" s="84"/>
      <c r="DSS18" s="84"/>
      <c r="DST18" s="84"/>
      <c r="DSU18" s="84"/>
      <c r="DSV18" s="84"/>
      <c r="DSW18" s="84"/>
      <c r="DSX18" s="84"/>
      <c r="DSY18" s="84"/>
      <c r="DSZ18" s="84"/>
      <c r="DTA18" s="84"/>
      <c r="DTB18" s="84"/>
      <c r="DTC18" s="84"/>
      <c r="DTD18" s="84"/>
      <c r="DTE18" s="84"/>
      <c r="DTF18" s="84"/>
      <c r="DTG18" s="84"/>
      <c r="DTH18" s="84"/>
      <c r="DTI18" s="84"/>
      <c r="DTJ18" s="84"/>
      <c r="DTK18" s="84"/>
      <c r="DTL18" s="84"/>
      <c r="DTM18" s="84"/>
      <c r="DTN18" s="84"/>
      <c r="DTO18" s="84"/>
      <c r="DTP18" s="84"/>
      <c r="DTQ18" s="84"/>
      <c r="DTR18" s="84"/>
      <c r="DTS18" s="84"/>
      <c r="DTT18" s="84"/>
      <c r="DTU18" s="84"/>
      <c r="DTV18" s="84"/>
      <c r="DTW18" s="84"/>
      <c r="DTX18" s="84"/>
      <c r="DTY18" s="84"/>
      <c r="DTZ18" s="84"/>
      <c r="DUA18" s="84"/>
      <c r="DUB18" s="84"/>
      <c r="DUC18" s="84"/>
      <c r="DUD18" s="84"/>
      <c r="DUE18" s="84"/>
      <c r="DUF18" s="84"/>
      <c r="DUG18" s="84"/>
      <c r="DUH18" s="84"/>
      <c r="DUI18" s="84"/>
      <c r="DUJ18" s="84"/>
      <c r="DUK18" s="84"/>
      <c r="DUL18" s="84"/>
      <c r="DUM18" s="84"/>
      <c r="DUN18" s="84"/>
      <c r="DUO18" s="84"/>
      <c r="DUP18" s="84"/>
      <c r="DUQ18" s="84"/>
      <c r="DUR18" s="84"/>
      <c r="DUS18" s="84"/>
      <c r="DUT18" s="84"/>
      <c r="DUU18" s="84"/>
      <c r="DUV18" s="84"/>
      <c r="DUW18" s="84"/>
      <c r="DUX18" s="84"/>
      <c r="DUY18" s="84"/>
      <c r="DUZ18" s="84"/>
      <c r="DVA18" s="84"/>
      <c r="DVB18" s="84"/>
      <c r="DVC18" s="84"/>
      <c r="DVD18" s="84"/>
      <c r="DVE18" s="84"/>
      <c r="DVF18" s="84"/>
      <c r="DVG18" s="84"/>
      <c r="DVH18" s="84"/>
      <c r="DVI18" s="84"/>
      <c r="DVJ18" s="84"/>
      <c r="DVK18" s="84"/>
      <c r="DVL18" s="84"/>
      <c r="DVM18" s="84"/>
      <c r="DVN18" s="84"/>
      <c r="DVO18" s="84"/>
      <c r="DVP18" s="84"/>
      <c r="DVQ18" s="84"/>
      <c r="DVR18" s="84"/>
      <c r="DVS18" s="84"/>
      <c r="DVT18" s="84"/>
      <c r="DVU18" s="84"/>
      <c r="DVV18" s="84"/>
      <c r="DVW18" s="84"/>
      <c r="DVX18" s="84"/>
      <c r="DVY18" s="84"/>
      <c r="DVZ18" s="84"/>
      <c r="DWA18" s="84"/>
      <c r="DWB18" s="84"/>
      <c r="DWC18" s="84"/>
      <c r="DWD18" s="84"/>
      <c r="DWE18" s="84"/>
      <c r="DWF18" s="84"/>
      <c r="DWG18" s="84"/>
      <c r="DWH18" s="84"/>
      <c r="DWI18" s="84"/>
      <c r="DWJ18" s="84"/>
      <c r="DWK18" s="84"/>
      <c r="DWL18" s="84"/>
      <c r="DWM18" s="84"/>
      <c r="DWN18" s="84"/>
      <c r="DWO18" s="84"/>
      <c r="DWP18" s="84"/>
      <c r="DWQ18" s="84"/>
      <c r="DWR18" s="84"/>
      <c r="DWS18" s="84"/>
      <c r="DWT18" s="84"/>
      <c r="DWU18" s="84"/>
      <c r="DWV18" s="84"/>
      <c r="DWW18" s="84"/>
      <c r="DWX18" s="84"/>
      <c r="DWY18" s="84"/>
      <c r="DWZ18" s="84"/>
      <c r="DXA18" s="84"/>
      <c r="DXB18" s="84"/>
      <c r="DXC18" s="84"/>
      <c r="DXD18" s="84"/>
      <c r="DXE18" s="84"/>
      <c r="DXF18" s="84"/>
      <c r="DXG18" s="84"/>
      <c r="DXH18" s="84"/>
      <c r="DXI18" s="84"/>
      <c r="DXJ18" s="84"/>
      <c r="DXK18" s="84"/>
      <c r="DXL18" s="84"/>
      <c r="DXM18" s="84"/>
      <c r="DXN18" s="84"/>
      <c r="DXO18" s="84"/>
      <c r="DXP18" s="84"/>
      <c r="DXQ18" s="84"/>
      <c r="DXR18" s="84"/>
      <c r="DXS18" s="84"/>
      <c r="DXT18" s="84"/>
      <c r="DXU18" s="84"/>
      <c r="DXV18" s="84"/>
      <c r="DXW18" s="84"/>
      <c r="DXX18" s="84"/>
      <c r="DXY18" s="84"/>
      <c r="DXZ18" s="84"/>
      <c r="DYA18" s="84"/>
      <c r="DYB18" s="84"/>
      <c r="DYC18" s="84"/>
      <c r="DYD18" s="84"/>
      <c r="DYE18" s="84"/>
      <c r="DYF18" s="84"/>
      <c r="DYG18" s="84"/>
      <c r="DYH18" s="84"/>
      <c r="DYI18" s="84"/>
      <c r="DYJ18" s="84"/>
      <c r="DYK18" s="84"/>
      <c r="DYL18" s="84"/>
      <c r="DYM18" s="84"/>
      <c r="DYN18" s="84"/>
      <c r="DYO18" s="84"/>
      <c r="DYP18" s="84"/>
      <c r="DYQ18" s="84"/>
      <c r="DYR18" s="84"/>
      <c r="DYS18" s="84"/>
      <c r="DYT18" s="84"/>
      <c r="DYU18" s="84"/>
      <c r="DYV18" s="84"/>
      <c r="DYW18" s="84"/>
      <c r="DYX18" s="84"/>
      <c r="DYY18" s="84"/>
      <c r="DYZ18" s="84"/>
      <c r="DZA18" s="84"/>
      <c r="DZB18" s="84"/>
      <c r="DZC18" s="84"/>
      <c r="DZD18" s="84"/>
      <c r="DZE18" s="84"/>
      <c r="DZF18" s="84"/>
      <c r="DZG18" s="84"/>
      <c r="DZH18" s="84"/>
      <c r="DZI18" s="84"/>
      <c r="DZJ18" s="84"/>
      <c r="DZK18" s="84"/>
      <c r="DZL18" s="84"/>
      <c r="DZM18" s="84"/>
      <c r="DZN18" s="84"/>
      <c r="DZO18" s="84"/>
      <c r="DZP18" s="84"/>
      <c r="DZQ18" s="84"/>
      <c r="DZR18" s="84"/>
      <c r="DZS18" s="84"/>
      <c r="DZT18" s="84"/>
      <c r="DZU18" s="84"/>
      <c r="DZV18" s="84"/>
      <c r="DZW18" s="84"/>
      <c r="DZX18" s="84"/>
      <c r="DZY18" s="84"/>
      <c r="DZZ18" s="84"/>
      <c r="EAA18" s="84"/>
      <c r="EAB18" s="84"/>
      <c r="EAC18" s="84"/>
      <c r="EAD18" s="84"/>
      <c r="EAE18" s="84"/>
      <c r="EAF18" s="84"/>
      <c r="EAG18" s="84"/>
      <c r="EAH18" s="84"/>
      <c r="EAI18" s="84"/>
      <c r="EAJ18" s="84"/>
      <c r="EAK18" s="84"/>
      <c r="EAL18" s="84"/>
      <c r="EAM18" s="84"/>
      <c r="EAN18" s="84"/>
      <c r="EAO18" s="84"/>
      <c r="EAP18" s="84"/>
      <c r="EAQ18" s="84"/>
      <c r="EAR18" s="84"/>
      <c r="EAS18" s="84"/>
      <c r="EAT18" s="84"/>
      <c r="EAU18" s="84"/>
      <c r="EAV18" s="84"/>
      <c r="EAW18" s="84"/>
      <c r="EAX18" s="84"/>
      <c r="EAY18" s="84"/>
      <c r="EAZ18" s="84"/>
      <c r="EBA18" s="84"/>
      <c r="EBB18" s="84"/>
      <c r="EBC18" s="84"/>
      <c r="EBD18" s="84"/>
      <c r="EBE18" s="84"/>
      <c r="EBF18" s="84"/>
      <c r="EBG18" s="84"/>
      <c r="EBH18" s="84"/>
      <c r="EBI18" s="84"/>
      <c r="EBJ18" s="84"/>
      <c r="EBK18" s="84"/>
      <c r="EBL18" s="84"/>
      <c r="EBM18" s="84"/>
      <c r="EBN18" s="84"/>
      <c r="EBO18" s="84"/>
      <c r="EBP18" s="84"/>
      <c r="EBQ18" s="84"/>
      <c r="EBR18" s="84"/>
      <c r="EBS18" s="84"/>
      <c r="EBT18" s="84"/>
      <c r="EBU18" s="84"/>
      <c r="EBV18" s="84"/>
      <c r="EBW18" s="84"/>
      <c r="EBX18" s="84"/>
      <c r="EBY18" s="84"/>
      <c r="EBZ18" s="84"/>
      <c r="ECA18" s="84"/>
      <c r="ECB18" s="84"/>
      <c r="ECC18" s="84"/>
      <c r="ECD18" s="84"/>
      <c r="ECE18" s="84"/>
      <c r="ECF18" s="84"/>
      <c r="ECG18" s="84"/>
      <c r="ECH18" s="84"/>
      <c r="ECI18" s="84"/>
      <c r="ECJ18" s="84"/>
      <c r="ECK18" s="84"/>
      <c r="ECL18" s="84"/>
      <c r="ECM18" s="84"/>
      <c r="ECN18" s="84"/>
      <c r="ECO18" s="84"/>
      <c r="ECP18" s="84"/>
      <c r="ECQ18" s="84"/>
      <c r="ECR18" s="84"/>
      <c r="ECS18" s="84"/>
      <c r="ECT18" s="84"/>
      <c r="ECU18" s="84"/>
      <c r="ECV18" s="84"/>
      <c r="ECW18" s="84"/>
      <c r="ECX18" s="84"/>
      <c r="ECY18" s="84"/>
      <c r="ECZ18" s="84"/>
      <c r="EDA18" s="84"/>
      <c r="EDB18" s="84"/>
      <c r="EDC18" s="84"/>
      <c r="EDD18" s="84"/>
      <c r="EDE18" s="84"/>
      <c r="EDF18" s="84"/>
      <c r="EDG18" s="84"/>
      <c r="EDH18" s="84"/>
      <c r="EDI18" s="84"/>
      <c r="EDJ18" s="84"/>
      <c r="EDK18" s="84"/>
      <c r="EDL18" s="84"/>
      <c r="EDM18" s="84"/>
      <c r="EDN18" s="84"/>
      <c r="EDO18" s="84"/>
      <c r="EDP18" s="84"/>
      <c r="EDQ18" s="84"/>
      <c r="EDR18" s="84"/>
      <c r="EDS18" s="84"/>
      <c r="EDT18" s="84"/>
      <c r="EDU18" s="84"/>
      <c r="EDV18" s="84"/>
      <c r="EDW18" s="84"/>
      <c r="EDX18" s="84"/>
      <c r="EDY18" s="84"/>
      <c r="EDZ18" s="84"/>
      <c r="EEA18" s="84"/>
      <c r="EEB18" s="84"/>
      <c r="EEC18" s="84"/>
      <c r="EED18" s="84"/>
      <c r="EEE18" s="84"/>
      <c r="EEF18" s="84"/>
      <c r="EEG18" s="84"/>
      <c r="EEH18" s="84"/>
      <c r="EEI18" s="84"/>
      <c r="EEJ18" s="84"/>
      <c r="EEK18" s="84"/>
      <c r="EEL18" s="84"/>
      <c r="EEM18" s="84"/>
      <c r="EEN18" s="84"/>
      <c r="EEO18" s="84"/>
      <c r="EEP18" s="84"/>
      <c r="EEQ18" s="84"/>
      <c r="EER18" s="84"/>
      <c r="EES18" s="84"/>
      <c r="EET18" s="84"/>
      <c r="EEU18" s="84"/>
      <c r="EEV18" s="84"/>
      <c r="EEW18" s="84"/>
      <c r="EEX18" s="84"/>
      <c r="EEY18" s="84"/>
      <c r="EEZ18" s="84"/>
      <c r="EFA18" s="84"/>
      <c r="EFB18" s="84"/>
      <c r="EFC18" s="84"/>
      <c r="EFD18" s="84"/>
      <c r="EFE18" s="84"/>
      <c r="EFF18" s="84"/>
      <c r="EFG18" s="84"/>
      <c r="EFH18" s="84"/>
      <c r="EFI18" s="84"/>
      <c r="EFJ18" s="84"/>
      <c r="EFK18" s="84"/>
      <c r="EFL18" s="84"/>
      <c r="EFM18" s="84"/>
      <c r="EFN18" s="84"/>
      <c r="EFO18" s="84"/>
      <c r="EFP18" s="84"/>
      <c r="EFQ18" s="84"/>
      <c r="EFR18" s="84"/>
      <c r="EFS18" s="84"/>
      <c r="EFT18" s="84"/>
      <c r="EFU18" s="84"/>
      <c r="EFV18" s="84"/>
      <c r="EFW18" s="84"/>
      <c r="EFX18" s="84"/>
      <c r="EFY18" s="84"/>
      <c r="EFZ18" s="84"/>
      <c r="EGA18" s="84"/>
      <c r="EGB18" s="84"/>
      <c r="EGC18" s="84"/>
      <c r="EGD18" s="84"/>
      <c r="EGE18" s="84"/>
      <c r="EGF18" s="84"/>
      <c r="EGG18" s="84"/>
      <c r="EGH18" s="84"/>
      <c r="EGI18" s="84"/>
      <c r="EGJ18" s="84"/>
      <c r="EGK18" s="84"/>
      <c r="EGL18" s="84"/>
      <c r="EGM18" s="84"/>
      <c r="EGN18" s="84"/>
      <c r="EGO18" s="84"/>
      <c r="EGP18" s="84"/>
      <c r="EGQ18" s="84"/>
      <c r="EGR18" s="84"/>
      <c r="EGS18" s="84"/>
      <c r="EGT18" s="84"/>
      <c r="EGU18" s="84"/>
      <c r="EGV18" s="84"/>
      <c r="EGW18" s="84"/>
      <c r="EGX18" s="84"/>
      <c r="EGY18" s="84"/>
      <c r="EGZ18" s="84"/>
      <c r="EHA18" s="84"/>
      <c r="EHB18" s="84"/>
      <c r="EHC18" s="84"/>
      <c r="EHD18" s="84"/>
      <c r="EHE18" s="84"/>
      <c r="EHF18" s="84"/>
      <c r="EHG18" s="84"/>
      <c r="EHH18" s="84"/>
      <c r="EHI18" s="84"/>
      <c r="EHJ18" s="84"/>
      <c r="EHK18" s="84"/>
      <c r="EHL18" s="84"/>
      <c r="EHM18" s="84"/>
      <c r="EHN18" s="84"/>
      <c r="EHO18" s="84"/>
      <c r="EHP18" s="84"/>
      <c r="EHQ18" s="84"/>
      <c r="EHR18" s="84"/>
      <c r="EHS18" s="84"/>
      <c r="EHT18" s="84"/>
      <c r="EHU18" s="84"/>
      <c r="EHV18" s="84"/>
      <c r="EHW18" s="84"/>
      <c r="EHX18" s="84"/>
      <c r="EHY18" s="84"/>
      <c r="EHZ18" s="84"/>
      <c r="EIA18" s="84"/>
      <c r="EIB18" s="84"/>
      <c r="EIC18" s="84"/>
      <c r="EID18" s="84"/>
      <c r="EIE18" s="84"/>
      <c r="EIF18" s="84"/>
      <c r="EIG18" s="84"/>
      <c r="EIH18" s="84"/>
      <c r="EII18" s="84"/>
      <c r="EIJ18" s="84"/>
      <c r="EIK18" s="84"/>
      <c r="EIL18" s="84"/>
      <c r="EIM18" s="84"/>
      <c r="EIN18" s="84"/>
      <c r="EIO18" s="84"/>
      <c r="EIP18" s="84"/>
      <c r="EIQ18" s="84"/>
      <c r="EIR18" s="84"/>
      <c r="EIS18" s="84"/>
      <c r="EIT18" s="84"/>
      <c r="EIU18" s="84"/>
      <c r="EIV18" s="84"/>
      <c r="EIW18" s="84"/>
      <c r="EIX18" s="84"/>
      <c r="EIY18" s="84"/>
      <c r="EIZ18" s="84"/>
      <c r="EJA18" s="84"/>
      <c r="EJB18" s="84"/>
      <c r="EJC18" s="84"/>
      <c r="EJD18" s="84"/>
      <c r="EJE18" s="84"/>
      <c r="EJF18" s="84"/>
      <c r="EJG18" s="84"/>
      <c r="EJH18" s="84"/>
      <c r="EJI18" s="84"/>
      <c r="EJJ18" s="84"/>
      <c r="EJK18" s="84"/>
      <c r="EJL18" s="84"/>
      <c r="EJM18" s="84"/>
      <c r="EJN18" s="84"/>
      <c r="EJO18" s="84"/>
      <c r="EJP18" s="84"/>
      <c r="EJQ18" s="84"/>
      <c r="EJR18" s="84"/>
      <c r="EJS18" s="84"/>
      <c r="EJT18" s="84"/>
      <c r="EJU18" s="84"/>
      <c r="EJV18" s="84"/>
      <c r="EJW18" s="84"/>
      <c r="EJX18" s="84"/>
      <c r="EJY18" s="84"/>
      <c r="EJZ18" s="84"/>
      <c r="EKA18" s="84"/>
      <c r="EKB18" s="84"/>
      <c r="EKC18" s="84"/>
      <c r="EKD18" s="84"/>
      <c r="EKE18" s="84"/>
      <c r="EKF18" s="84"/>
      <c r="EKG18" s="84"/>
      <c r="EKH18" s="84"/>
      <c r="EKI18" s="84"/>
      <c r="EKJ18" s="84"/>
      <c r="EKK18" s="84"/>
      <c r="EKL18" s="84"/>
      <c r="EKM18" s="84"/>
      <c r="EKN18" s="84"/>
      <c r="EKO18" s="84"/>
      <c r="EKP18" s="84"/>
      <c r="EKQ18" s="84"/>
      <c r="EKR18" s="84"/>
      <c r="EKS18" s="84"/>
      <c r="EKT18" s="84"/>
      <c r="EKU18" s="84"/>
      <c r="EKV18" s="84"/>
      <c r="EKW18" s="84"/>
      <c r="EKX18" s="84"/>
      <c r="EKY18" s="84"/>
      <c r="EKZ18" s="84"/>
      <c r="ELA18" s="84"/>
      <c r="ELB18" s="84"/>
      <c r="ELC18" s="84"/>
      <c r="ELD18" s="84"/>
      <c r="ELE18" s="84"/>
      <c r="ELF18" s="84"/>
      <c r="ELG18" s="84"/>
      <c r="ELH18" s="84"/>
      <c r="ELI18" s="84"/>
      <c r="ELJ18" s="84"/>
      <c r="ELK18" s="84"/>
      <c r="ELL18" s="84"/>
      <c r="ELM18" s="84"/>
      <c r="ELN18" s="84"/>
      <c r="ELO18" s="84"/>
      <c r="ELP18" s="84"/>
      <c r="ELQ18" s="84"/>
      <c r="ELR18" s="84"/>
      <c r="ELS18" s="84"/>
      <c r="ELT18" s="84"/>
      <c r="ELU18" s="84"/>
      <c r="ELV18" s="84"/>
      <c r="ELW18" s="84"/>
      <c r="ELX18" s="84"/>
      <c r="ELY18" s="84"/>
      <c r="ELZ18" s="84"/>
      <c r="EMA18" s="84"/>
      <c r="EMB18" s="84"/>
      <c r="EMC18" s="84"/>
      <c r="EMD18" s="84"/>
      <c r="EME18" s="84"/>
      <c r="EMF18" s="84"/>
      <c r="EMG18" s="84"/>
      <c r="EMH18" s="84"/>
      <c r="EMI18" s="84"/>
      <c r="EMJ18" s="84"/>
      <c r="EMK18" s="84"/>
      <c r="EML18" s="84"/>
      <c r="EMM18" s="84"/>
      <c r="EMN18" s="84"/>
      <c r="EMO18" s="84"/>
      <c r="EMP18" s="84"/>
      <c r="EMQ18" s="84"/>
      <c r="EMR18" s="84"/>
      <c r="EMS18" s="84"/>
      <c r="EMT18" s="84"/>
      <c r="EMU18" s="84"/>
      <c r="EMV18" s="84"/>
      <c r="EMW18" s="84"/>
      <c r="EMX18" s="84"/>
      <c r="EMY18" s="84"/>
      <c r="EMZ18" s="84"/>
      <c r="ENA18" s="84"/>
      <c r="ENB18" s="84"/>
      <c r="ENC18" s="84"/>
      <c r="END18" s="84"/>
      <c r="ENE18" s="84"/>
      <c r="ENF18" s="84"/>
      <c r="ENG18" s="84"/>
      <c r="ENH18" s="84"/>
      <c r="ENI18" s="84"/>
      <c r="ENJ18" s="84"/>
      <c r="ENK18" s="84"/>
      <c r="ENL18" s="84"/>
      <c r="ENM18" s="84"/>
      <c r="ENN18" s="84"/>
      <c r="ENO18" s="84"/>
      <c r="ENP18" s="84"/>
      <c r="ENQ18" s="84"/>
      <c r="ENR18" s="84"/>
      <c r="ENS18" s="84"/>
      <c r="ENT18" s="84"/>
      <c r="ENU18" s="84"/>
      <c r="ENV18" s="84"/>
      <c r="ENW18" s="84"/>
      <c r="ENX18" s="84"/>
      <c r="ENY18" s="84"/>
      <c r="ENZ18" s="84"/>
      <c r="EOA18" s="84"/>
      <c r="EOB18" s="84"/>
      <c r="EOC18" s="84"/>
      <c r="EOD18" s="84"/>
      <c r="EOE18" s="84"/>
      <c r="EOF18" s="84"/>
      <c r="EOG18" s="84"/>
      <c r="EOH18" s="84"/>
      <c r="EOI18" s="84"/>
      <c r="EOJ18" s="84"/>
      <c r="EOK18" s="84"/>
      <c r="EOL18" s="84"/>
      <c r="EOM18" s="84"/>
      <c r="EON18" s="84"/>
      <c r="EOO18" s="84"/>
      <c r="EOP18" s="84"/>
      <c r="EOQ18" s="84"/>
      <c r="EOR18" s="84"/>
      <c r="EOS18" s="84"/>
      <c r="EOT18" s="84"/>
      <c r="EOU18" s="84"/>
      <c r="EOV18" s="84"/>
      <c r="EOW18" s="84"/>
      <c r="EOX18" s="84"/>
      <c r="EOY18" s="84"/>
      <c r="EOZ18" s="84"/>
      <c r="EPA18" s="84"/>
      <c r="EPB18" s="84"/>
      <c r="EPC18" s="84"/>
      <c r="EPD18" s="84"/>
      <c r="EPE18" s="84"/>
      <c r="EPF18" s="84"/>
      <c r="EPG18" s="84"/>
      <c r="EPH18" s="84"/>
      <c r="EPI18" s="84"/>
      <c r="EPJ18" s="84"/>
      <c r="EPK18" s="84"/>
      <c r="EPL18" s="84"/>
      <c r="EPM18" s="84"/>
      <c r="EPN18" s="84"/>
      <c r="EPO18" s="84"/>
      <c r="EPP18" s="84"/>
      <c r="EPQ18" s="84"/>
      <c r="EPR18" s="84"/>
      <c r="EPS18" s="84"/>
      <c r="EPT18" s="84"/>
      <c r="EPU18" s="84"/>
      <c r="EPV18" s="84"/>
      <c r="EPW18" s="84"/>
      <c r="EPX18" s="84"/>
      <c r="EPY18" s="84"/>
      <c r="EPZ18" s="84"/>
      <c r="EQA18" s="84"/>
      <c r="EQB18" s="84"/>
      <c r="EQC18" s="84"/>
      <c r="EQD18" s="84"/>
      <c r="EQE18" s="84"/>
      <c r="EQF18" s="84"/>
      <c r="EQG18" s="84"/>
      <c r="EQH18" s="84"/>
      <c r="EQI18" s="84"/>
      <c r="EQJ18" s="84"/>
      <c r="EQK18" s="84"/>
      <c r="EQL18" s="84"/>
      <c r="EQM18" s="84"/>
      <c r="EQN18" s="84"/>
      <c r="EQO18" s="84"/>
      <c r="EQP18" s="84"/>
      <c r="EQQ18" s="84"/>
      <c r="EQR18" s="84"/>
      <c r="EQS18" s="84"/>
      <c r="EQT18" s="84"/>
      <c r="EQU18" s="84"/>
      <c r="EQV18" s="84"/>
      <c r="EQW18" s="84"/>
      <c r="EQX18" s="84"/>
      <c r="EQY18" s="84"/>
      <c r="EQZ18" s="84"/>
      <c r="ERA18" s="84"/>
      <c r="ERB18" s="84"/>
      <c r="ERC18" s="84"/>
      <c r="ERD18" s="84"/>
      <c r="ERE18" s="84"/>
      <c r="ERF18" s="84"/>
      <c r="ERG18" s="84"/>
      <c r="ERH18" s="84"/>
      <c r="ERI18" s="84"/>
      <c r="ERJ18" s="84"/>
      <c r="ERK18" s="84"/>
      <c r="ERL18" s="84"/>
      <c r="ERM18" s="84"/>
      <c r="ERN18" s="84"/>
      <c r="ERO18" s="84"/>
      <c r="ERP18" s="84"/>
      <c r="ERQ18" s="84"/>
      <c r="ERR18" s="84"/>
      <c r="ERS18" s="84"/>
      <c r="ERT18" s="84"/>
      <c r="ERU18" s="84"/>
      <c r="ERV18" s="84"/>
      <c r="ERW18" s="84"/>
      <c r="ERX18" s="84"/>
      <c r="ERY18" s="84"/>
      <c r="ERZ18" s="84"/>
      <c r="ESA18" s="84"/>
      <c r="ESB18" s="84"/>
      <c r="ESC18" s="84"/>
      <c r="ESD18" s="84"/>
      <c r="ESE18" s="84"/>
      <c r="ESF18" s="84"/>
      <c r="ESG18" s="84"/>
      <c r="ESH18" s="84"/>
      <c r="ESI18" s="84"/>
      <c r="ESJ18" s="84"/>
      <c r="ESK18" s="84"/>
      <c r="ESL18" s="84"/>
      <c r="ESM18" s="84"/>
      <c r="ESN18" s="84"/>
      <c r="ESO18" s="84"/>
      <c r="ESP18" s="84"/>
      <c r="ESQ18" s="84"/>
      <c r="ESR18" s="84"/>
      <c r="ESS18" s="84"/>
      <c r="EST18" s="84"/>
      <c r="ESU18" s="84"/>
      <c r="ESV18" s="84"/>
      <c r="ESW18" s="84"/>
      <c r="ESX18" s="84"/>
      <c r="ESY18" s="84"/>
      <c r="ESZ18" s="84"/>
      <c r="ETA18" s="84"/>
      <c r="ETB18" s="84"/>
      <c r="ETC18" s="84"/>
      <c r="ETD18" s="84"/>
      <c r="ETE18" s="84"/>
      <c r="ETF18" s="84"/>
      <c r="ETG18" s="84"/>
      <c r="ETH18" s="84"/>
      <c r="ETI18" s="84"/>
      <c r="ETJ18" s="84"/>
      <c r="ETK18" s="84"/>
      <c r="ETL18" s="84"/>
      <c r="ETM18" s="84"/>
      <c r="ETN18" s="84"/>
      <c r="ETO18" s="84"/>
      <c r="ETP18" s="84"/>
      <c r="ETQ18" s="84"/>
      <c r="ETR18" s="84"/>
      <c r="ETS18" s="84"/>
      <c r="ETT18" s="84"/>
      <c r="ETU18" s="84"/>
      <c r="ETV18" s="84"/>
      <c r="ETW18" s="84"/>
      <c r="ETX18" s="84"/>
      <c r="ETY18" s="84"/>
      <c r="ETZ18" s="84"/>
      <c r="EUA18" s="84"/>
      <c r="EUB18" s="84"/>
      <c r="EUC18" s="84"/>
      <c r="EUD18" s="84"/>
      <c r="EUE18" s="84"/>
      <c r="EUF18" s="84"/>
      <c r="EUG18" s="84"/>
      <c r="EUH18" s="84"/>
      <c r="EUI18" s="84"/>
      <c r="EUJ18" s="84"/>
      <c r="EUK18" s="84"/>
      <c r="EUL18" s="84"/>
      <c r="EUM18" s="84"/>
      <c r="EUN18" s="84"/>
      <c r="EUO18" s="84"/>
      <c r="EUP18" s="84"/>
      <c r="EUQ18" s="84"/>
      <c r="EUR18" s="84"/>
      <c r="EUS18" s="84"/>
      <c r="EUT18" s="84"/>
      <c r="EUU18" s="84"/>
      <c r="EUV18" s="84"/>
      <c r="EUW18" s="84"/>
      <c r="EUX18" s="84"/>
      <c r="EUY18" s="84"/>
      <c r="EUZ18" s="84"/>
      <c r="EVA18" s="84"/>
      <c r="EVB18" s="84"/>
      <c r="EVC18" s="84"/>
      <c r="EVD18" s="84"/>
      <c r="EVE18" s="84"/>
      <c r="EVF18" s="84"/>
      <c r="EVG18" s="84"/>
      <c r="EVH18" s="84"/>
      <c r="EVI18" s="84"/>
      <c r="EVJ18" s="84"/>
      <c r="EVK18" s="84"/>
      <c r="EVL18" s="84"/>
      <c r="EVM18" s="84"/>
      <c r="EVN18" s="84"/>
      <c r="EVO18" s="84"/>
      <c r="EVP18" s="84"/>
      <c r="EVQ18" s="84"/>
      <c r="EVR18" s="84"/>
      <c r="EVS18" s="84"/>
      <c r="EVT18" s="84"/>
      <c r="EVU18" s="84"/>
      <c r="EVV18" s="84"/>
      <c r="EVW18" s="84"/>
      <c r="EVX18" s="84"/>
      <c r="EVY18" s="84"/>
      <c r="EVZ18" s="84"/>
      <c r="EWA18" s="84"/>
      <c r="EWB18" s="84"/>
      <c r="EWC18" s="84"/>
      <c r="EWD18" s="84"/>
      <c r="EWE18" s="84"/>
      <c r="EWF18" s="84"/>
      <c r="EWG18" s="84"/>
      <c r="EWH18" s="84"/>
      <c r="EWI18" s="84"/>
      <c r="EWJ18" s="84"/>
      <c r="EWK18" s="84"/>
      <c r="EWL18" s="84"/>
      <c r="EWM18" s="84"/>
      <c r="EWN18" s="84"/>
      <c r="EWO18" s="84"/>
      <c r="EWP18" s="84"/>
      <c r="EWQ18" s="84"/>
      <c r="EWR18" s="84"/>
      <c r="EWS18" s="84"/>
      <c r="EWT18" s="84"/>
      <c r="EWU18" s="84"/>
      <c r="EWV18" s="84"/>
      <c r="EWW18" s="84"/>
      <c r="EWX18" s="84"/>
      <c r="EWY18" s="84"/>
      <c r="EWZ18" s="84"/>
      <c r="EXA18" s="84"/>
      <c r="EXB18" s="84"/>
      <c r="EXC18" s="84"/>
      <c r="EXD18" s="84"/>
      <c r="EXE18" s="84"/>
      <c r="EXF18" s="84"/>
      <c r="EXG18" s="84"/>
      <c r="EXH18" s="84"/>
      <c r="EXI18" s="84"/>
      <c r="EXJ18" s="84"/>
      <c r="EXK18" s="84"/>
      <c r="EXL18" s="84"/>
      <c r="EXM18" s="84"/>
      <c r="EXN18" s="84"/>
      <c r="EXO18" s="84"/>
      <c r="EXP18" s="84"/>
      <c r="EXQ18" s="84"/>
      <c r="EXR18" s="84"/>
      <c r="EXS18" s="84"/>
      <c r="EXT18" s="84"/>
      <c r="EXU18" s="84"/>
      <c r="EXV18" s="84"/>
      <c r="EXW18" s="84"/>
      <c r="EXX18" s="84"/>
      <c r="EXY18" s="84"/>
      <c r="EXZ18" s="84"/>
      <c r="EYA18" s="84"/>
      <c r="EYB18" s="84"/>
      <c r="EYC18" s="84"/>
      <c r="EYD18" s="84"/>
      <c r="EYE18" s="84"/>
      <c r="EYF18" s="84"/>
      <c r="EYG18" s="84"/>
      <c r="EYH18" s="84"/>
      <c r="EYI18" s="84"/>
      <c r="EYJ18" s="84"/>
      <c r="EYK18" s="84"/>
      <c r="EYL18" s="84"/>
      <c r="EYM18" s="84"/>
      <c r="EYN18" s="84"/>
      <c r="EYO18" s="84"/>
      <c r="EYP18" s="84"/>
      <c r="EYQ18" s="84"/>
      <c r="EYR18" s="84"/>
      <c r="EYS18" s="84"/>
      <c r="EYT18" s="84"/>
      <c r="EYU18" s="84"/>
      <c r="EYV18" s="84"/>
      <c r="EYW18" s="84"/>
      <c r="EYX18" s="84"/>
      <c r="EYY18" s="84"/>
      <c r="EYZ18" s="84"/>
      <c r="EZA18" s="84"/>
      <c r="EZB18" s="84"/>
      <c r="EZC18" s="84"/>
      <c r="EZD18" s="84"/>
      <c r="EZE18" s="84"/>
      <c r="EZF18" s="84"/>
      <c r="EZG18" s="84"/>
      <c r="EZH18" s="84"/>
      <c r="EZI18" s="84"/>
      <c r="EZJ18" s="84"/>
      <c r="EZK18" s="84"/>
      <c r="EZL18" s="84"/>
      <c r="EZM18" s="84"/>
      <c r="EZN18" s="84"/>
      <c r="EZO18" s="84"/>
      <c r="EZP18" s="84"/>
      <c r="EZQ18" s="84"/>
      <c r="EZR18" s="84"/>
      <c r="EZS18" s="84"/>
      <c r="EZT18" s="84"/>
      <c r="EZU18" s="84"/>
      <c r="EZV18" s="84"/>
      <c r="EZW18" s="84"/>
      <c r="EZX18" s="84"/>
      <c r="EZY18" s="84"/>
      <c r="EZZ18" s="84"/>
      <c r="FAA18" s="84"/>
      <c r="FAB18" s="84"/>
      <c r="FAC18" s="84"/>
      <c r="FAD18" s="84"/>
      <c r="FAE18" s="84"/>
      <c r="FAF18" s="84"/>
      <c r="FAG18" s="84"/>
      <c r="FAH18" s="84"/>
      <c r="FAI18" s="84"/>
      <c r="FAJ18" s="84"/>
      <c r="FAK18" s="84"/>
      <c r="FAL18" s="84"/>
      <c r="FAM18" s="84"/>
      <c r="FAN18" s="84"/>
      <c r="FAO18" s="84"/>
      <c r="FAP18" s="84"/>
      <c r="FAQ18" s="84"/>
      <c r="FAR18" s="84"/>
      <c r="FAS18" s="84"/>
      <c r="FAT18" s="84"/>
      <c r="FAU18" s="84"/>
      <c r="FAV18" s="84"/>
      <c r="FAW18" s="84"/>
      <c r="FAX18" s="84"/>
      <c r="FAY18" s="84"/>
      <c r="FAZ18" s="84"/>
      <c r="FBA18" s="84"/>
      <c r="FBB18" s="84"/>
      <c r="FBC18" s="84"/>
      <c r="FBD18" s="84"/>
      <c r="FBE18" s="84"/>
      <c r="FBF18" s="84"/>
      <c r="FBG18" s="84"/>
      <c r="FBH18" s="84"/>
      <c r="FBI18" s="84"/>
      <c r="FBJ18" s="84"/>
      <c r="FBK18" s="84"/>
      <c r="FBL18" s="84"/>
      <c r="FBM18" s="84"/>
      <c r="FBN18" s="84"/>
      <c r="FBO18" s="84"/>
      <c r="FBP18" s="84"/>
      <c r="FBQ18" s="84"/>
      <c r="FBR18" s="84"/>
      <c r="FBS18" s="84"/>
      <c r="FBT18" s="84"/>
      <c r="FBU18" s="84"/>
      <c r="FBV18" s="84"/>
      <c r="FBW18" s="84"/>
      <c r="FBX18" s="84"/>
      <c r="FBY18" s="84"/>
      <c r="FBZ18" s="84"/>
      <c r="FCA18" s="84"/>
      <c r="FCB18" s="84"/>
      <c r="FCC18" s="84"/>
      <c r="FCD18" s="84"/>
      <c r="FCE18" s="84"/>
      <c r="FCF18" s="84"/>
      <c r="FCG18" s="84"/>
      <c r="FCH18" s="84"/>
      <c r="FCI18" s="84"/>
      <c r="FCJ18" s="84"/>
      <c r="FCK18" s="84"/>
      <c r="FCL18" s="84"/>
      <c r="FCM18" s="84"/>
      <c r="FCN18" s="84"/>
      <c r="FCO18" s="84"/>
      <c r="FCP18" s="84"/>
      <c r="FCQ18" s="84"/>
      <c r="FCR18" s="84"/>
      <c r="FCS18" s="84"/>
      <c r="FCT18" s="84"/>
      <c r="FCU18" s="84"/>
      <c r="FCV18" s="84"/>
      <c r="FCW18" s="84"/>
      <c r="FCX18" s="84"/>
      <c r="FCY18" s="84"/>
      <c r="FCZ18" s="84"/>
      <c r="FDA18" s="84"/>
      <c r="FDB18" s="84"/>
      <c r="FDC18" s="84"/>
      <c r="FDD18" s="84"/>
      <c r="FDE18" s="84"/>
      <c r="FDF18" s="84"/>
      <c r="FDG18" s="84"/>
      <c r="FDH18" s="84"/>
      <c r="FDI18" s="84"/>
      <c r="FDJ18" s="84"/>
      <c r="FDK18" s="84"/>
      <c r="FDL18" s="84"/>
      <c r="FDM18" s="84"/>
      <c r="FDN18" s="84"/>
      <c r="FDO18" s="84"/>
      <c r="FDP18" s="84"/>
      <c r="FDQ18" s="84"/>
      <c r="FDR18" s="84"/>
      <c r="FDS18" s="84"/>
      <c r="FDT18" s="84"/>
      <c r="FDU18" s="84"/>
      <c r="FDV18" s="84"/>
      <c r="FDW18" s="84"/>
      <c r="FDX18" s="84"/>
      <c r="FDY18" s="84"/>
      <c r="FDZ18" s="84"/>
      <c r="FEA18" s="84"/>
      <c r="FEB18" s="84"/>
      <c r="FEC18" s="84"/>
      <c r="FED18" s="84"/>
      <c r="FEE18" s="84"/>
      <c r="FEF18" s="84"/>
      <c r="FEG18" s="84"/>
      <c r="FEH18" s="84"/>
      <c r="FEI18" s="84"/>
      <c r="FEJ18" s="84"/>
      <c r="FEK18" s="84"/>
      <c r="FEL18" s="84"/>
      <c r="FEM18" s="84"/>
      <c r="FEN18" s="84"/>
      <c r="FEO18" s="84"/>
      <c r="FEP18" s="84"/>
      <c r="FEQ18" s="84"/>
      <c r="FER18" s="84"/>
      <c r="FES18" s="84"/>
      <c r="FET18" s="84"/>
      <c r="FEU18" s="84"/>
      <c r="FEV18" s="84"/>
      <c r="FEW18" s="84"/>
      <c r="FEX18" s="84"/>
      <c r="FEY18" s="84"/>
      <c r="FEZ18" s="84"/>
      <c r="FFA18" s="84"/>
      <c r="FFB18" s="84"/>
      <c r="FFC18" s="84"/>
      <c r="FFD18" s="84"/>
      <c r="FFE18" s="84"/>
      <c r="FFF18" s="84"/>
      <c r="FFG18" s="84"/>
      <c r="FFH18" s="84"/>
      <c r="FFI18" s="84"/>
      <c r="FFJ18" s="84"/>
      <c r="FFK18" s="84"/>
      <c r="FFL18" s="84"/>
      <c r="FFM18" s="84"/>
      <c r="FFN18" s="84"/>
      <c r="FFO18" s="84"/>
      <c r="FFP18" s="84"/>
      <c r="FFQ18" s="84"/>
      <c r="FFR18" s="84"/>
      <c r="FFS18" s="84"/>
      <c r="FFT18" s="84"/>
      <c r="FFU18" s="84"/>
      <c r="FFV18" s="84"/>
      <c r="FFW18" s="84"/>
      <c r="FFX18" s="84"/>
      <c r="FFY18" s="84"/>
      <c r="FFZ18" s="84"/>
      <c r="FGA18" s="84"/>
      <c r="FGB18" s="84"/>
      <c r="FGC18" s="84"/>
      <c r="FGD18" s="84"/>
      <c r="FGE18" s="84"/>
      <c r="FGF18" s="84"/>
      <c r="FGG18" s="84"/>
      <c r="FGH18" s="84"/>
      <c r="FGI18" s="84"/>
      <c r="FGJ18" s="84"/>
      <c r="FGK18" s="84"/>
      <c r="FGL18" s="84"/>
      <c r="FGM18" s="84"/>
      <c r="FGN18" s="84"/>
      <c r="FGO18" s="84"/>
      <c r="FGP18" s="84"/>
      <c r="FGQ18" s="84"/>
      <c r="FGR18" s="84"/>
      <c r="FGS18" s="84"/>
      <c r="FGT18" s="84"/>
      <c r="FGU18" s="84"/>
      <c r="FGV18" s="84"/>
      <c r="FGW18" s="84"/>
      <c r="FGX18" s="84"/>
      <c r="FGY18" s="84"/>
      <c r="FGZ18" s="84"/>
      <c r="FHA18" s="84"/>
      <c r="FHB18" s="84"/>
      <c r="FHC18" s="84"/>
      <c r="FHD18" s="84"/>
      <c r="FHE18" s="84"/>
      <c r="FHF18" s="84"/>
      <c r="FHG18" s="84"/>
      <c r="FHH18" s="84"/>
      <c r="FHI18" s="84"/>
      <c r="FHJ18" s="84"/>
      <c r="FHK18" s="84"/>
      <c r="FHL18" s="84"/>
      <c r="FHM18" s="84"/>
      <c r="FHN18" s="84"/>
      <c r="FHO18" s="84"/>
      <c r="FHP18" s="84"/>
      <c r="FHQ18" s="84"/>
      <c r="FHR18" s="84"/>
      <c r="FHS18" s="84"/>
      <c r="FHT18" s="84"/>
      <c r="FHU18" s="84"/>
      <c r="FHV18" s="84"/>
      <c r="FHW18" s="84"/>
      <c r="FHX18" s="84"/>
      <c r="FHY18" s="84"/>
      <c r="FHZ18" s="84"/>
      <c r="FIA18" s="84"/>
      <c r="FIB18" s="84"/>
      <c r="FIC18" s="84"/>
      <c r="FID18" s="84"/>
      <c r="FIE18" s="84"/>
      <c r="FIF18" s="84"/>
      <c r="FIG18" s="84"/>
      <c r="FIH18" s="84"/>
      <c r="FII18" s="84"/>
      <c r="FIJ18" s="84"/>
      <c r="FIK18" s="84"/>
      <c r="FIL18" s="84"/>
      <c r="FIM18" s="84"/>
      <c r="FIN18" s="84"/>
      <c r="FIO18" s="84"/>
      <c r="FIP18" s="84"/>
      <c r="FIQ18" s="84"/>
      <c r="FIR18" s="84"/>
      <c r="FIS18" s="84"/>
      <c r="FIT18" s="84"/>
      <c r="FIU18" s="84"/>
      <c r="FIV18" s="84"/>
      <c r="FIW18" s="84"/>
      <c r="FIX18" s="84"/>
      <c r="FIY18" s="84"/>
      <c r="FIZ18" s="84"/>
      <c r="FJA18" s="84"/>
      <c r="FJB18" s="84"/>
      <c r="FJC18" s="84"/>
      <c r="FJD18" s="84"/>
      <c r="FJE18" s="84"/>
      <c r="FJF18" s="84"/>
      <c r="FJG18" s="84"/>
      <c r="FJH18" s="84"/>
      <c r="FJI18" s="84"/>
      <c r="FJJ18" s="84"/>
      <c r="FJK18" s="84"/>
      <c r="FJL18" s="84"/>
      <c r="FJM18" s="84"/>
      <c r="FJN18" s="84"/>
      <c r="FJO18" s="84"/>
      <c r="FJP18" s="84"/>
      <c r="FJQ18" s="84"/>
      <c r="FJR18" s="84"/>
      <c r="FJS18" s="84"/>
      <c r="FJT18" s="84"/>
      <c r="FJU18" s="84"/>
      <c r="FJV18" s="84"/>
      <c r="FJW18" s="84"/>
      <c r="FJX18" s="84"/>
      <c r="FJY18" s="84"/>
      <c r="FJZ18" s="84"/>
      <c r="FKA18" s="84"/>
      <c r="FKB18" s="84"/>
      <c r="FKC18" s="84"/>
      <c r="FKD18" s="84"/>
      <c r="FKE18" s="84"/>
      <c r="FKF18" s="84"/>
      <c r="FKG18" s="84"/>
      <c r="FKH18" s="84"/>
      <c r="FKI18" s="84"/>
      <c r="FKJ18" s="84"/>
      <c r="FKK18" s="84"/>
      <c r="FKL18" s="84"/>
      <c r="FKM18" s="84"/>
      <c r="FKN18" s="84"/>
      <c r="FKO18" s="84"/>
      <c r="FKP18" s="84"/>
      <c r="FKQ18" s="84"/>
      <c r="FKR18" s="84"/>
      <c r="FKS18" s="84"/>
      <c r="FKT18" s="84"/>
      <c r="FKU18" s="84"/>
      <c r="FKV18" s="84"/>
      <c r="FKW18" s="84"/>
      <c r="FKX18" s="84"/>
      <c r="FKY18" s="84"/>
      <c r="FKZ18" s="84"/>
      <c r="FLA18" s="84"/>
      <c r="FLB18" s="84"/>
      <c r="FLC18" s="84"/>
      <c r="FLD18" s="84"/>
      <c r="FLE18" s="84"/>
      <c r="FLF18" s="84"/>
      <c r="FLG18" s="84"/>
      <c r="FLH18" s="84"/>
      <c r="FLI18" s="84"/>
      <c r="FLJ18" s="84"/>
      <c r="FLK18" s="84"/>
      <c r="FLL18" s="84"/>
      <c r="FLM18" s="84"/>
      <c r="FLN18" s="84"/>
      <c r="FLO18" s="84"/>
      <c r="FLP18" s="84"/>
      <c r="FLQ18" s="84"/>
      <c r="FLR18" s="84"/>
      <c r="FLS18" s="84"/>
      <c r="FLT18" s="84"/>
      <c r="FLU18" s="84"/>
      <c r="FLV18" s="84"/>
      <c r="FLW18" s="84"/>
      <c r="FLX18" s="84"/>
      <c r="FLY18" s="84"/>
      <c r="FLZ18" s="84"/>
      <c r="FMA18" s="84"/>
      <c r="FMB18" s="84"/>
      <c r="FMC18" s="84"/>
      <c r="FMD18" s="84"/>
      <c r="FME18" s="84"/>
      <c r="FMF18" s="84"/>
      <c r="FMG18" s="84"/>
      <c r="FMH18" s="84"/>
      <c r="FMI18" s="84"/>
      <c r="FMJ18" s="84"/>
      <c r="FMK18" s="84"/>
      <c r="FML18" s="84"/>
      <c r="FMM18" s="84"/>
      <c r="FMN18" s="84"/>
      <c r="FMO18" s="84"/>
      <c r="FMP18" s="84"/>
      <c r="FMQ18" s="84"/>
      <c r="FMR18" s="84"/>
      <c r="FMS18" s="84"/>
      <c r="FMT18" s="84"/>
      <c r="FMU18" s="84"/>
      <c r="FMV18" s="84"/>
      <c r="FMW18" s="84"/>
      <c r="FMX18" s="84"/>
      <c r="FMY18" s="84"/>
      <c r="FMZ18" s="84"/>
      <c r="FNA18" s="84"/>
      <c r="FNB18" s="84"/>
      <c r="FNC18" s="84"/>
      <c r="FND18" s="84"/>
      <c r="FNE18" s="84"/>
      <c r="FNF18" s="84"/>
      <c r="FNG18" s="84"/>
      <c r="FNH18" s="84"/>
      <c r="FNI18" s="84"/>
      <c r="FNJ18" s="84"/>
      <c r="FNK18" s="84"/>
      <c r="FNL18" s="84"/>
      <c r="FNM18" s="84"/>
      <c r="FNN18" s="84"/>
      <c r="FNO18" s="84"/>
      <c r="FNP18" s="84"/>
      <c r="FNQ18" s="84"/>
      <c r="FNR18" s="84"/>
      <c r="FNS18" s="84"/>
      <c r="FNT18" s="84"/>
      <c r="FNU18" s="84"/>
      <c r="FNV18" s="84"/>
      <c r="FNW18" s="84"/>
      <c r="FNX18" s="84"/>
      <c r="FNY18" s="84"/>
      <c r="FNZ18" s="84"/>
      <c r="FOA18" s="84"/>
      <c r="FOB18" s="84"/>
      <c r="FOC18" s="84"/>
      <c r="FOD18" s="84"/>
      <c r="FOE18" s="84"/>
      <c r="FOF18" s="84"/>
      <c r="FOG18" s="84"/>
      <c r="FOH18" s="84"/>
      <c r="FOI18" s="84"/>
      <c r="FOJ18" s="84"/>
      <c r="FOK18" s="84"/>
      <c r="FOL18" s="84"/>
      <c r="FOM18" s="84"/>
      <c r="FON18" s="84"/>
      <c r="FOO18" s="84"/>
      <c r="FOP18" s="84"/>
      <c r="FOQ18" s="84"/>
      <c r="FOR18" s="84"/>
      <c r="FOS18" s="84"/>
      <c r="FOT18" s="84"/>
      <c r="FOU18" s="84"/>
      <c r="FOV18" s="84"/>
      <c r="FOW18" s="84"/>
      <c r="FOX18" s="84"/>
      <c r="FOY18" s="84"/>
      <c r="FOZ18" s="84"/>
      <c r="FPA18" s="84"/>
      <c r="FPB18" s="84"/>
      <c r="FPC18" s="84"/>
      <c r="FPD18" s="84"/>
      <c r="FPE18" s="84"/>
      <c r="FPF18" s="84"/>
      <c r="FPG18" s="84"/>
      <c r="FPH18" s="84"/>
      <c r="FPI18" s="84"/>
      <c r="FPJ18" s="84"/>
      <c r="FPK18" s="84"/>
      <c r="FPL18" s="84"/>
      <c r="FPM18" s="84"/>
      <c r="FPN18" s="84"/>
      <c r="FPO18" s="84"/>
      <c r="FPP18" s="84"/>
      <c r="FPQ18" s="84"/>
      <c r="FPR18" s="84"/>
      <c r="FPS18" s="84"/>
      <c r="FPT18" s="84"/>
      <c r="FPU18" s="84"/>
      <c r="FPV18" s="84"/>
      <c r="FPW18" s="84"/>
      <c r="FPX18" s="84"/>
      <c r="FPY18" s="84"/>
      <c r="FPZ18" s="84"/>
      <c r="FQA18" s="84"/>
      <c r="FQB18" s="84"/>
      <c r="FQC18" s="84"/>
      <c r="FQD18" s="84"/>
      <c r="FQE18" s="84"/>
      <c r="FQF18" s="84"/>
      <c r="FQG18" s="84"/>
      <c r="FQH18" s="84"/>
      <c r="FQI18" s="84"/>
      <c r="FQJ18" s="84"/>
      <c r="FQK18" s="84"/>
      <c r="FQL18" s="84"/>
      <c r="FQM18" s="84"/>
      <c r="FQN18" s="84"/>
      <c r="FQO18" s="84"/>
      <c r="FQP18" s="84"/>
      <c r="FQQ18" s="84"/>
      <c r="FQR18" s="84"/>
      <c r="FQS18" s="84"/>
      <c r="FQT18" s="84"/>
      <c r="FQU18" s="84"/>
      <c r="FQV18" s="84"/>
      <c r="FQW18" s="84"/>
      <c r="FQX18" s="84"/>
      <c r="FQY18" s="84"/>
      <c r="FQZ18" s="84"/>
      <c r="FRA18" s="84"/>
      <c r="FRB18" s="84"/>
      <c r="FRC18" s="84"/>
      <c r="FRD18" s="84"/>
      <c r="FRE18" s="84"/>
      <c r="FRF18" s="84"/>
      <c r="FRG18" s="84"/>
      <c r="FRH18" s="84"/>
      <c r="FRI18" s="84"/>
      <c r="FRJ18" s="84"/>
      <c r="FRK18" s="84"/>
      <c r="FRL18" s="84"/>
      <c r="FRM18" s="84"/>
      <c r="FRN18" s="84"/>
      <c r="FRO18" s="84"/>
      <c r="FRP18" s="84"/>
      <c r="FRQ18" s="84"/>
      <c r="FRR18" s="84"/>
      <c r="FRS18" s="84"/>
      <c r="FRT18" s="84"/>
      <c r="FRU18" s="84"/>
      <c r="FRV18" s="84"/>
      <c r="FRW18" s="84"/>
      <c r="FRX18" s="84"/>
      <c r="FRY18" s="84"/>
      <c r="FRZ18" s="84"/>
      <c r="FSA18" s="84"/>
      <c r="FSB18" s="84"/>
      <c r="FSC18" s="84"/>
      <c r="FSD18" s="84"/>
      <c r="FSE18" s="84"/>
      <c r="FSF18" s="84"/>
      <c r="FSG18" s="84"/>
      <c r="FSH18" s="84"/>
      <c r="FSI18" s="84"/>
      <c r="FSJ18" s="84"/>
      <c r="FSK18" s="84"/>
      <c r="FSL18" s="84"/>
      <c r="FSM18" s="84"/>
      <c r="FSN18" s="84"/>
      <c r="FSO18" s="84"/>
      <c r="FSP18" s="84"/>
      <c r="FSQ18" s="84"/>
      <c r="FSR18" s="84"/>
      <c r="FSS18" s="84"/>
      <c r="FST18" s="84"/>
      <c r="FSU18" s="84"/>
      <c r="FSV18" s="84"/>
      <c r="FSW18" s="84"/>
      <c r="FSX18" s="84"/>
      <c r="FSY18" s="84"/>
      <c r="FSZ18" s="84"/>
      <c r="FTA18" s="84"/>
      <c r="FTB18" s="84"/>
      <c r="FTC18" s="84"/>
      <c r="FTD18" s="84"/>
      <c r="FTE18" s="84"/>
      <c r="FTF18" s="84"/>
      <c r="FTG18" s="84"/>
      <c r="FTH18" s="84"/>
      <c r="FTI18" s="84"/>
      <c r="FTJ18" s="84"/>
      <c r="FTK18" s="84"/>
      <c r="FTL18" s="84"/>
      <c r="FTM18" s="84"/>
      <c r="FTN18" s="84"/>
      <c r="FTO18" s="84"/>
      <c r="FTP18" s="84"/>
      <c r="FTQ18" s="84"/>
      <c r="FTR18" s="84"/>
      <c r="FTS18" s="84"/>
      <c r="FTT18" s="84"/>
      <c r="FTU18" s="84"/>
      <c r="FTV18" s="84"/>
      <c r="FTW18" s="84"/>
      <c r="FTX18" s="84"/>
      <c r="FTY18" s="84"/>
      <c r="FTZ18" s="84"/>
      <c r="FUA18" s="84"/>
      <c r="FUB18" s="84"/>
      <c r="FUC18" s="84"/>
      <c r="FUD18" s="84"/>
      <c r="FUE18" s="84"/>
      <c r="FUF18" s="84"/>
      <c r="FUG18" s="84"/>
      <c r="FUH18" s="84"/>
      <c r="FUI18" s="84"/>
      <c r="FUJ18" s="84"/>
      <c r="FUK18" s="84"/>
      <c r="FUL18" s="84"/>
      <c r="FUM18" s="84"/>
      <c r="FUN18" s="84"/>
      <c r="FUO18" s="84"/>
      <c r="FUP18" s="84"/>
      <c r="FUQ18" s="84"/>
      <c r="FUR18" s="84"/>
      <c r="FUS18" s="84"/>
      <c r="FUT18" s="84"/>
      <c r="FUU18" s="84"/>
      <c r="FUV18" s="84"/>
      <c r="FUW18" s="84"/>
      <c r="FUX18" s="84"/>
      <c r="FUY18" s="84"/>
      <c r="FUZ18" s="84"/>
      <c r="FVA18" s="84"/>
      <c r="FVB18" s="84"/>
      <c r="FVC18" s="84"/>
      <c r="FVD18" s="84"/>
      <c r="FVE18" s="84"/>
      <c r="FVF18" s="84"/>
      <c r="FVG18" s="84"/>
      <c r="FVH18" s="84"/>
      <c r="FVI18" s="84"/>
      <c r="FVJ18" s="84"/>
      <c r="FVK18" s="84"/>
      <c r="FVL18" s="84"/>
      <c r="FVM18" s="84"/>
      <c r="FVN18" s="84"/>
      <c r="FVO18" s="84"/>
      <c r="FVP18" s="84"/>
      <c r="FVQ18" s="84"/>
      <c r="FVR18" s="84"/>
      <c r="FVS18" s="84"/>
      <c r="FVT18" s="84"/>
      <c r="FVU18" s="84"/>
      <c r="FVV18" s="84"/>
      <c r="FVW18" s="84"/>
      <c r="FVX18" s="84"/>
      <c r="FVY18" s="84"/>
      <c r="FVZ18" s="84"/>
      <c r="FWA18" s="84"/>
      <c r="FWB18" s="84"/>
      <c r="FWC18" s="84"/>
      <c r="FWD18" s="84"/>
      <c r="FWE18" s="84"/>
      <c r="FWF18" s="84"/>
      <c r="FWG18" s="84"/>
      <c r="FWH18" s="84"/>
      <c r="FWI18" s="84"/>
      <c r="FWJ18" s="84"/>
      <c r="FWK18" s="84"/>
      <c r="FWL18" s="84"/>
      <c r="FWM18" s="84"/>
      <c r="FWN18" s="84"/>
      <c r="FWO18" s="84"/>
      <c r="FWP18" s="84"/>
      <c r="FWQ18" s="84"/>
      <c r="FWR18" s="84"/>
      <c r="FWS18" s="84"/>
      <c r="FWT18" s="84"/>
      <c r="FWU18" s="84"/>
      <c r="FWV18" s="84"/>
      <c r="FWW18" s="84"/>
      <c r="FWX18" s="84"/>
      <c r="FWY18" s="84"/>
      <c r="FWZ18" s="84"/>
      <c r="FXA18" s="84"/>
      <c r="FXB18" s="84"/>
      <c r="FXC18" s="84"/>
      <c r="FXD18" s="84"/>
      <c r="FXE18" s="84"/>
      <c r="FXF18" s="84"/>
      <c r="FXG18" s="84"/>
      <c r="FXH18" s="84"/>
      <c r="FXI18" s="84"/>
      <c r="FXJ18" s="84"/>
      <c r="FXK18" s="84"/>
      <c r="FXL18" s="84"/>
      <c r="FXM18" s="84"/>
      <c r="FXN18" s="84"/>
      <c r="FXO18" s="84"/>
      <c r="FXP18" s="84"/>
      <c r="FXQ18" s="84"/>
      <c r="FXR18" s="84"/>
      <c r="FXS18" s="84"/>
      <c r="FXT18" s="84"/>
      <c r="FXU18" s="84"/>
      <c r="FXV18" s="84"/>
      <c r="FXW18" s="84"/>
      <c r="FXX18" s="84"/>
      <c r="FXY18" s="84"/>
      <c r="FXZ18" s="84"/>
      <c r="FYA18" s="84"/>
      <c r="FYB18" s="84"/>
      <c r="FYC18" s="84"/>
      <c r="FYD18" s="84"/>
      <c r="FYE18" s="84"/>
      <c r="FYF18" s="84"/>
      <c r="FYG18" s="84"/>
      <c r="FYH18" s="84"/>
      <c r="FYI18" s="84"/>
      <c r="FYJ18" s="84"/>
      <c r="FYK18" s="84"/>
      <c r="FYL18" s="84"/>
      <c r="FYM18" s="84"/>
      <c r="FYN18" s="84"/>
      <c r="FYO18" s="84"/>
      <c r="FYP18" s="84"/>
      <c r="FYQ18" s="84"/>
      <c r="FYR18" s="84"/>
      <c r="FYS18" s="84"/>
      <c r="FYT18" s="84"/>
      <c r="FYU18" s="84"/>
      <c r="FYV18" s="84"/>
      <c r="FYW18" s="84"/>
      <c r="FYX18" s="84"/>
      <c r="FYY18" s="84"/>
      <c r="FYZ18" s="84"/>
      <c r="FZA18" s="84"/>
      <c r="FZB18" s="84"/>
      <c r="FZC18" s="84"/>
      <c r="FZD18" s="84"/>
      <c r="FZE18" s="84"/>
      <c r="FZF18" s="84"/>
      <c r="FZG18" s="84"/>
      <c r="FZH18" s="84"/>
      <c r="FZI18" s="84"/>
      <c r="FZJ18" s="84"/>
      <c r="FZK18" s="84"/>
      <c r="FZL18" s="84"/>
      <c r="FZM18" s="84"/>
      <c r="FZN18" s="84"/>
      <c r="FZO18" s="84"/>
      <c r="FZP18" s="84"/>
      <c r="FZQ18" s="84"/>
      <c r="FZR18" s="84"/>
      <c r="FZS18" s="84"/>
      <c r="FZT18" s="84"/>
      <c r="FZU18" s="84"/>
      <c r="FZV18" s="84"/>
      <c r="FZW18" s="84"/>
      <c r="FZX18" s="84"/>
      <c r="FZY18" s="84"/>
      <c r="FZZ18" s="84"/>
      <c r="GAA18" s="84"/>
      <c r="GAB18" s="84"/>
      <c r="GAC18" s="84"/>
      <c r="GAD18" s="84"/>
      <c r="GAE18" s="84"/>
      <c r="GAF18" s="84"/>
      <c r="GAG18" s="84"/>
      <c r="GAH18" s="84"/>
      <c r="GAI18" s="84"/>
      <c r="GAJ18" s="84"/>
      <c r="GAK18" s="84"/>
      <c r="GAL18" s="84"/>
      <c r="GAM18" s="84"/>
      <c r="GAN18" s="84"/>
      <c r="GAO18" s="84"/>
      <c r="GAP18" s="84"/>
      <c r="GAQ18" s="84"/>
      <c r="GAR18" s="84"/>
      <c r="GAS18" s="84"/>
      <c r="GAT18" s="84"/>
      <c r="GAU18" s="84"/>
      <c r="GAV18" s="84"/>
      <c r="GAW18" s="84"/>
      <c r="GAX18" s="84"/>
      <c r="GAY18" s="84"/>
      <c r="GAZ18" s="84"/>
      <c r="GBA18" s="84"/>
      <c r="GBB18" s="84"/>
      <c r="GBC18" s="84"/>
      <c r="GBD18" s="84"/>
      <c r="GBE18" s="84"/>
      <c r="GBF18" s="84"/>
      <c r="GBG18" s="84"/>
      <c r="GBH18" s="84"/>
      <c r="GBI18" s="84"/>
      <c r="GBJ18" s="84"/>
      <c r="GBK18" s="84"/>
      <c r="GBL18" s="84"/>
      <c r="GBM18" s="84"/>
      <c r="GBN18" s="84"/>
      <c r="GBO18" s="84"/>
      <c r="GBP18" s="84"/>
      <c r="GBQ18" s="84"/>
      <c r="GBR18" s="84"/>
      <c r="GBS18" s="84"/>
      <c r="GBT18" s="84"/>
      <c r="GBU18" s="84"/>
      <c r="GBV18" s="84"/>
      <c r="GBW18" s="84"/>
      <c r="GBX18" s="84"/>
      <c r="GBY18" s="84"/>
      <c r="GBZ18" s="84"/>
      <c r="GCA18" s="84"/>
      <c r="GCB18" s="84"/>
      <c r="GCC18" s="84"/>
      <c r="GCD18" s="84"/>
      <c r="GCE18" s="84"/>
      <c r="GCF18" s="84"/>
      <c r="GCG18" s="84"/>
      <c r="GCH18" s="84"/>
      <c r="GCI18" s="84"/>
      <c r="GCJ18" s="84"/>
      <c r="GCK18" s="84"/>
      <c r="GCL18" s="84"/>
      <c r="GCM18" s="84"/>
      <c r="GCN18" s="84"/>
      <c r="GCO18" s="84"/>
      <c r="GCP18" s="84"/>
      <c r="GCQ18" s="84"/>
      <c r="GCR18" s="84"/>
      <c r="GCS18" s="84"/>
      <c r="GCT18" s="84"/>
      <c r="GCU18" s="84"/>
      <c r="GCV18" s="84"/>
      <c r="GCW18" s="84"/>
      <c r="GCX18" s="84"/>
      <c r="GCY18" s="84"/>
      <c r="GCZ18" s="84"/>
      <c r="GDA18" s="84"/>
      <c r="GDB18" s="84"/>
      <c r="GDC18" s="84"/>
      <c r="GDD18" s="84"/>
      <c r="GDE18" s="84"/>
      <c r="GDF18" s="84"/>
      <c r="GDG18" s="84"/>
      <c r="GDH18" s="84"/>
      <c r="GDI18" s="84"/>
      <c r="GDJ18" s="84"/>
      <c r="GDK18" s="84"/>
      <c r="GDL18" s="84"/>
      <c r="GDM18" s="84"/>
      <c r="GDN18" s="84"/>
      <c r="GDO18" s="84"/>
      <c r="GDP18" s="84"/>
      <c r="GDQ18" s="84"/>
      <c r="GDR18" s="84"/>
      <c r="GDS18" s="84"/>
      <c r="GDT18" s="84"/>
      <c r="GDU18" s="84"/>
      <c r="GDV18" s="84"/>
      <c r="GDW18" s="84"/>
      <c r="GDX18" s="84"/>
      <c r="GDY18" s="84"/>
      <c r="GDZ18" s="84"/>
      <c r="GEA18" s="84"/>
      <c r="GEB18" s="84"/>
      <c r="GEC18" s="84"/>
      <c r="GED18" s="84"/>
      <c r="GEE18" s="84"/>
      <c r="GEF18" s="84"/>
      <c r="GEG18" s="84"/>
      <c r="GEH18" s="84"/>
      <c r="GEI18" s="84"/>
      <c r="GEJ18" s="84"/>
      <c r="GEK18" s="84"/>
      <c r="GEL18" s="84"/>
      <c r="GEM18" s="84"/>
      <c r="GEN18" s="84"/>
      <c r="GEO18" s="84"/>
      <c r="GEP18" s="84"/>
      <c r="GEQ18" s="84"/>
      <c r="GER18" s="84"/>
      <c r="GES18" s="84"/>
      <c r="GET18" s="84"/>
      <c r="GEU18" s="84"/>
      <c r="GEV18" s="84"/>
      <c r="GEW18" s="84"/>
      <c r="GEX18" s="84"/>
      <c r="GEY18" s="84"/>
      <c r="GEZ18" s="84"/>
      <c r="GFA18" s="84"/>
      <c r="GFB18" s="84"/>
      <c r="GFC18" s="84"/>
      <c r="GFD18" s="84"/>
      <c r="GFE18" s="84"/>
      <c r="GFF18" s="84"/>
      <c r="GFG18" s="84"/>
      <c r="GFH18" s="84"/>
      <c r="GFI18" s="84"/>
      <c r="GFJ18" s="84"/>
      <c r="GFK18" s="84"/>
      <c r="GFL18" s="84"/>
      <c r="GFM18" s="84"/>
      <c r="GFN18" s="84"/>
      <c r="GFO18" s="84"/>
      <c r="GFP18" s="84"/>
      <c r="GFQ18" s="84"/>
      <c r="GFR18" s="84"/>
      <c r="GFS18" s="84"/>
      <c r="GFT18" s="84"/>
      <c r="GFU18" s="84"/>
      <c r="GFV18" s="84"/>
      <c r="GFW18" s="84"/>
      <c r="GFX18" s="84"/>
      <c r="GFY18" s="84"/>
      <c r="GFZ18" s="84"/>
      <c r="GGA18" s="84"/>
      <c r="GGB18" s="84"/>
      <c r="GGC18" s="84"/>
      <c r="GGD18" s="84"/>
      <c r="GGE18" s="84"/>
      <c r="GGF18" s="84"/>
      <c r="GGG18" s="84"/>
      <c r="GGH18" s="84"/>
      <c r="GGI18" s="84"/>
      <c r="GGJ18" s="84"/>
      <c r="GGK18" s="84"/>
      <c r="GGL18" s="84"/>
      <c r="GGM18" s="84"/>
      <c r="GGN18" s="84"/>
      <c r="GGO18" s="84"/>
      <c r="GGP18" s="84"/>
      <c r="GGQ18" s="84"/>
      <c r="GGR18" s="84"/>
      <c r="GGS18" s="84"/>
      <c r="GGT18" s="84"/>
      <c r="GGU18" s="84"/>
      <c r="GGV18" s="84"/>
      <c r="GGW18" s="84"/>
      <c r="GGX18" s="84"/>
      <c r="GGY18" s="84"/>
      <c r="GGZ18" s="84"/>
      <c r="GHA18" s="84"/>
      <c r="GHB18" s="84"/>
      <c r="GHC18" s="84"/>
      <c r="GHD18" s="84"/>
      <c r="GHE18" s="84"/>
      <c r="GHF18" s="84"/>
      <c r="GHG18" s="84"/>
      <c r="GHH18" s="84"/>
      <c r="GHI18" s="84"/>
      <c r="GHJ18" s="84"/>
      <c r="GHK18" s="84"/>
      <c r="GHL18" s="84"/>
      <c r="GHM18" s="84"/>
      <c r="GHN18" s="84"/>
      <c r="GHO18" s="84"/>
      <c r="GHP18" s="84"/>
      <c r="GHQ18" s="84"/>
      <c r="GHR18" s="84"/>
      <c r="GHS18" s="84"/>
      <c r="GHT18" s="84"/>
      <c r="GHU18" s="84"/>
      <c r="GHV18" s="84"/>
      <c r="GHW18" s="84"/>
      <c r="GHX18" s="84"/>
      <c r="GHY18" s="84"/>
      <c r="GHZ18" s="84"/>
      <c r="GIA18" s="84"/>
      <c r="GIB18" s="84"/>
      <c r="GIC18" s="84"/>
      <c r="GID18" s="84"/>
      <c r="GIE18" s="84"/>
      <c r="GIF18" s="84"/>
      <c r="GIG18" s="84"/>
      <c r="GIH18" s="84"/>
      <c r="GII18" s="84"/>
      <c r="GIJ18" s="84"/>
      <c r="GIK18" s="84"/>
      <c r="GIL18" s="84"/>
      <c r="GIM18" s="84"/>
      <c r="GIN18" s="84"/>
      <c r="GIO18" s="84"/>
      <c r="GIP18" s="84"/>
      <c r="GIQ18" s="84"/>
      <c r="GIR18" s="84"/>
      <c r="GIS18" s="84"/>
      <c r="GIT18" s="84"/>
      <c r="GIU18" s="84"/>
      <c r="GIV18" s="84"/>
      <c r="GIW18" s="84"/>
      <c r="GIX18" s="84"/>
      <c r="GIY18" s="84"/>
      <c r="GIZ18" s="84"/>
      <c r="GJA18" s="84"/>
      <c r="GJB18" s="84"/>
      <c r="GJC18" s="84"/>
      <c r="GJD18" s="84"/>
      <c r="GJE18" s="84"/>
      <c r="GJF18" s="84"/>
      <c r="GJG18" s="84"/>
      <c r="GJH18" s="84"/>
      <c r="GJI18" s="84"/>
      <c r="GJJ18" s="84"/>
      <c r="GJK18" s="84"/>
      <c r="GJL18" s="84"/>
      <c r="GJM18" s="84"/>
      <c r="GJN18" s="84"/>
      <c r="GJO18" s="84"/>
      <c r="GJP18" s="84"/>
      <c r="GJQ18" s="84"/>
      <c r="GJR18" s="84"/>
      <c r="GJS18" s="84"/>
      <c r="GJT18" s="84"/>
      <c r="GJU18" s="84"/>
      <c r="GJV18" s="84"/>
      <c r="GJW18" s="84"/>
      <c r="GJX18" s="84"/>
      <c r="GJY18" s="84"/>
      <c r="GJZ18" s="84"/>
      <c r="GKA18" s="84"/>
      <c r="GKB18" s="84"/>
      <c r="GKC18" s="84"/>
      <c r="GKD18" s="84"/>
      <c r="GKE18" s="84"/>
      <c r="GKF18" s="84"/>
      <c r="GKG18" s="84"/>
      <c r="GKH18" s="84"/>
      <c r="GKI18" s="84"/>
      <c r="GKJ18" s="84"/>
      <c r="GKK18" s="84"/>
      <c r="GKL18" s="84"/>
      <c r="GKM18" s="84"/>
      <c r="GKN18" s="84"/>
      <c r="GKO18" s="84"/>
      <c r="GKP18" s="84"/>
      <c r="GKQ18" s="84"/>
      <c r="GKR18" s="84"/>
      <c r="GKS18" s="84"/>
      <c r="GKT18" s="84"/>
      <c r="GKU18" s="84"/>
      <c r="GKV18" s="84"/>
      <c r="GKW18" s="84"/>
      <c r="GKX18" s="84"/>
      <c r="GKY18" s="84"/>
      <c r="GKZ18" s="84"/>
      <c r="GLA18" s="84"/>
      <c r="GLB18" s="84"/>
      <c r="GLC18" s="84"/>
      <c r="GLD18" s="84"/>
      <c r="GLE18" s="84"/>
      <c r="GLF18" s="84"/>
      <c r="GLG18" s="84"/>
      <c r="GLH18" s="84"/>
      <c r="GLI18" s="84"/>
      <c r="GLJ18" s="84"/>
      <c r="GLK18" s="84"/>
      <c r="GLL18" s="84"/>
      <c r="GLM18" s="84"/>
      <c r="GLN18" s="84"/>
      <c r="GLO18" s="84"/>
      <c r="GLP18" s="84"/>
      <c r="GLQ18" s="84"/>
      <c r="GLR18" s="84"/>
      <c r="GLS18" s="84"/>
      <c r="GLT18" s="84"/>
      <c r="GLU18" s="84"/>
      <c r="GLV18" s="84"/>
      <c r="GLW18" s="84"/>
      <c r="GLX18" s="84"/>
      <c r="GLY18" s="84"/>
      <c r="GLZ18" s="84"/>
      <c r="GMA18" s="84"/>
      <c r="GMB18" s="84"/>
      <c r="GMC18" s="84"/>
      <c r="GMD18" s="84"/>
      <c r="GME18" s="84"/>
      <c r="GMF18" s="84"/>
      <c r="GMG18" s="84"/>
      <c r="GMH18" s="84"/>
      <c r="GMI18" s="84"/>
      <c r="GMJ18" s="84"/>
      <c r="GMK18" s="84"/>
      <c r="GML18" s="84"/>
      <c r="GMM18" s="84"/>
      <c r="GMN18" s="84"/>
      <c r="GMO18" s="84"/>
      <c r="GMP18" s="84"/>
      <c r="GMQ18" s="84"/>
      <c r="GMR18" s="84"/>
      <c r="GMS18" s="84"/>
      <c r="GMT18" s="84"/>
      <c r="GMU18" s="84"/>
      <c r="GMV18" s="84"/>
      <c r="GMW18" s="84"/>
      <c r="GMX18" s="84"/>
      <c r="GMY18" s="84"/>
      <c r="GMZ18" s="84"/>
      <c r="GNA18" s="84"/>
      <c r="GNB18" s="84"/>
      <c r="GNC18" s="84"/>
      <c r="GND18" s="84"/>
      <c r="GNE18" s="84"/>
      <c r="GNF18" s="84"/>
      <c r="GNG18" s="84"/>
      <c r="GNH18" s="84"/>
      <c r="GNI18" s="84"/>
      <c r="GNJ18" s="84"/>
      <c r="GNK18" s="84"/>
      <c r="GNL18" s="84"/>
      <c r="GNM18" s="84"/>
      <c r="GNN18" s="84"/>
      <c r="GNO18" s="84"/>
      <c r="GNP18" s="84"/>
      <c r="GNQ18" s="84"/>
      <c r="GNR18" s="84"/>
      <c r="GNS18" s="84"/>
      <c r="GNT18" s="84"/>
      <c r="GNU18" s="84"/>
      <c r="GNV18" s="84"/>
      <c r="GNW18" s="84"/>
      <c r="GNX18" s="84"/>
      <c r="GNY18" s="84"/>
      <c r="GNZ18" s="84"/>
      <c r="GOA18" s="84"/>
      <c r="GOB18" s="84"/>
      <c r="GOC18" s="84"/>
      <c r="GOD18" s="84"/>
      <c r="GOE18" s="84"/>
      <c r="GOF18" s="84"/>
      <c r="GOG18" s="84"/>
      <c r="GOH18" s="84"/>
      <c r="GOI18" s="84"/>
      <c r="GOJ18" s="84"/>
      <c r="GOK18" s="84"/>
      <c r="GOL18" s="84"/>
      <c r="GOM18" s="84"/>
      <c r="GON18" s="84"/>
      <c r="GOO18" s="84"/>
      <c r="GOP18" s="84"/>
      <c r="GOQ18" s="84"/>
      <c r="GOR18" s="84"/>
      <c r="GOS18" s="84"/>
      <c r="GOT18" s="84"/>
      <c r="GOU18" s="84"/>
      <c r="GOV18" s="84"/>
      <c r="GOW18" s="84"/>
      <c r="GOX18" s="84"/>
      <c r="GOY18" s="84"/>
      <c r="GOZ18" s="84"/>
      <c r="GPA18" s="84"/>
      <c r="GPB18" s="84"/>
      <c r="GPC18" s="84"/>
      <c r="GPD18" s="84"/>
      <c r="GPE18" s="84"/>
      <c r="GPF18" s="84"/>
      <c r="GPG18" s="84"/>
      <c r="GPH18" s="84"/>
      <c r="GPI18" s="84"/>
      <c r="GPJ18" s="84"/>
      <c r="GPK18" s="84"/>
      <c r="GPL18" s="84"/>
      <c r="GPM18" s="84"/>
      <c r="GPN18" s="84"/>
      <c r="GPO18" s="84"/>
      <c r="GPP18" s="84"/>
      <c r="GPQ18" s="84"/>
      <c r="GPR18" s="84"/>
      <c r="GPS18" s="84"/>
      <c r="GPT18" s="84"/>
      <c r="GPU18" s="84"/>
      <c r="GPV18" s="84"/>
      <c r="GPW18" s="84"/>
      <c r="GPX18" s="84"/>
      <c r="GPY18" s="84"/>
      <c r="GPZ18" s="84"/>
      <c r="GQA18" s="84"/>
      <c r="GQB18" s="84"/>
      <c r="GQC18" s="84"/>
      <c r="GQD18" s="84"/>
      <c r="GQE18" s="84"/>
      <c r="GQF18" s="84"/>
      <c r="GQG18" s="84"/>
      <c r="GQH18" s="84"/>
      <c r="GQI18" s="84"/>
      <c r="GQJ18" s="84"/>
      <c r="GQK18" s="84"/>
      <c r="GQL18" s="84"/>
      <c r="GQM18" s="84"/>
      <c r="GQN18" s="84"/>
      <c r="GQO18" s="84"/>
      <c r="GQP18" s="84"/>
      <c r="GQQ18" s="84"/>
      <c r="GQR18" s="84"/>
      <c r="GQS18" s="84"/>
      <c r="GQT18" s="84"/>
      <c r="GQU18" s="84"/>
      <c r="GQV18" s="84"/>
      <c r="GQW18" s="84"/>
      <c r="GQX18" s="84"/>
      <c r="GQY18" s="84"/>
      <c r="GQZ18" s="84"/>
      <c r="GRA18" s="84"/>
      <c r="GRB18" s="84"/>
      <c r="GRC18" s="84"/>
      <c r="GRD18" s="84"/>
      <c r="GRE18" s="84"/>
      <c r="GRF18" s="84"/>
      <c r="GRG18" s="84"/>
      <c r="GRH18" s="84"/>
      <c r="GRI18" s="84"/>
      <c r="GRJ18" s="84"/>
      <c r="GRK18" s="84"/>
      <c r="GRL18" s="84"/>
      <c r="GRM18" s="84"/>
      <c r="GRN18" s="84"/>
      <c r="GRO18" s="84"/>
      <c r="GRP18" s="84"/>
      <c r="GRQ18" s="84"/>
      <c r="GRR18" s="84"/>
      <c r="GRS18" s="84"/>
      <c r="GRT18" s="84"/>
      <c r="GRU18" s="84"/>
      <c r="GRV18" s="84"/>
      <c r="GRW18" s="84"/>
      <c r="GRX18" s="84"/>
      <c r="GRY18" s="84"/>
      <c r="GRZ18" s="84"/>
      <c r="GSA18" s="84"/>
      <c r="GSB18" s="84"/>
      <c r="GSC18" s="84"/>
      <c r="GSD18" s="84"/>
      <c r="GSE18" s="84"/>
      <c r="GSF18" s="84"/>
      <c r="GSG18" s="84"/>
      <c r="GSH18" s="84"/>
      <c r="GSI18" s="84"/>
      <c r="GSJ18" s="84"/>
      <c r="GSK18" s="84"/>
      <c r="GSL18" s="84"/>
      <c r="GSM18" s="84"/>
      <c r="GSN18" s="84"/>
      <c r="GSO18" s="84"/>
      <c r="GSP18" s="84"/>
      <c r="GSQ18" s="84"/>
      <c r="GSR18" s="84"/>
      <c r="GSS18" s="84"/>
      <c r="GST18" s="84"/>
      <c r="GSU18" s="84"/>
      <c r="GSV18" s="84"/>
      <c r="GSW18" s="84"/>
      <c r="GSX18" s="84"/>
      <c r="GSY18" s="84"/>
      <c r="GSZ18" s="84"/>
      <c r="GTA18" s="84"/>
      <c r="GTB18" s="84"/>
      <c r="GTC18" s="84"/>
      <c r="GTD18" s="84"/>
      <c r="GTE18" s="84"/>
      <c r="GTF18" s="84"/>
      <c r="GTG18" s="84"/>
      <c r="GTH18" s="84"/>
      <c r="GTI18" s="84"/>
      <c r="GTJ18" s="84"/>
      <c r="GTK18" s="84"/>
      <c r="GTL18" s="84"/>
      <c r="GTM18" s="84"/>
      <c r="GTN18" s="84"/>
      <c r="GTO18" s="84"/>
      <c r="GTP18" s="84"/>
      <c r="GTQ18" s="84"/>
      <c r="GTR18" s="84"/>
      <c r="GTS18" s="84"/>
      <c r="GTT18" s="84"/>
      <c r="GTU18" s="84"/>
      <c r="GTV18" s="84"/>
      <c r="GTW18" s="84"/>
      <c r="GTX18" s="84"/>
      <c r="GTY18" s="84"/>
      <c r="GTZ18" s="84"/>
      <c r="GUA18" s="84"/>
      <c r="GUB18" s="84"/>
      <c r="GUC18" s="84"/>
      <c r="GUD18" s="84"/>
      <c r="GUE18" s="84"/>
      <c r="GUF18" s="84"/>
      <c r="GUG18" s="84"/>
      <c r="GUH18" s="84"/>
      <c r="GUI18" s="84"/>
      <c r="GUJ18" s="84"/>
      <c r="GUK18" s="84"/>
      <c r="GUL18" s="84"/>
      <c r="GUM18" s="84"/>
      <c r="GUN18" s="84"/>
      <c r="GUO18" s="84"/>
      <c r="GUP18" s="84"/>
      <c r="GUQ18" s="84"/>
      <c r="GUR18" s="84"/>
      <c r="GUS18" s="84"/>
      <c r="GUT18" s="84"/>
      <c r="GUU18" s="84"/>
      <c r="GUV18" s="84"/>
      <c r="GUW18" s="84"/>
      <c r="GUX18" s="84"/>
      <c r="GUY18" s="84"/>
      <c r="GUZ18" s="84"/>
      <c r="GVA18" s="84"/>
      <c r="GVB18" s="84"/>
      <c r="GVC18" s="84"/>
      <c r="GVD18" s="84"/>
      <c r="GVE18" s="84"/>
      <c r="GVF18" s="84"/>
      <c r="GVG18" s="84"/>
      <c r="GVH18" s="84"/>
      <c r="GVI18" s="84"/>
      <c r="GVJ18" s="84"/>
      <c r="GVK18" s="84"/>
      <c r="GVL18" s="84"/>
      <c r="GVM18" s="84"/>
      <c r="GVN18" s="84"/>
      <c r="GVO18" s="84"/>
      <c r="GVP18" s="84"/>
      <c r="GVQ18" s="84"/>
      <c r="GVR18" s="84"/>
      <c r="GVS18" s="84"/>
      <c r="GVT18" s="84"/>
      <c r="GVU18" s="84"/>
      <c r="GVV18" s="84"/>
      <c r="GVW18" s="84"/>
      <c r="GVX18" s="84"/>
      <c r="GVY18" s="84"/>
      <c r="GVZ18" s="84"/>
      <c r="GWA18" s="84"/>
      <c r="GWB18" s="84"/>
      <c r="GWC18" s="84"/>
      <c r="GWD18" s="84"/>
      <c r="GWE18" s="84"/>
      <c r="GWF18" s="84"/>
      <c r="GWG18" s="84"/>
      <c r="GWH18" s="84"/>
      <c r="GWI18" s="84"/>
      <c r="GWJ18" s="84"/>
      <c r="GWK18" s="84"/>
      <c r="GWL18" s="84"/>
      <c r="GWM18" s="84"/>
      <c r="GWN18" s="84"/>
      <c r="GWO18" s="84"/>
      <c r="GWP18" s="84"/>
      <c r="GWQ18" s="84"/>
      <c r="GWR18" s="84"/>
      <c r="GWS18" s="84"/>
      <c r="GWT18" s="84"/>
      <c r="GWU18" s="84"/>
      <c r="GWV18" s="84"/>
      <c r="GWW18" s="84"/>
      <c r="GWX18" s="84"/>
      <c r="GWY18" s="84"/>
      <c r="GWZ18" s="84"/>
      <c r="GXA18" s="84"/>
      <c r="GXB18" s="84"/>
      <c r="GXC18" s="84"/>
      <c r="GXD18" s="84"/>
      <c r="GXE18" s="84"/>
      <c r="GXF18" s="84"/>
      <c r="GXG18" s="84"/>
      <c r="GXH18" s="84"/>
      <c r="GXI18" s="84"/>
      <c r="GXJ18" s="84"/>
      <c r="GXK18" s="84"/>
      <c r="GXL18" s="84"/>
      <c r="GXM18" s="84"/>
      <c r="GXN18" s="84"/>
      <c r="GXO18" s="84"/>
      <c r="GXP18" s="84"/>
      <c r="GXQ18" s="84"/>
      <c r="GXR18" s="84"/>
      <c r="GXS18" s="84"/>
      <c r="GXT18" s="84"/>
      <c r="GXU18" s="84"/>
      <c r="GXV18" s="84"/>
      <c r="GXW18" s="84"/>
      <c r="GXX18" s="84"/>
      <c r="GXY18" s="84"/>
      <c r="GXZ18" s="84"/>
      <c r="GYA18" s="84"/>
      <c r="GYB18" s="84"/>
      <c r="GYC18" s="84"/>
      <c r="GYD18" s="84"/>
      <c r="GYE18" s="84"/>
      <c r="GYF18" s="84"/>
      <c r="GYG18" s="84"/>
      <c r="GYH18" s="84"/>
      <c r="GYI18" s="84"/>
      <c r="GYJ18" s="84"/>
      <c r="GYK18" s="84"/>
      <c r="GYL18" s="84"/>
      <c r="GYM18" s="84"/>
      <c r="GYN18" s="84"/>
      <c r="GYO18" s="84"/>
      <c r="GYP18" s="84"/>
      <c r="GYQ18" s="84"/>
      <c r="GYR18" s="84"/>
      <c r="GYS18" s="84"/>
      <c r="GYT18" s="84"/>
      <c r="GYU18" s="84"/>
      <c r="GYV18" s="84"/>
      <c r="GYW18" s="84"/>
      <c r="GYX18" s="84"/>
      <c r="GYY18" s="84"/>
      <c r="GYZ18" s="84"/>
      <c r="GZA18" s="84"/>
      <c r="GZB18" s="84"/>
      <c r="GZC18" s="84"/>
      <c r="GZD18" s="84"/>
      <c r="GZE18" s="84"/>
      <c r="GZF18" s="84"/>
      <c r="GZG18" s="84"/>
      <c r="GZH18" s="84"/>
      <c r="GZI18" s="84"/>
      <c r="GZJ18" s="84"/>
      <c r="GZK18" s="84"/>
      <c r="GZL18" s="84"/>
      <c r="GZM18" s="84"/>
      <c r="GZN18" s="84"/>
      <c r="GZO18" s="84"/>
      <c r="GZP18" s="84"/>
      <c r="GZQ18" s="84"/>
      <c r="GZR18" s="84"/>
      <c r="GZS18" s="84"/>
      <c r="GZT18" s="84"/>
      <c r="GZU18" s="84"/>
      <c r="GZV18" s="84"/>
      <c r="GZW18" s="84"/>
      <c r="GZX18" s="84"/>
      <c r="GZY18" s="84"/>
      <c r="GZZ18" s="84"/>
      <c r="HAA18" s="84"/>
      <c r="HAB18" s="84"/>
      <c r="HAC18" s="84"/>
      <c r="HAD18" s="84"/>
      <c r="HAE18" s="84"/>
      <c r="HAF18" s="84"/>
      <c r="HAG18" s="84"/>
      <c r="HAH18" s="84"/>
      <c r="HAI18" s="84"/>
      <c r="HAJ18" s="84"/>
      <c r="HAK18" s="84"/>
      <c r="HAL18" s="84"/>
      <c r="HAM18" s="84"/>
      <c r="HAN18" s="84"/>
      <c r="HAO18" s="84"/>
      <c r="HAP18" s="84"/>
      <c r="HAQ18" s="84"/>
      <c r="HAR18" s="84"/>
      <c r="HAS18" s="84"/>
      <c r="HAT18" s="84"/>
      <c r="HAU18" s="84"/>
      <c r="HAV18" s="84"/>
      <c r="HAW18" s="84"/>
      <c r="HAX18" s="84"/>
      <c r="HAY18" s="84"/>
      <c r="HAZ18" s="84"/>
      <c r="HBA18" s="84"/>
      <c r="HBB18" s="84"/>
      <c r="HBC18" s="84"/>
      <c r="HBD18" s="84"/>
      <c r="HBE18" s="84"/>
      <c r="HBF18" s="84"/>
      <c r="HBG18" s="84"/>
      <c r="HBH18" s="84"/>
      <c r="HBI18" s="84"/>
      <c r="HBJ18" s="84"/>
      <c r="HBK18" s="84"/>
      <c r="HBL18" s="84"/>
      <c r="HBM18" s="386"/>
    </row>
    <row r="19" spans="1:5473" s="83" customFormat="1" x14ac:dyDescent="0.3">
      <c r="A19" s="11">
        <v>14</v>
      </c>
      <c r="B19" s="40" t="s">
        <v>1519</v>
      </c>
      <c r="C19" s="12" t="s">
        <v>1518</v>
      </c>
      <c r="D19" s="299">
        <v>910131035872</v>
      </c>
      <c r="E19" s="299" t="s">
        <v>1517</v>
      </c>
      <c r="F19" s="12" t="s">
        <v>7</v>
      </c>
      <c r="G19" s="11" t="s">
        <v>1528</v>
      </c>
      <c r="H19" s="86" t="s">
        <v>1495</v>
      </c>
      <c r="I19" s="550">
        <v>10000</v>
      </c>
      <c r="J19" s="89"/>
      <c r="K19" s="89">
        <v>10000</v>
      </c>
      <c r="L19" s="121">
        <v>9500</v>
      </c>
      <c r="M19" s="122">
        <f t="shared" si="0"/>
        <v>500</v>
      </c>
      <c r="N19" s="295"/>
      <c r="O19" s="121"/>
      <c r="P19" s="547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4"/>
      <c r="DF19" s="84"/>
      <c r="DG19" s="84"/>
      <c r="DH19" s="84"/>
      <c r="DI19" s="84"/>
      <c r="DJ19" s="84"/>
      <c r="DK19" s="84"/>
      <c r="DL19" s="84"/>
      <c r="DM19" s="84"/>
      <c r="DN19" s="84"/>
      <c r="DO19" s="84"/>
      <c r="DP19" s="84"/>
      <c r="DQ19" s="84"/>
      <c r="DR19" s="84"/>
      <c r="DS19" s="84"/>
      <c r="DT19" s="84"/>
      <c r="DU19" s="84"/>
      <c r="DV19" s="84"/>
      <c r="DW19" s="84"/>
      <c r="DX19" s="84"/>
      <c r="DY19" s="84"/>
      <c r="DZ19" s="84"/>
      <c r="EA19" s="84"/>
      <c r="EB19" s="84"/>
      <c r="EC19" s="84"/>
      <c r="ED19" s="84"/>
      <c r="EE19" s="84"/>
      <c r="EF19" s="84"/>
      <c r="EG19" s="84"/>
      <c r="EH19" s="84"/>
      <c r="EI19" s="84"/>
      <c r="EJ19" s="84"/>
      <c r="EK19" s="84"/>
      <c r="EL19" s="84"/>
      <c r="EM19" s="84"/>
      <c r="EN19" s="84"/>
      <c r="EO19" s="84"/>
      <c r="EP19" s="84"/>
      <c r="EQ19" s="84"/>
      <c r="ER19" s="84"/>
      <c r="ES19" s="84"/>
      <c r="ET19" s="84"/>
      <c r="EU19" s="84"/>
      <c r="EV19" s="84"/>
      <c r="EW19" s="84"/>
      <c r="EX19" s="84"/>
      <c r="EY19" s="84"/>
      <c r="EZ19" s="84"/>
      <c r="FA19" s="84"/>
      <c r="FB19" s="84"/>
      <c r="FC19" s="84"/>
      <c r="FD19" s="84"/>
      <c r="FE19" s="84"/>
      <c r="FF19" s="84"/>
      <c r="FG19" s="84"/>
      <c r="FH19" s="84"/>
      <c r="FI19" s="84"/>
      <c r="FJ19" s="84"/>
      <c r="FK19" s="84"/>
      <c r="FL19" s="84"/>
      <c r="FM19" s="84"/>
      <c r="FN19" s="84"/>
      <c r="FO19" s="84"/>
      <c r="FP19" s="84"/>
      <c r="FQ19" s="84"/>
      <c r="FR19" s="84"/>
      <c r="FS19" s="84"/>
      <c r="FT19" s="84"/>
      <c r="FU19" s="84"/>
      <c r="FV19" s="84"/>
      <c r="FW19" s="84"/>
      <c r="FX19" s="84"/>
      <c r="FY19" s="84"/>
      <c r="FZ19" s="84"/>
      <c r="GA19" s="84"/>
      <c r="GB19" s="84"/>
      <c r="GC19" s="84"/>
      <c r="GD19" s="84"/>
      <c r="GE19" s="84"/>
      <c r="GF19" s="84"/>
      <c r="GG19" s="84"/>
      <c r="GH19" s="84"/>
      <c r="GI19" s="84"/>
      <c r="GJ19" s="84"/>
      <c r="GK19" s="84"/>
      <c r="GL19" s="84"/>
      <c r="GM19" s="84"/>
      <c r="GN19" s="84"/>
      <c r="GO19" s="84"/>
      <c r="GP19" s="84"/>
      <c r="GQ19" s="84"/>
      <c r="GR19" s="84"/>
      <c r="GS19" s="84"/>
      <c r="GT19" s="84"/>
      <c r="GU19" s="84"/>
      <c r="GV19" s="84"/>
      <c r="GW19" s="84"/>
      <c r="GX19" s="84"/>
      <c r="GY19" s="84"/>
      <c r="GZ19" s="84"/>
      <c r="HA19" s="84"/>
      <c r="HB19" s="84"/>
      <c r="HC19" s="84"/>
      <c r="HD19" s="84"/>
      <c r="HE19" s="84"/>
      <c r="HF19" s="84"/>
      <c r="HG19" s="84"/>
      <c r="HH19" s="84"/>
      <c r="HI19" s="84"/>
      <c r="HJ19" s="84"/>
      <c r="HK19" s="84"/>
      <c r="HL19" s="84"/>
      <c r="HM19" s="84"/>
      <c r="HN19" s="84"/>
      <c r="HO19" s="84"/>
      <c r="HP19" s="84"/>
      <c r="HQ19" s="84"/>
      <c r="HR19" s="84"/>
      <c r="HS19" s="84"/>
      <c r="HT19" s="84"/>
      <c r="HU19" s="84"/>
      <c r="HV19" s="84"/>
      <c r="HW19" s="84"/>
      <c r="HX19" s="84"/>
      <c r="HY19" s="84"/>
      <c r="HZ19" s="84"/>
      <c r="IA19" s="84"/>
      <c r="IB19" s="84"/>
      <c r="IC19" s="84"/>
      <c r="ID19" s="84"/>
      <c r="IE19" s="84"/>
      <c r="IF19" s="84"/>
      <c r="IG19" s="84"/>
      <c r="IH19" s="84"/>
      <c r="II19" s="84"/>
      <c r="IJ19" s="84"/>
      <c r="IK19" s="84"/>
      <c r="IL19" s="84"/>
      <c r="IM19" s="84"/>
      <c r="IN19" s="84"/>
      <c r="IO19" s="84"/>
      <c r="IP19" s="84"/>
      <c r="IQ19" s="84"/>
      <c r="IR19" s="84"/>
      <c r="IS19" s="84"/>
      <c r="IT19" s="84"/>
      <c r="IU19" s="84"/>
      <c r="IV19" s="84"/>
      <c r="IW19" s="84"/>
      <c r="IX19" s="84"/>
      <c r="IY19" s="84"/>
      <c r="IZ19" s="84"/>
      <c r="JA19" s="84"/>
      <c r="JB19" s="84"/>
      <c r="JC19" s="84"/>
      <c r="JD19" s="84"/>
      <c r="JE19" s="84"/>
      <c r="JF19" s="84"/>
      <c r="JG19" s="84"/>
      <c r="JH19" s="84"/>
      <c r="JI19" s="84"/>
      <c r="JJ19" s="84"/>
      <c r="JK19" s="84"/>
      <c r="JL19" s="84"/>
      <c r="JM19" s="84"/>
      <c r="JN19" s="84"/>
      <c r="JO19" s="84"/>
      <c r="JP19" s="84"/>
      <c r="JQ19" s="84"/>
      <c r="JR19" s="84"/>
      <c r="JS19" s="84"/>
      <c r="JT19" s="84"/>
      <c r="JU19" s="84"/>
      <c r="JV19" s="84"/>
      <c r="JW19" s="84"/>
      <c r="JX19" s="84"/>
      <c r="JY19" s="84"/>
      <c r="JZ19" s="84"/>
      <c r="KA19" s="84"/>
      <c r="KB19" s="84"/>
      <c r="KC19" s="84"/>
      <c r="KD19" s="84"/>
      <c r="KE19" s="84"/>
      <c r="KF19" s="84"/>
      <c r="KG19" s="84"/>
      <c r="KH19" s="84"/>
      <c r="KI19" s="84"/>
      <c r="KJ19" s="84"/>
      <c r="KK19" s="84"/>
      <c r="KL19" s="84"/>
      <c r="KM19" s="84"/>
      <c r="KN19" s="84"/>
      <c r="KO19" s="84"/>
      <c r="KP19" s="84"/>
      <c r="KQ19" s="84"/>
      <c r="KR19" s="84"/>
      <c r="KS19" s="84"/>
      <c r="KT19" s="84"/>
      <c r="KU19" s="84"/>
      <c r="KV19" s="84"/>
      <c r="KW19" s="84"/>
      <c r="KX19" s="84"/>
      <c r="KY19" s="84"/>
      <c r="KZ19" s="84"/>
      <c r="LA19" s="84"/>
      <c r="LB19" s="84"/>
      <c r="LC19" s="84"/>
      <c r="LD19" s="84"/>
      <c r="LE19" s="84"/>
      <c r="LF19" s="84"/>
      <c r="LG19" s="84"/>
      <c r="LH19" s="84"/>
      <c r="LI19" s="84"/>
      <c r="LJ19" s="84"/>
      <c r="LK19" s="84"/>
      <c r="LL19" s="84"/>
      <c r="LM19" s="84"/>
      <c r="LN19" s="84"/>
      <c r="LO19" s="84"/>
      <c r="LP19" s="84"/>
      <c r="LQ19" s="84"/>
      <c r="LR19" s="84"/>
      <c r="LS19" s="84"/>
      <c r="LT19" s="84"/>
      <c r="LU19" s="84"/>
      <c r="LV19" s="84"/>
      <c r="LW19" s="84"/>
      <c r="LX19" s="84"/>
      <c r="LY19" s="84"/>
      <c r="LZ19" s="84"/>
      <c r="MA19" s="84"/>
      <c r="MB19" s="84"/>
      <c r="MC19" s="84"/>
      <c r="MD19" s="84"/>
      <c r="ME19" s="84"/>
      <c r="MF19" s="84"/>
      <c r="MG19" s="84"/>
      <c r="MH19" s="84"/>
      <c r="MI19" s="84"/>
      <c r="MJ19" s="84"/>
      <c r="MK19" s="84"/>
      <c r="ML19" s="84"/>
      <c r="MM19" s="84"/>
      <c r="MN19" s="84"/>
      <c r="MO19" s="84"/>
      <c r="MP19" s="84"/>
      <c r="MQ19" s="84"/>
      <c r="MR19" s="84"/>
      <c r="MS19" s="84"/>
      <c r="MT19" s="84"/>
      <c r="MU19" s="84"/>
      <c r="MV19" s="84"/>
      <c r="MW19" s="84"/>
      <c r="MX19" s="84"/>
      <c r="MY19" s="84"/>
      <c r="MZ19" s="84"/>
      <c r="NA19" s="84"/>
      <c r="NB19" s="84"/>
      <c r="NC19" s="84"/>
      <c r="ND19" s="84"/>
      <c r="NE19" s="84"/>
      <c r="NF19" s="84"/>
      <c r="NG19" s="84"/>
      <c r="NH19" s="84"/>
      <c r="NI19" s="84"/>
      <c r="NJ19" s="84"/>
      <c r="NK19" s="84"/>
      <c r="NL19" s="84"/>
      <c r="NM19" s="84"/>
      <c r="NN19" s="84"/>
      <c r="NO19" s="84"/>
      <c r="NP19" s="84"/>
      <c r="NQ19" s="84"/>
      <c r="NR19" s="84"/>
      <c r="NS19" s="84"/>
      <c r="NT19" s="84"/>
      <c r="NU19" s="84"/>
      <c r="NV19" s="84"/>
      <c r="NW19" s="84"/>
      <c r="NX19" s="84"/>
      <c r="NY19" s="84"/>
      <c r="NZ19" s="84"/>
      <c r="OA19" s="84"/>
      <c r="OB19" s="84"/>
      <c r="OC19" s="84"/>
      <c r="OD19" s="84"/>
      <c r="OE19" s="84"/>
      <c r="OF19" s="84"/>
      <c r="OG19" s="84"/>
      <c r="OH19" s="84"/>
      <c r="OI19" s="84"/>
      <c r="OJ19" s="84"/>
      <c r="OK19" s="84"/>
      <c r="OL19" s="84"/>
      <c r="OM19" s="84"/>
      <c r="ON19" s="84"/>
      <c r="OO19" s="84"/>
      <c r="OP19" s="84"/>
      <c r="OQ19" s="84"/>
      <c r="OR19" s="84"/>
      <c r="OS19" s="84"/>
      <c r="OT19" s="84"/>
      <c r="OU19" s="84"/>
      <c r="OV19" s="84"/>
      <c r="OW19" s="84"/>
      <c r="OX19" s="84"/>
      <c r="OY19" s="84"/>
      <c r="OZ19" s="84"/>
      <c r="PA19" s="84"/>
      <c r="PB19" s="84"/>
      <c r="PC19" s="84"/>
      <c r="PD19" s="84"/>
      <c r="PE19" s="84"/>
      <c r="PF19" s="84"/>
      <c r="PG19" s="84"/>
      <c r="PH19" s="84"/>
      <c r="PI19" s="84"/>
      <c r="PJ19" s="84"/>
      <c r="PK19" s="84"/>
      <c r="PL19" s="84"/>
      <c r="PM19" s="84"/>
      <c r="PN19" s="84"/>
      <c r="PO19" s="84"/>
      <c r="PP19" s="84"/>
      <c r="PQ19" s="84"/>
      <c r="PR19" s="84"/>
      <c r="PS19" s="84"/>
      <c r="PT19" s="84"/>
      <c r="PU19" s="84"/>
      <c r="PV19" s="84"/>
      <c r="PW19" s="84"/>
      <c r="PX19" s="84"/>
      <c r="PY19" s="84"/>
      <c r="PZ19" s="84"/>
      <c r="QA19" s="84"/>
      <c r="QB19" s="84"/>
      <c r="QC19" s="84"/>
      <c r="QD19" s="84"/>
      <c r="QE19" s="84"/>
      <c r="QF19" s="84"/>
      <c r="QG19" s="84"/>
      <c r="QH19" s="84"/>
      <c r="QI19" s="84"/>
      <c r="QJ19" s="84"/>
      <c r="QK19" s="84"/>
      <c r="QL19" s="84"/>
      <c r="QM19" s="84"/>
      <c r="QN19" s="84"/>
      <c r="QO19" s="84"/>
      <c r="QP19" s="84"/>
      <c r="QQ19" s="84"/>
      <c r="QR19" s="84"/>
      <c r="QS19" s="84"/>
      <c r="QT19" s="84"/>
      <c r="QU19" s="84"/>
      <c r="QV19" s="84"/>
      <c r="QW19" s="84"/>
      <c r="QX19" s="84"/>
      <c r="QY19" s="84"/>
      <c r="QZ19" s="84"/>
      <c r="RA19" s="84"/>
      <c r="RB19" s="84"/>
      <c r="RC19" s="84"/>
      <c r="RD19" s="84"/>
      <c r="RE19" s="84"/>
      <c r="RF19" s="84"/>
      <c r="RG19" s="84"/>
      <c r="RH19" s="84"/>
      <c r="RI19" s="84"/>
      <c r="RJ19" s="84"/>
      <c r="RK19" s="84"/>
      <c r="RL19" s="84"/>
      <c r="RM19" s="84"/>
      <c r="RN19" s="84"/>
      <c r="RO19" s="84"/>
      <c r="RP19" s="84"/>
      <c r="RQ19" s="84"/>
      <c r="RR19" s="84"/>
      <c r="RS19" s="84"/>
      <c r="RT19" s="84"/>
      <c r="RU19" s="84"/>
      <c r="RV19" s="84"/>
      <c r="RW19" s="84"/>
      <c r="RX19" s="84"/>
      <c r="RY19" s="84"/>
      <c r="RZ19" s="84"/>
      <c r="SA19" s="84"/>
      <c r="SB19" s="84"/>
      <c r="SC19" s="84"/>
      <c r="SD19" s="84"/>
      <c r="SE19" s="84"/>
      <c r="SF19" s="84"/>
      <c r="SG19" s="84"/>
      <c r="SH19" s="84"/>
      <c r="SI19" s="84"/>
      <c r="SJ19" s="84"/>
      <c r="SK19" s="84"/>
      <c r="SL19" s="84"/>
      <c r="SM19" s="84"/>
      <c r="SN19" s="84"/>
      <c r="SO19" s="84"/>
      <c r="SP19" s="84"/>
      <c r="SQ19" s="84"/>
      <c r="SR19" s="84"/>
      <c r="SS19" s="84"/>
      <c r="ST19" s="84"/>
      <c r="SU19" s="84"/>
      <c r="SV19" s="84"/>
      <c r="SW19" s="84"/>
      <c r="SX19" s="84"/>
      <c r="SY19" s="84"/>
      <c r="SZ19" s="84"/>
      <c r="TA19" s="84"/>
      <c r="TB19" s="84"/>
      <c r="TC19" s="84"/>
      <c r="TD19" s="84"/>
      <c r="TE19" s="84"/>
      <c r="TF19" s="84"/>
      <c r="TG19" s="84"/>
      <c r="TH19" s="84"/>
      <c r="TI19" s="84"/>
      <c r="TJ19" s="84"/>
      <c r="TK19" s="84"/>
      <c r="TL19" s="84"/>
      <c r="TM19" s="84"/>
      <c r="TN19" s="84"/>
      <c r="TO19" s="84"/>
      <c r="TP19" s="84"/>
      <c r="TQ19" s="84"/>
      <c r="TR19" s="84"/>
      <c r="TS19" s="84"/>
      <c r="TT19" s="84"/>
      <c r="TU19" s="84"/>
      <c r="TV19" s="84"/>
      <c r="TW19" s="84"/>
      <c r="TX19" s="84"/>
      <c r="TY19" s="84"/>
      <c r="TZ19" s="84"/>
      <c r="UA19" s="84"/>
      <c r="UB19" s="84"/>
      <c r="UC19" s="84"/>
      <c r="UD19" s="84"/>
      <c r="UE19" s="84"/>
      <c r="UF19" s="84"/>
      <c r="UG19" s="84"/>
      <c r="UH19" s="84"/>
      <c r="UI19" s="84"/>
      <c r="UJ19" s="84"/>
      <c r="UK19" s="84"/>
      <c r="UL19" s="84"/>
      <c r="UM19" s="84"/>
      <c r="UN19" s="84"/>
      <c r="UO19" s="84"/>
      <c r="UP19" s="84"/>
      <c r="UQ19" s="84"/>
      <c r="UR19" s="84"/>
      <c r="US19" s="84"/>
      <c r="UT19" s="84"/>
      <c r="UU19" s="84"/>
      <c r="UV19" s="84"/>
      <c r="UW19" s="84"/>
      <c r="UX19" s="84"/>
      <c r="UY19" s="84"/>
      <c r="UZ19" s="84"/>
      <c r="VA19" s="84"/>
      <c r="VB19" s="84"/>
      <c r="VC19" s="84"/>
      <c r="VD19" s="84"/>
      <c r="VE19" s="84"/>
      <c r="VF19" s="84"/>
      <c r="VG19" s="84"/>
      <c r="VH19" s="84"/>
      <c r="VI19" s="84"/>
      <c r="VJ19" s="84"/>
      <c r="VK19" s="84"/>
      <c r="VL19" s="84"/>
      <c r="VM19" s="84"/>
      <c r="VN19" s="84"/>
      <c r="VO19" s="84"/>
      <c r="VP19" s="84"/>
      <c r="VQ19" s="84"/>
      <c r="VR19" s="84"/>
      <c r="VS19" s="84"/>
      <c r="VT19" s="84"/>
      <c r="VU19" s="84"/>
      <c r="VV19" s="84"/>
      <c r="VW19" s="84"/>
      <c r="VX19" s="84"/>
      <c r="VY19" s="84"/>
      <c r="VZ19" s="84"/>
      <c r="WA19" s="84"/>
      <c r="WB19" s="84"/>
      <c r="WC19" s="84"/>
      <c r="WD19" s="84"/>
      <c r="WE19" s="84"/>
      <c r="WF19" s="84"/>
      <c r="WG19" s="84"/>
      <c r="WH19" s="84"/>
      <c r="WI19" s="84"/>
      <c r="WJ19" s="84"/>
      <c r="WK19" s="84"/>
      <c r="WL19" s="84"/>
      <c r="WM19" s="84"/>
      <c r="WN19" s="84"/>
      <c r="WO19" s="84"/>
      <c r="WP19" s="84"/>
      <c r="WQ19" s="84"/>
      <c r="WR19" s="84"/>
      <c r="WS19" s="84"/>
      <c r="WT19" s="84"/>
      <c r="WU19" s="84"/>
      <c r="WV19" s="84"/>
      <c r="WW19" s="84"/>
      <c r="WX19" s="84"/>
      <c r="WY19" s="84"/>
      <c r="WZ19" s="84"/>
      <c r="XA19" s="84"/>
      <c r="XB19" s="84"/>
      <c r="XC19" s="84"/>
      <c r="XD19" s="84"/>
      <c r="XE19" s="84"/>
      <c r="XF19" s="84"/>
      <c r="XG19" s="84"/>
      <c r="XH19" s="84"/>
      <c r="XI19" s="84"/>
      <c r="XJ19" s="84"/>
      <c r="XK19" s="84"/>
      <c r="XL19" s="84"/>
      <c r="XM19" s="84"/>
      <c r="XN19" s="84"/>
      <c r="XO19" s="84"/>
      <c r="XP19" s="84"/>
      <c r="XQ19" s="84"/>
      <c r="XR19" s="84"/>
      <c r="XS19" s="84"/>
      <c r="XT19" s="84"/>
      <c r="XU19" s="84"/>
      <c r="XV19" s="84"/>
      <c r="XW19" s="84"/>
      <c r="XX19" s="84"/>
      <c r="XY19" s="84"/>
      <c r="XZ19" s="84"/>
      <c r="YA19" s="84"/>
      <c r="YB19" s="84"/>
      <c r="YC19" s="84"/>
      <c r="YD19" s="84"/>
      <c r="YE19" s="84"/>
      <c r="YF19" s="84"/>
      <c r="YG19" s="84"/>
      <c r="YH19" s="84"/>
      <c r="YI19" s="84"/>
      <c r="YJ19" s="84"/>
      <c r="YK19" s="84"/>
      <c r="YL19" s="84"/>
      <c r="YM19" s="84"/>
      <c r="YN19" s="84"/>
      <c r="YO19" s="84"/>
      <c r="YP19" s="84"/>
      <c r="YQ19" s="84"/>
      <c r="YR19" s="84"/>
      <c r="YS19" s="84"/>
      <c r="YT19" s="84"/>
      <c r="YU19" s="84"/>
      <c r="YV19" s="84"/>
      <c r="YW19" s="84"/>
      <c r="YX19" s="84"/>
      <c r="YY19" s="84"/>
      <c r="YZ19" s="84"/>
      <c r="ZA19" s="84"/>
      <c r="ZB19" s="84"/>
      <c r="ZC19" s="84"/>
      <c r="ZD19" s="84"/>
      <c r="ZE19" s="84"/>
      <c r="ZF19" s="84"/>
      <c r="ZG19" s="84"/>
      <c r="ZH19" s="84"/>
      <c r="ZI19" s="84"/>
      <c r="ZJ19" s="84"/>
      <c r="ZK19" s="84"/>
      <c r="ZL19" s="84"/>
      <c r="ZM19" s="84"/>
      <c r="ZN19" s="84"/>
      <c r="ZO19" s="84"/>
      <c r="ZP19" s="84"/>
      <c r="ZQ19" s="84"/>
      <c r="ZR19" s="84"/>
      <c r="ZS19" s="84"/>
      <c r="ZT19" s="84"/>
      <c r="ZU19" s="84"/>
      <c r="ZV19" s="84"/>
      <c r="ZW19" s="84"/>
      <c r="ZX19" s="84"/>
      <c r="ZY19" s="84"/>
      <c r="ZZ19" s="84"/>
      <c r="AAA19" s="84"/>
      <c r="AAB19" s="84"/>
      <c r="AAC19" s="84"/>
      <c r="AAD19" s="84"/>
      <c r="AAE19" s="84"/>
      <c r="AAF19" s="84"/>
      <c r="AAG19" s="84"/>
      <c r="AAH19" s="84"/>
      <c r="AAI19" s="84"/>
      <c r="AAJ19" s="84"/>
      <c r="AAK19" s="84"/>
      <c r="AAL19" s="84"/>
      <c r="AAM19" s="84"/>
      <c r="AAN19" s="84"/>
      <c r="AAO19" s="84"/>
      <c r="AAP19" s="84"/>
      <c r="AAQ19" s="84"/>
      <c r="AAR19" s="84"/>
      <c r="AAS19" s="84"/>
      <c r="AAT19" s="84"/>
      <c r="AAU19" s="84"/>
      <c r="AAV19" s="84"/>
      <c r="AAW19" s="84"/>
      <c r="AAX19" s="84"/>
      <c r="AAY19" s="84"/>
      <c r="AAZ19" s="84"/>
      <c r="ABA19" s="84"/>
      <c r="ABB19" s="84"/>
      <c r="ABC19" s="84"/>
      <c r="ABD19" s="84"/>
      <c r="ABE19" s="84"/>
      <c r="ABF19" s="84"/>
      <c r="ABG19" s="84"/>
      <c r="ABH19" s="84"/>
      <c r="ABI19" s="84"/>
      <c r="ABJ19" s="84"/>
      <c r="ABK19" s="84"/>
      <c r="ABL19" s="84"/>
      <c r="ABM19" s="84"/>
      <c r="ABN19" s="84"/>
      <c r="ABO19" s="84"/>
      <c r="ABP19" s="84"/>
      <c r="ABQ19" s="84"/>
      <c r="ABR19" s="84"/>
      <c r="ABS19" s="84"/>
      <c r="ABT19" s="84"/>
      <c r="ABU19" s="84"/>
      <c r="ABV19" s="84"/>
      <c r="ABW19" s="84"/>
      <c r="ABX19" s="84"/>
      <c r="ABY19" s="84"/>
      <c r="ABZ19" s="84"/>
      <c r="ACA19" s="84"/>
      <c r="ACB19" s="84"/>
      <c r="ACC19" s="84"/>
      <c r="ACD19" s="84"/>
      <c r="ACE19" s="84"/>
      <c r="ACF19" s="84"/>
      <c r="ACG19" s="84"/>
      <c r="ACH19" s="84"/>
      <c r="ACI19" s="84"/>
      <c r="ACJ19" s="84"/>
      <c r="ACK19" s="84"/>
      <c r="ACL19" s="84"/>
      <c r="ACM19" s="84"/>
      <c r="ACN19" s="84"/>
      <c r="ACO19" s="84"/>
      <c r="ACP19" s="84"/>
      <c r="ACQ19" s="84"/>
      <c r="ACR19" s="84"/>
      <c r="ACS19" s="84"/>
      <c r="ACT19" s="84"/>
      <c r="ACU19" s="84"/>
      <c r="ACV19" s="84"/>
      <c r="ACW19" s="84"/>
      <c r="ACX19" s="84"/>
      <c r="ACY19" s="84"/>
      <c r="ACZ19" s="84"/>
      <c r="ADA19" s="84"/>
      <c r="ADB19" s="84"/>
      <c r="ADC19" s="84"/>
      <c r="ADD19" s="84"/>
      <c r="ADE19" s="84"/>
      <c r="ADF19" s="84"/>
      <c r="ADG19" s="84"/>
      <c r="ADH19" s="84"/>
      <c r="ADI19" s="84"/>
      <c r="ADJ19" s="84"/>
      <c r="ADK19" s="84"/>
      <c r="ADL19" s="84"/>
      <c r="ADM19" s="84"/>
      <c r="ADN19" s="84"/>
      <c r="ADO19" s="84"/>
      <c r="ADP19" s="84"/>
      <c r="ADQ19" s="84"/>
      <c r="ADR19" s="84"/>
      <c r="ADS19" s="84"/>
      <c r="ADT19" s="84"/>
      <c r="ADU19" s="84"/>
      <c r="ADV19" s="84"/>
      <c r="ADW19" s="84"/>
      <c r="ADX19" s="84"/>
      <c r="ADY19" s="84"/>
      <c r="ADZ19" s="84"/>
      <c r="AEA19" s="84"/>
      <c r="AEB19" s="84"/>
      <c r="AEC19" s="84"/>
      <c r="AED19" s="84"/>
      <c r="AEE19" s="84"/>
      <c r="AEF19" s="84"/>
      <c r="AEG19" s="84"/>
      <c r="AEH19" s="84"/>
      <c r="AEI19" s="84"/>
      <c r="AEJ19" s="84"/>
      <c r="AEK19" s="84"/>
      <c r="AEL19" s="84"/>
      <c r="AEM19" s="84"/>
      <c r="AEN19" s="84"/>
      <c r="AEO19" s="84"/>
      <c r="AEP19" s="84"/>
      <c r="AEQ19" s="84"/>
      <c r="AER19" s="84"/>
      <c r="AES19" s="84"/>
      <c r="AET19" s="84"/>
      <c r="AEU19" s="84"/>
      <c r="AEV19" s="84"/>
      <c r="AEW19" s="84"/>
      <c r="AEX19" s="84"/>
      <c r="AEY19" s="84"/>
      <c r="AEZ19" s="84"/>
      <c r="AFA19" s="84"/>
      <c r="AFB19" s="84"/>
      <c r="AFC19" s="84"/>
      <c r="AFD19" s="84"/>
      <c r="AFE19" s="84"/>
      <c r="AFF19" s="84"/>
      <c r="AFG19" s="84"/>
      <c r="AFH19" s="84"/>
      <c r="AFI19" s="84"/>
      <c r="AFJ19" s="84"/>
      <c r="AFK19" s="84"/>
      <c r="AFL19" s="84"/>
      <c r="AFM19" s="84"/>
      <c r="AFN19" s="84"/>
      <c r="AFO19" s="84"/>
      <c r="AFP19" s="84"/>
      <c r="AFQ19" s="84"/>
      <c r="AFR19" s="84"/>
      <c r="AFS19" s="84"/>
      <c r="AFT19" s="84"/>
      <c r="AFU19" s="84"/>
      <c r="AFV19" s="84"/>
      <c r="AFW19" s="84"/>
      <c r="AFX19" s="84"/>
      <c r="AFY19" s="84"/>
      <c r="AFZ19" s="84"/>
      <c r="AGA19" s="84"/>
      <c r="AGB19" s="84"/>
      <c r="AGC19" s="84"/>
      <c r="AGD19" s="84"/>
      <c r="AGE19" s="84"/>
      <c r="AGF19" s="84"/>
      <c r="AGG19" s="84"/>
      <c r="AGH19" s="84"/>
      <c r="AGI19" s="84"/>
      <c r="AGJ19" s="84"/>
      <c r="AGK19" s="84"/>
      <c r="AGL19" s="84"/>
      <c r="AGM19" s="84"/>
      <c r="AGN19" s="84"/>
      <c r="AGO19" s="84"/>
      <c r="AGP19" s="84"/>
      <c r="AGQ19" s="84"/>
      <c r="AGR19" s="84"/>
      <c r="AGS19" s="84"/>
      <c r="AGT19" s="84"/>
      <c r="AGU19" s="84"/>
      <c r="AGV19" s="84"/>
      <c r="AGW19" s="84"/>
      <c r="AGX19" s="84"/>
      <c r="AGY19" s="84"/>
      <c r="AGZ19" s="84"/>
      <c r="AHA19" s="84"/>
      <c r="AHB19" s="84"/>
      <c r="AHC19" s="84"/>
      <c r="AHD19" s="84"/>
      <c r="AHE19" s="84"/>
      <c r="AHF19" s="84"/>
      <c r="AHG19" s="84"/>
      <c r="AHH19" s="84"/>
      <c r="AHI19" s="84"/>
      <c r="AHJ19" s="84"/>
      <c r="AHK19" s="84"/>
      <c r="AHL19" s="84"/>
      <c r="AHM19" s="84"/>
      <c r="AHN19" s="84"/>
      <c r="AHO19" s="84"/>
      <c r="AHP19" s="84"/>
      <c r="AHQ19" s="84"/>
      <c r="AHR19" s="84"/>
      <c r="AHS19" s="84"/>
      <c r="AHT19" s="84"/>
      <c r="AHU19" s="84"/>
      <c r="AHV19" s="84"/>
      <c r="AHW19" s="84"/>
      <c r="AHX19" s="84"/>
      <c r="AHY19" s="84"/>
      <c r="AHZ19" s="84"/>
      <c r="AIA19" s="84"/>
      <c r="AIB19" s="84"/>
      <c r="AIC19" s="84"/>
      <c r="AID19" s="84"/>
      <c r="AIE19" s="84"/>
      <c r="AIF19" s="84"/>
      <c r="AIG19" s="84"/>
      <c r="AIH19" s="84"/>
      <c r="AII19" s="84"/>
      <c r="AIJ19" s="84"/>
      <c r="AIK19" s="84"/>
      <c r="AIL19" s="84"/>
      <c r="AIM19" s="84"/>
      <c r="AIN19" s="84"/>
      <c r="AIO19" s="84"/>
      <c r="AIP19" s="84"/>
      <c r="AIQ19" s="84"/>
      <c r="AIR19" s="84"/>
      <c r="AIS19" s="84"/>
      <c r="AIT19" s="84"/>
      <c r="AIU19" s="84"/>
      <c r="AIV19" s="84"/>
      <c r="AIW19" s="84"/>
      <c r="AIX19" s="84"/>
      <c r="AIY19" s="84"/>
      <c r="AIZ19" s="84"/>
      <c r="AJA19" s="84"/>
      <c r="AJB19" s="84"/>
      <c r="AJC19" s="84"/>
      <c r="AJD19" s="84"/>
      <c r="AJE19" s="84"/>
      <c r="AJF19" s="84"/>
      <c r="AJG19" s="84"/>
      <c r="AJH19" s="84"/>
      <c r="AJI19" s="84"/>
      <c r="AJJ19" s="84"/>
      <c r="AJK19" s="84"/>
      <c r="AJL19" s="84"/>
      <c r="AJM19" s="84"/>
      <c r="AJN19" s="84"/>
      <c r="AJO19" s="84"/>
      <c r="AJP19" s="84"/>
      <c r="AJQ19" s="84"/>
      <c r="AJR19" s="84"/>
      <c r="AJS19" s="84"/>
      <c r="AJT19" s="84"/>
      <c r="AJU19" s="84"/>
      <c r="AJV19" s="84"/>
      <c r="AJW19" s="84"/>
      <c r="AJX19" s="84"/>
      <c r="AJY19" s="84"/>
      <c r="AJZ19" s="84"/>
      <c r="AKA19" s="84"/>
      <c r="AKB19" s="84"/>
      <c r="AKC19" s="84"/>
      <c r="AKD19" s="84"/>
      <c r="AKE19" s="84"/>
      <c r="AKF19" s="84"/>
      <c r="AKG19" s="84"/>
      <c r="AKH19" s="84"/>
      <c r="AKI19" s="84"/>
      <c r="AKJ19" s="84"/>
      <c r="AKK19" s="84"/>
      <c r="AKL19" s="84"/>
      <c r="AKM19" s="84"/>
      <c r="AKN19" s="84"/>
      <c r="AKO19" s="84"/>
      <c r="AKP19" s="84"/>
      <c r="AKQ19" s="84"/>
      <c r="AKR19" s="84"/>
      <c r="AKS19" s="84"/>
      <c r="AKT19" s="84"/>
      <c r="AKU19" s="84"/>
      <c r="AKV19" s="84"/>
      <c r="AKW19" s="84"/>
      <c r="AKX19" s="84"/>
      <c r="AKY19" s="84"/>
      <c r="AKZ19" s="84"/>
      <c r="ALA19" s="84"/>
      <c r="ALB19" s="84"/>
      <c r="ALC19" s="84"/>
      <c r="ALD19" s="84"/>
      <c r="ALE19" s="84"/>
      <c r="ALF19" s="84"/>
      <c r="ALG19" s="84"/>
      <c r="ALH19" s="84"/>
      <c r="ALI19" s="84"/>
      <c r="ALJ19" s="84"/>
      <c r="ALK19" s="84"/>
      <c r="ALL19" s="84"/>
      <c r="ALM19" s="84"/>
      <c r="ALN19" s="84"/>
      <c r="ALO19" s="84"/>
      <c r="ALP19" s="84"/>
      <c r="ALQ19" s="84"/>
      <c r="ALR19" s="84"/>
      <c r="ALS19" s="84"/>
      <c r="ALT19" s="84"/>
      <c r="ALU19" s="84"/>
      <c r="ALV19" s="84"/>
      <c r="ALW19" s="84"/>
      <c r="ALX19" s="84"/>
      <c r="ALY19" s="84"/>
      <c r="ALZ19" s="84"/>
      <c r="AMA19" s="84"/>
      <c r="AMB19" s="84"/>
      <c r="AMC19" s="84"/>
      <c r="AMD19" s="84"/>
      <c r="AME19" s="84"/>
      <c r="AMF19" s="84"/>
      <c r="AMG19" s="84"/>
      <c r="AMH19" s="84"/>
      <c r="AMI19" s="84"/>
      <c r="AMJ19" s="84"/>
      <c r="AMK19" s="84"/>
      <c r="AML19" s="84"/>
      <c r="AMM19" s="84"/>
      <c r="AMN19" s="84"/>
      <c r="AMO19" s="84"/>
      <c r="AMP19" s="84"/>
      <c r="AMQ19" s="84"/>
      <c r="AMR19" s="84"/>
      <c r="AMS19" s="84"/>
      <c r="AMT19" s="84"/>
      <c r="AMU19" s="84"/>
      <c r="AMV19" s="84"/>
      <c r="AMW19" s="84"/>
      <c r="AMX19" s="84"/>
      <c r="AMY19" s="84"/>
      <c r="AMZ19" s="84"/>
      <c r="ANA19" s="84"/>
      <c r="ANB19" s="84"/>
      <c r="ANC19" s="84"/>
      <c r="AND19" s="84"/>
      <c r="ANE19" s="84"/>
      <c r="ANF19" s="84"/>
      <c r="ANG19" s="84"/>
      <c r="ANH19" s="84"/>
      <c r="ANI19" s="84"/>
      <c r="ANJ19" s="84"/>
      <c r="ANK19" s="84"/>
      <c r="ANL19" s="84"/>
      <c r="ANM19" s="84"/>
      <c r="ANN19" s="84"/>
      <c r="ANO19" s="84"/>
      <c r="ANP19" s="84"/>
      <c r="ANQ19" s="84"/>
      <c r="ANR19" s="84"/>
      <c r="ANS19" s="84"/>
      <c r="ANT19" s="84"/>
      <c r="ANU19" s="84"/>
      <c r="ANV19" s="84"/>
      <c r="ANW19" s="84"/>
      <c r="ANX19" s="84"/>
      <c r="ANY19" s="84"/>
      <c r="ANZ19" s="84"/>
      <c r="AOA19" s="84"/>
      <c r="AOB19" s="84"/>
      <c r="AOC19" s="84"/>
      <c r="AOD19" s="84"/>
      <c r="AOE19" s="84"/>
      <c r="AOF19" s="84"/>
      <c r="AOG19" s="84"/>
      <c r="AOH19" s="84"/>
      <c r="AOI19" s="84"/>
      <c r="AOJ19" s="84"/>
      <c r="AOK19" s="84"/>
      <c r="AOL19" s="84"/>
      <c r="AOM19" s="84"/>
      <c r="AON19" s="84"/>
      <c r="AOO19" s="84"/>
      <c r="AOP19" s="84"/>
      <c r="AOQ19" s="84"/>
      <c r="AOR19" s="84"/>
      <c r="AOS19" s="84"/>
      <c r="AOT19" s="84"/>
      <c r="AOU19" s="84"/>
      <c r="AOV19" s="84"/>
      <c r="AOW19" s="84"/>
      <c r="AOX19" s="84"/>
      <c r="AOY19" s="84"/>
      <c r="AOZ19" s="84"/>
      <c r="APA19" s="84"/>
      <c r="APB19" s="84"/>
      <c r="APC19" s="84"/>
      <c r="APD19" s="84"/>
      <c r="APE19" s="84"/>
      <c r="APF19" s="84"/>
      <c r="APG19" s="84"/>
      <c r="APH19" s="84"/>
      <c r="API19" s="84"/>
      <c r="APJ19" s="84"/>
      <c r="APK19" s="84"/>
      <c r="APL19" s="84"/>
      <c r="APM19" s="84"/>
      <c r="APN19" s="84"/>
      <c r="APO19" s="84"/>
      <c r="APP19" s="84"/>
      <c r="APQ19" s="84"/>
      <c r="APR19" s="84"/>
      <c r="APS19" s="84"/>
      <c r="APT19" s="84"/>
      <c r="APU19" s="84"/>
      <c r="APV19" s="84"/>
      <c r="APW19" s="84"/>
      <c r="APX19" s="84"/>
      <c r="APY19" s="84"/>
      <c r="APZ19" s="84"/>
      <c r="AQA19" s="84"/>
      <c r="AQB19" s="84"/>
      <c r="AQC19" s="84"/>
      <c r="AQD19" s="84"/>
      <c r="AQE19" s="84"/>
      <c r="AQF19" s="84"/>
      <c r="AQG19" s="84"/>
      <c r="AQH19" s="84"/>
      <c r="AQI19" s="84"/>
      <c r="AQJ19" s="84"/>
      <c r="AQK19" s="84"/>
      <c r="AQL19" s="84"/>
      <c r="AQM19" s="84"/>
      <c r="AQN19" s="84"/>
      <c r="AQO19" s="84"/>
      <c r="AQP19" s="84"/>
      <c r="AQQ19" s="84"/>
      <c r="AQR19" s="84"/>
      <c r="AQS19" s="84"/>
      <c r="AQT19" s="84"/>
      <c r="AQU19" s="84"/>
      <c r="AQV19" s="84"/>
      <c r="AQW19" s="84"/>
      <c r="AQX19" s="84"/>
      <c r="AQY19" s="84"/>
      <c r="AQZ19" s="84"/>
      <c r="ARA19" s="84"/>
      <c r="ARB19" s="84"/>
      <c r="ARC19" s="84"/>
      <c r="ARD19" s="84"/>
      <c r="ARE19" s="84"/>
      <c r="ARF19" s="84"/>
      <c r="ARG19" s="84"/>
      <c r="ARH19" s="84"/>
      <c r="ARI19" s="84"/>
      <c r="ARJ19" s="84"/>
      <c r="ARK19" s="84"/>
      <c r="ARL19" s="84"/>
      <c r="ARM19" s="84"/>
      <c r="ARN19" s="84"/>
      <c r="ARO19" s="84"/>
      <c r="ARP19" s="84"/>
      <c r="ARQ19" s="84"/>
      <c r="ARR19" s="84"/>
      <c r="ARS19" s="84"/>
      <c r="ART19" s="84"/>
      <c r="ARU19" s="84"/>
      <c r="ARV19" s="84"/>
      <c r="ARW19" s="84"/>
      <c r="ARX19" s="84"/>
      <c r="ARY19" s="84"/>
      <c r="ARZ19" s="84"/>
      <c r="ASA19" s="84"/>
      <c r="ASB19" s="84"/>
      <c r="ASC19" s="84"/>
      <c r="ASD19" s="84"/>
      <c r="ASE19" s="84"/>
      <c r="ASF19" s="84"/>
      <c r="ASG19" s="84"/>
      <c r="ASH19" s="84"/>
      <c r="ASI19" s="84"/>
      <c r="ASJ19" s="84"/>
      <c r="ASK19" s="84"/>
      <c r="ASL19" s="84"/>
      <c r="ASM19" s="84"/>
      <c r="ASN19" s="84"/>
      <c r="ASO19" s="84"/>
      <c r="ASP19" s="84"/>
      <c r="ASQ19" s="84"/>
      <c r="ASR19" s="84"/>
      <c r="ASS19" s="84"/>
      <c r="AST19" s="84"/>
      <c r="ASU19" s="84"/>
      <c r="ASV19" s="84"/>
      <c r="ASW19" s="84"/>
      <c r="ASX19" s="84"/>
      <c r="ASY19" s="84"/>
      <c r="ASZ19" s="84"/>
      <c r="ATA19" s="84"/>
      <c r="ATB19" s="84"/>
      <c r="ATC19" s="84"/>
      <c r="ATD19" s="84"/>
      <c r="ATE19" s="84"/>
      <c r="ATF19" s="84"/>
      <c r="ATG19" s="84"/>
      <c r="ATH19" s="84"/>
      <c r="ATI19" s="84"/>
      <c r="ATJ19" s="84"/>
      <c r="ATK19" s="84"/>
      <c r="ATL19" s="84"/>
      <c r="ATM19" s="84"/>
      <c r="ATN19" s="84"/>
      <c r="ATO19" s="84"/>
      <c r="ATP19" s="84"/>
      <c r="ATQ19" s="84"/>
      <c r="ATR19" s="84"/>
      <c r="ATS19" s="84"/>
      <c r="ATT19" s="84"/>
      <c r="ATU19" s="84"/>
      <c r="ATV19" s="84"/>
      <c r="ATW19" s="84"/>
      <c r="ATX19" s="84"/>
      <c r="ATY19" s="84"/>
      <c r="ATZ19" s="84"/>
      <c r="AUA19" s="84"/>
      <c r="AUB19" s="84"/>
      <c r="AUC19" s="84"/>
      <c r="AUD19" s="84"/>
      <c r="AUE19" s="84"/>
      <c r="AUF19" s="84"/>
      <c r="AUG19" s="84"/>
      <c r="AUH19" s="84"/>
      <c r="AUI19" s="84"/>
      <c r="AUJ19" s="84"/>
      <c r="AUK19" s="84"/>
      <c r="AUL19" s="84"/>
      <c r="AUM19" s="84"/>
      <c r="AUN19" s="84"/>
      <c r="AUO19" s="84"/>
      <c r="AUP19" s="84"/>
      <c r="AUQ19" s="84"/>
      <c r="AUR19" s="84"/>
      <c r="AUS19" s="84"/>
      <c r="AUT19" s="84"/>
      <c r="AUU19" s="84"/>
      <c r="AUV19" s="84"/>
      <c r="AUW19" s="84"/>
      <c r="AUX19" s="84"/>
      <c r="AUY19" s="84"/>
      <c r="AUZ19" s="84"/>
      <c r="AVA19" s="84"/>
      <c r="AVB19" s="84"/>
      <c r="AVC19" s="84"/>
      <c r="AVD19" s="84"/>
      <c r="AVE19" s="84"/>
      <c r="AVF19" s="84"/>
      <c r="AVG19" s="84"/>
      <c r="AVH19" s="84"/>
      <c r="AVI19" s="84"/>
      <c r="AVJ19" s="84"/>
      <c r="AVK19" s="84"/>
      <c r="AVL19" s="84"/>
      <c r="AVM19" s="84"/>
      <c r="AVN19" s="84"/>
      <c r="AVO19" s="84"/>
      <c r="AVP19" s="84"/>
      <c r="AVQ19" s="84"/>
      <c r="AVR19" s="84"/>
      <c r="AVS19" s="84"/>
      <c r="AVT19" s="84"/>
      <c r="AVU19" s="84"/>
      <c r="AVV19" s="84"/>
      <c r="AVW19" s="84"/>
      <c r="AVX19" s="84"/>
      <c r="AVY19" s="84"/>
      <c r="AVZ19" s="84"/>
      <c r="AWA19" s="84"/>
      <c r="AWB19" s="84"/>
      <c r="AWC19" s="84"/>
      <c r="AWD19" s="84"/>
      <c r="AWE19" s="84"/>
      <c r="AWF19" s="84"/>
      <c r="AWG19" s="84"/>
      <c r="AWH19" s="84"/>
      <c r="AWI19" s="84"/>
      <c r="AWJ19" s="84"/>
      <c r="AWK19" s="84"/>
      <c r="AWL19" s="84"/>
      <c r="AWM19" s="84"/>
      <c r="AWN19" s="84"/>
      <c r="AWO19" s="84"/>
      <c r="AWP19" s="84"/>
      <c r="AWQ19" s="84"/>
      <c r="AWR19" s="84"/>
      <c r="AWS19" s="84"/>
      <c r="AWT19" s="84"/>
      <c r="AWU19" s="84"/>
      <c r="AWV19" s="84"/>
      <c r="AWW19" s="84"/>
      <c r="AWX19" s="84"/>
      <c r="AWY19" s="84"/>
      <c r="AWZ19" s="84"/>
      <c r="AXA19" s="84"/>
      <c r="AXB19" s="84"/>
      <c r="AXC19" s="84"/>
      <c r="AXD19" s="84"/>
      <c r="AXE19" s="84"/>
      <c r="AXF19" s="84"/>
      <c r="AXG19" s="84"/>
      <c r="AXH19" s="84"/>
      <c r="AXI19" s="84"/>
      <c r="AXJ19" s="84"/>
      <c r="AXK19" s="84"/>
      <c r="AXL19" s="84"/>
      <c r="AXM19" s="84"/>
      <c r="AXN19" s="84"/>
      <c r="AXO19" s="84"/>
      <c r="AXP19" s="84"/>
      <c r="AXQ19" s="84"/>
      <c r="AXR19" s="84"/>
      <c r="AXS19" s="84"/>
      <c r="AXT19" s="84"/>
      <c r="AXU19" s="84"/>
      <c r="AXV19" s="84"/>
      <c r="AXW19" s="84"/>
      <c r="AXX19" s="84"/>
      <c r="AXY19" s="84"/>
      <c r="AXZ19" s="84"/>
      <c r="AYA19" s="84"/>
      <c r="AYB19" s="84"/>
      <c r="AYC19" s="84"/>
      <c r="AYD19" s="84"/>
      <c r="AYE19" s="84"/>
      <c r="AYF19" s="84"/>
      <c r="AYG19" s="84"/>
      <c r="AYH19" s="84"/>
      <c r="AYI19" s="84"/>
      <c r="AYJ19" s="84"/>
      <c r="AYK19" s="84"/>
      <c r="AYL19" s="84"/>
      <c r="AYM19" s="84"/>
      <c r="AYN19" s="84"/>
      <c r="AYO19" s="84"/>
      <c r="AYP19" s="84"/>
      <c r="AYQ19" s="84"/>
      <c r="AYR19" s="84"/>
      <c r="AYS19" s="84"/>
      <c r="AYT19" s="84"/>
      <c r="AYU19" s="84"/>
      <c r="AYV19" s="84"/>
      <c r="AYW19" s="84"/>
      <c r="AYX19" s="84"/>
      <c r="AYY19" s="84"/>
      <c r="AYZ19" s="84"/>
      <c r="AZA19" s="84"/>
      <c r="AZB19" s="84"/>
      <c r="AZC19" s="84"/>
      <c r="AZD19" s="84"/>
      <c r="AZE19" s="84"/>
      <c r="AZF19" s="84"/>
      <c r="AZG19" s="84"/>
      <c r="AZH19" s="84"/>
      <c r="AZI19" s="84"/>
      <c r="AZJ19" s="84"/>
      <c r="AZK19" s="84"/>
      <c r="AZL19" s="84"/>
      <c r="AZM19" s="84"/>
      <c r="AZN19" s="84"/>
      <c r="AZO19" s="84"/>
      <c r="AZP19" s="84"/>
      <c r="AZQ19" s="84"/>
      <c r="AZR19" s="84"/>
      <c r="AZS19" s="84"/>
      <c r="AZT19" s="84"/>
      <c r="AZU19" s="84"/>
      <c r="AZV19" s="84"/>
      <c r="AZW19" s="84"/>
      <c r="AZX19" s="84"/>
      <c r="AZY19" s="84"/>
      <c r="AZZ19" s="84"/>
      <c r="BAA19" s="84"/>
      <c r="BAB19" s="84"/>
      <c r="BAC19" s="84"/>
      <c r="BAD19" s="84"/>
      <c r="BAE19" s="84"/>
      <c r="BAF19" s="84"/>
      <c r="BAG19" s="84"/>
      <c r="BAH19" s="84"/>
      <c r="BAI19" s="84"/>
      <c r="BAJ19" s="84"/>
      <c r="BAK19" s="84"/>
      <c r="BAL19" s="84"/>
      <c r="BAM19" s="84"/>
      <c r="BAN19" s="84"/>
      <c r="BAO19" s="84"/>
      <c r="BAP19" s="84"/>
      <c r="BAQ19" s="84"/>
      <c r="BAR19" s="84"/>
      <c r="BAS19" s="84"/>
      <c r="BAT19" s="84"/>
      <c r="BAU19" s="84"/>
      <c r="BAV19" s="84"/>
      <c r="BAW19" s="84"/>
      <c r="BAX19" s="84"/>
      <c r="BAY19" s="84"/>
      <c r="BAZ19" s="84"/>
      <c r="BBA19" s="84"/>
      <c r="BBB19" s="84"/>
      <c r="BBC19" s="84"/>
      <c r="BBD19" s="84"/>
      <c r="BBE19" s="84"/>
      <c r="BBF19" s="84"/>
      <c r="BBG19" s="84"/>
      <c r="BBH19" s="84"/>
      <c r="BBI19" s="84"/>
      <c r="BBJ19" s="84"/>
      <c r="BBK19" s="84"/>
      <c r="BBL19" s="84"/>
      <c r="BBM19" s="84"/>
      <c r="BBN19" s="84"/>
      <c r="BBO19" s="84"/>
      <c r="BBP19" s="84"/>
      <c r="BBQ19" s="84"/>
      <c r="BBR19" s="84"/>
      <c r="BBS19" s="84"/>
      <c r="BBT19" s="84"/>
      <c r="BBU19" s="84"/>
      <c r="BBV19" s="84"/>
      <c r="BBW19" s="84"/>
      <c r="BBX19" s="84"/>
      <c r="BBY19" s="84"/>
      <c r="BBZ19" s="84"/>
      <c r="BCA19" s="84"/>
      <c r="BCB19" s="84"/>
      <c r="BCC19" s="84"/>
      <c r="BCD19" s="84"/>
      <c r="BCE19" s="84"/>
      <c r="BCF19" s="84"/>
      <c r="BCG19" s="84"/>
      <c r="BCH19" s="84"/>
      <c r="BCI19" s="84"/>
      <c r="BCJ19" s="84"/>
      <c r="BCK19" s="84"/>
      <c r="BCL19" s="84"/>
      <c r="BCM19" s="84"/>
      <c r="BCN19" s="84"/>
      <c r="BCO19" s="84"/>
      <c r="BCP19" s="84"/>
      <c r="BCQ19" s="84"/>
      <c r="BCR19" s="84"/>
      <c r="BCS19" s="84"/>
      <c r="BCT19" s="84"/>
      <c r="BCU19" s="84"/>
      <c r="BCV19" s="84"/>
      <c r="BCW19" s="84"/>
      <c r="BCX19" s="84"/>
      <c r="BCY19" s="84"/>
      <c r="BCZ19" s="84"/>
      <c r="BDA19" s="84"/>
      <c r="BDB19" s="84"/>
      <c r="BDC19" s="84"/>
      <c r="BDD19" s="84"/>
      <c r="BDE19" s="84"/>
      <c r="BDF19" s="84"/>
      <c r="BDG19" s="84"/>
      <c r="BDH19" s="84"/>
      <c r="BDI19" s="84"/>
      <c r="BDJ19" s="84"/>
      <c r="BDK19" s="84"/>
      <c r="BDL19" s="84"/>
      <c r="BDM19" s="84"/>
      <c r="BDN19" s="84"/>
      <c r="BDO19" s="84"/>
      <c r="BDP19" s="84"/>
      <c r="BDQ19" s="84"/>
      <c r="BDR19" s="84"/>
      <c r="BDS19" s="84"/>
      <c r="BDT19" s="84"/>
      <c r="BDU19" s="84"/>
      <c r="BDV19" s="84"/>
      <c r="BDW19" s="84"/>
      <c r="BDX19" s="84"/>
      <c r="BDY19" s="84"/>
      <c r="BDZ19" s="84"/>
      <c r="BEA19" s="84"/>
      <c r="BEB19" s="84"/>
      <c r="BEC19" s="84"/>
      <c r="BED19" s="84"/>
      <c r="BEE19" s="84"/>
      <c r="BEF19" s="84"/>
      <c r="BEG19" s="84"/>
      <c r="BEH19" s="84"/>
      <c r="BEI19" s="84"/>
      <c r="BEJ19" s="84"/>
      <c r="BEK19" s="84"/>
      <c r="BEL19" s="84"/>
      <c r="BEM19" s="84"/>
      <c r="BEN19" s="84"/>
      <c r="BEO19" s="84"/>
      <c r="BEP19" s="84"/>
      <c r="BEQ19" s="84"/>
      <c r="BER19" s="84"/>
      <c r="BES19" s="84"/>
      <c r="BET19" s="84"/>
      <c r="BEU19" s="84"/>
      <c r="BEV19" s="84"/>
      <c r="BEW19" s="84"/>
      <c r="BEX19" s="84"/>
      <c r="BEY19" s="84"/>
      <c r="BEZ19" s="84"/>
      <c r="BFA19" s="84"/>
      <c r="BFB19" s="84"/>
      <c r="BFC19" s="84"/>
      <c r="BFD19" s="84"/>
      <c r="BFE19" s="84"/>
      <c r="BFF19" s="84"/>
      <c r="BFG19" s="84"/>
      <c r="BFH19" s="84"/>
      <c r="BFI19" s="84"/>
      <c r="BFJ19" s="84"/>
      <c r="BFK19" s="84"/>
      <c r="BFL19" s="84"/>
      <c r="BFM19" s="84"/>
      <c r="BFN19" s="84"/>
      <c r="BFO19" s="84"/>
      <c r="BFP19" s="84"/>
      <c r="BFQ19" s="84"/>
      <c r="BFR19" s="84"/>
      <c r="BFS19" s="84"/>
      <c r="BFT19" s="84"/>
      <c r="BFU19" s="84"/>
      <c r="BFV19" s="84"/>
      <c r="BFW19" s="84"/>
      <c r="BFX19" s="84"/>
      <c r="BFY19" s="84"/>
      <c r="BFZ19" s="84"/>
      <c r="BGA19" s="84"/>
      <c r="BGB19" s="84"/>
      <c r="BGC19" s="84"/>
      <c r="BGD19" s="84"/>
      <c r="BGE19" s="84"/>
      <c r="BGF19" s="84"/>
      <c r="BGG19" s="84"/>
      <c r="BGH19" s="84"/>
      <c r="BGI19" s="84"/>
      <c r="BGJ19" s="84"/>
      <c r="BGK19" s="84"/>
      <c r="BGL19" s="84"/>
      <c r="BGM19" s="84"/>
      <c r="BGN19" s="84"/>
      <c r="BGO19" s="84"/>
      <c r="BGP19" s="84"/>
      <c r="BGQ19" s="84"/>
      <c r="BGR19" s="84"/>
      <c r="BGS19" s="84"/>
      <c r="BGT19" s="84"/>
      <c r="BGU19" s="84"/>
      <c r="BGV19" s="84"/>
      <c r="BGW19" s="84"/>
      <c r="BGX19" s="84"/>
      <c r="BGY19" s="84"/>
      <c r="BGZ19" s="84"/>
      <c r="BHA19" s="84"/>
      <c r="BHB19" s="84"/>
      <c r="BHC19" s="84"/>
      <c r="BHD19" s="84"/>
      <c r="BHE19" s="84"/>
      <c r="BHF19" s="84"/>
      <c r="BHG19" s="84"/>
      <c r="BHH19" s="84"/>
      <c r="BHI19" s="84"/>
      <c r="BHJ19" s="84"/>
      <c r="BHK19" s="84"/>
      <c r="BHL19" s="84"/>
      <c r="BHM19" s="84"/>
      <c r="BHN19" s="84"/>
      <c r="BHO19" s="84"/>
      <c r="BHP19" s="84"/>
      <c r="BHQ19" s="84"/>
      <c r="BHR19" s="84"/>
      <c r="BHS19" s="84"/>
      <c r="BHT19" s="84"/>
      <c r="BHU19" s="84"/>
      <c r="BHV19" s="84"/>
      <c r="BHW19" s="84"/>
      <c r="BHX19" s="84"/>
      <c r="BHY19" s="84"/>
      <c r="BHZ19" s="84"/>
      <c r="BIA19" s="84"/>
      <c r="BIB19" s="84"/>
      <c r="BIC19" s="84"/>
      <c r="BID19" s="84"/>
      <c r="BIE19" s="84"/>
      <c r="BIF19" s="84"/>
      <c r="BIG19" s="84"/>
      <c r="BIH19" s="84"/>
      <c r="BII19" s="84"/>
      <c r="BIJ19" s="84"/>
      <c r="BIK19" s="84"/>
      <c r="BIL19" s="84"/>
      <c r="BIM19" s="84"/>
      <c r="BIN19" s="84"/>
      <c r="BIO19" s="84"/>
      <c r="BIP19" s="84"/>
      <c r="BIQ19" s="84"/>
      <c r="BIR19" s="84"/>
      <c r="BIS19" s="84"/>
      <c r="BIT19" s="84"/>
      <c r="BIU19" s="84"/>
      <c r="BIV19" s="84"/>
      <c r="BIW19" s="84"/>
      <c r="BIX19" s="84"/>
      <c r="BIY19" s="84"/>
      <c r="BIZ19" s="84"/>
      <c r="BJA19" s="84"/>
      <c r="BJB19" s="84"/>
      <c r="BJC19" s="84"/>
      <c r="BJD19" s="84"/>
      <c r="BJE19" s="84"/>
      <c r="BJF19" s="84"/>
      <c r="BJG19" s="84"/>
      <c r="BJH19" s="84"/>
      <c r="BJI19" s="84"/>
      <c r="BJJ19" s="84"/>
      <c r="BJK19" s="84"/>
      <c r="BJL19" s="84"/>
      <c r="BJM19" s="84"/>
      <c r="BJN19" s="84"/>
      <c r="BJO19" s="84"/>
      <c r="BJP19" s="84"/>
      <c r="BJQ19" s="84"/>
      <c r="BJR19" s="84"/>
      <c r="BJS19" s="84"/>
      <c r="BJT19" s="84"/>
      <c r="BJU19" s="84"/>
      <c r="BJV19" s="84"/>
      <c r="BJW19" s="84"/>
      <c r="BJX19" s="84"/>
      <c r="BJY19" s="84"/>
      <c r="BJZ19" s="84"/>
      <c r="BKA19" s="84"/>
      <c r="BKB19" s="84"/>
      <c r="BKC19" s="84"/>
      <c r="BKD19" s="84"/>
      <c r="BKE19" s="84"/>
      <c r="BKF19" s="84"/>
      <c r="BKG19" s="84"/>
      <c r="BKH19" s="84"/>
      <c r="BKI19" s="84"/>
      <c r="BKJ19" s="84"/>
      <c r="BKK19" s="84"/>
      <c r="BKL19" s="84"/>
      <c r="BKM19" s="84"/>
      <c r="BKN19" s="84"/>
      <c r="BKO19" s="84"/>
      <c r="BKP19" s="84"/>
      <c r="BKQ19" s="84"/>
      <c r="BKR19" s="84"/>
      <c r="BKS19" s="84"/>
      <c r="BKT19" s="84"/>
      <c r="BKU19" s="84"/>
      <c r="BKV19" s="84"/>
      <c r="BKW19" s="84"/>
      <c r="BKX19" s="84"/>
      <c r="BKY19" s="84"/>
      <c r="BKZ19" s="84"/>
      <c r="BLA19" s="84"/>
      <c r="BLB19" s="84"/>
      <c r="BLC19" s="84"/>
      <c r="BLD19" s="84"/>
      <c r="BLE19" s="84"/>
      <c r="BLF19" s="84"/>
      <c r="BLG19" s="84"/>
      <c r="BLH19" s="84"/>
      <c r="BLI19" s="84"/>
      <c r="BLJ19" s="84"/>
      <c r="BLK19" s="84"/>
      <c r="BLL19" s="84"/>
      <c r="BLM19" s="84"/>
      <c r="BLN19" s="84"/>
      <c r="BLO19" s="84"/>
      <c r="BLP19" s="84"/>
      <c r="BLQ19" s="84"/>
      <c r="BLR19" s="84"/>
      <c r="BLS19" s="84"/>
      <c r="BLT19" s="84"/>
      <c r="BLU19" s="84"/>
      <c r="BLV19" s="84"/>
      <c r="BLW19" s="84"/>
      <c r="BLX19" s="84"/>
      <c r="BLY19" s="84"/>
      <c r="BLZ19" s="84"/>
      <c r="BMA19" s="84"/>
      <c r="BMB19" s="84"/>
      <c r="BMC19" s="84"/>
      <c r="BMD19" s="84"/>
      <c r="BME19" s="84"/>
      <c r="BMF19" s="84"/>
      <c r="BMG19" s="84"/>
      <c r="BMH19" s="84"/>
      <c r="BMI19" s="84"/>
      <c r="BMJ19" s="84"/>
      <c r="BMK19" s="84"/>
      <c r="BML19" s="84"/>
      <c r="BMM19" s="84"/>
      <c r="BMN19" s="84"/>
      <c r="BMO19" s="84"/>
      <c r="BMP19" s="84"/>
      <c r="BMQ19" s="84"/>
      <c r="BMR19" s="84"/>
      <c r="BMS19" s="84"/>
      <c r="BMT19" s="84"/>
      <c r="BMU19" s="84"/>
      <c r="BMV19" s="84"/>
      <c r="BMW19" s="84"/>
      <c r="BMX19" s="84"/>
      <c r="BMY19" s="84"/>
      <c r="BMZ19" s="84"/>
      <c r="BNA19" s="84"/>
      <c r="BNB19" s="84"/>
      <c r="BNC19" s="84"/>
      <c r="BND19" s="84"/>
      <c r="BNE19" s="84"/>
      <c r="BNF19" s="84"/>
      <c r="BNG19" s="84"/>
      <c r="BNH19" s="84"/>
      <c r="BNI19" s="84"/>
      <c r="BNJ19" s="84"/>
      <c r="BNK19" s="84"/>
      <c r="BNL19" s="84"/>
      <c r="BNM19" s="84"/>
      <c r="BNN19" s="84"/>
      <c r="BNO19" s="84"/>
      <c r="BNP19" s="84"/>
      <c r="BNQ19" s="84"/>
      <c r="BNR19" s="84"/>
      <c r="BNS19" s="84"/>
      <c r="BNT19" s="84"/>
      <c r="BNU19" s="84"/>
      <c r="BNV19" s="84"/>
      <c r="BNW19" s="84"/>
      <c r="BNX19" s="84"/>
      <c r="BNY19" s="84"/>
      <c r="BNZ19" s="84"/>
      <c r="BOA19" s="84"/>
      <c r="BOB19" s="84"/>
      <c r="BOC19" s="84"/>
      <c r="BOD19" s="84"/>
      <c r="BOE19" s="84"/>
      <c r="BOF19" s="84"/>
      <c r="BOG19" s="84"/>
      <c r="BOH19" s="84"/>
      <c r="BOI19" s="84"/>
      <c r="BOJ19" s="84"/>
      <c r="BOK19" s="84"/>
      <c r="BOL19" s="84"/>
      <c r="BOM19" s="84"/>
      <c r="BON19" s="84"/>
      <c r="BOO19" s="84"/>
      <c r="BOP19" s="84"/>
      <c r="BOQ19" s="84"/>
      <c r="BOR19" s="84"/>
      <c r="BOS19" s="84"/>
      <c r="BOT19" s="84"/>
      <c r="BOU19" s="84"/>
      <c r="BOV19" s="84"/>
      <c r="BOW19" s="84"/>
      <c r="BOX19" s="84"/>
      <c r="BOY19" s="84"/>
      <c r="BOZ19" s="84"/>
      <c r="BPA19" s="84"/>
      <c r="BPB19" s="84"/>
      <c r="BPC19" s="84"/>
      <c r="BPD19" s="84"/>
      <c r="BPE19" s="84"/>
      <c r="BPF19" s="84"/>
      <c r="BPG19" s="84"/>
      <c r="BPH19" s="84"/>
      <c r="BPI19" s="84"/>
      <c r="BPJ19" s="84"/>
      <c r="BPK19" s="84"/>
      <c r="BPL19" s="84"/>
      <c r="BPM19" s="84"/>
      <c r="BPN19" s="84"/>
      <c r="BPO19" s="84"/>
      <c r="BPP19" s="84"/>
      <c r="BPQ19" s="84"/>
      <c r="BPR19" s="84"/>
      <c r="BPS19" s="84"/>
      <c r="BPT19" s="84"/>
      <c r="BPU19" s="84"/>
      <c r="BPV19" s="84"/>
      <c r="BPW19" s="84"/>
      <c r="BPX19" s="84"/>
      <c r="BPY19" s="84"/>
      <c r="BPZ19" s="84"/>
      <c r="BQA19" s="84"/>
      <c r="BQB19" s="84"/>
      <c r="BQC19" s="84"/>
      <c r="BQD19" s="84"/>
      <c r="BQE19" s="84"/>
      <c r="BQF19" s="84"/>
      <c r="BQG19" s="84"/>
      <c r="BQH19" s="84"/>
      <c r="BQI19" s="84"/>
      <c r="BQJ19" s="84"/>
      <c r="BQK19" s="84"/>
      <c r="BQL19" s="84"/>
      <c r="BQM19" s="84"/>
      <c r="BQN19" s="84"/>
      <c r="BQO19" s="84"/>
      <c r="BQP19" s="84"/>
      <c r="BQQ19" s="84"/>
      <c r="BQR19" s="84"/>
      <c r="BQS19" s="84"/>
      <c r="BQT19" s="84"/>
      <c r="BQU19" s="84"/>
      <c r="BQV19" s="84"/>
      <c r="BQW19" s="84"/>
      <c r="BQX19" s="84"/>
      <c r="BQY19" s="84"/>
      <c r="BQZ19" s="84"/>
      <c r="BRA19" s="84"/>
      <c r="BRB19" s="84"/>
      <c r="BRC19" s="84"/>
      <c r="BRD19" s="84"/>
      <c r="BRE19" s="84"/>
      <c r="BRF19" s="84"/>
      <c r="BRG19" s="84"/>
      <c r="BRH19" s="84"/>
      <c r="BRI19" s="84"/>
      <c r="BRJ19" s="84"/>
      <c r="BRK19" s="84"/>
      <c r="BRL19" s="84"/>
      <c r="BRM19" s="84"/>
      <c r="BRN19" s="84"/>
      <c r="BRO19" s="84"/>
      <c r="BRP19" s="84"/>
      <c r="BRQ19" s="84"/>
      <c r="BRR19" s="84"/>
      <c r="BRS19" s="84"/>
      <c r="BRT19" s="84"/>
      <c r="BRU19" s="84"/>
      <c r="BRV19" s="84"/>
      <c r="BRW19" s="84"/>
      <c r="BRX19" s="84"/>
      <c r="BRY19" s="84"/>
      <c r="BRZ19" s="84"/>
      <c r="BSA19" s="84"/>
      <c r="BSB19" s="84"/>
      <c r="BSC19" s="84"/>
      <c r="BSD19" s="84"/>
      <c r="BSE19" s="84"/>
      <c r="BSF19" s="84"/>
      <c r="BSG19" s="84"/>
      <c r="BSH19" s="84"/>
      <c r="BSI19" s="84"/>
      <c r="BSJ19" s="84"/>
      <c r="BSK19" s="84"/>
      <c r="BSL19" s="84"/>
      <c r="BSM19" s="84"/>
      <c r="BSN19" s="84"/>
      <c r="BSO19" s="84"/>
      <c r="BSP19" s="84"/>
      <c r="BSQ19" s="84"/>
      <c r="BSR19" s="84"/>
      <c r="BSS19" s="84"/>
      <c r="BST19" s="84"/>
      <c r="BSU19" s="84"/>
      <c r="BSV19" s="84"/>
      <c r="BSW19" s="84"/>
      <c r="BSX19" s="84"/>
      <c r="BSY19" s="84"/>
      <c r="BSZ19" s="84"/>
      <c r="BTA19" s="84"/>
      <c r="BTB19" s="84"/>
      <c r="BTC19" s="84"/>
      <c r="BTD19" s="84"/>
      <c r="BTE19" s="84"/>
      <c r="BTF19" s="84"/>
      <c r="BTG19" s="84"/>
      <c r="BTH19" s="84"/>
      <c r="BTI19" s="84"/>
      <c r="BTJ19" s="84"/>
      <c r="BTK19" s="84"/>
      <c r="BTL19" s="84"/>
      <c r="BTM19" s="84"/>
      <c r="BTN19" s="84"/>
      <c r="BTO19" s="84"/>
      <c r="BTP19" s="84"/>
      <c r="BTQ19" s="84"/>
      <c r="BTR19" s="84"/>
      <c r="BTS19" s="84"/>
      <c r="BTT19" s="84"/>
      <c r="BTU19" s="84"/>
      <c r="BTV19" s="84"/>
      <c r="BTW19" s="84"/>
      <c r="BTX19" s="84"/>
      <c r="BTY19" s="84"/>
      <c r="BTZ19" s="84"/>
      <c r="BUA19" s="84"/>
      <c r="BUB19" s="84"/>
      <c r="BUC19" s="84"/>
      <c r="BUD19" s="84"/>
      <c r="BUE19" s="84"/>
      <c r="BUF19" s="84"/>
      <c r="BUG19" s="84"/>
      <c r="BUH19" s="84"/>
      <c r="BUI19" s="84"/>
      <c r="BUJ19" s="84"/>
      <c r="BUK19" s="84"/>
      <c r="BUL19" s="84"/>
      <c r="BUM19" s="84"/>
      <c r="BUN19" s="84"/>
      <c r="BUO19" s="84"/>
      <c r="BUP19" s="84"/>
      <c r="BUQ19" s="84"/>
      <c r="BUR19" s="84"/>
      <c r="BUS19" s="84"/>
      <c r="BUT19" s="84"/>
      <c r="BUU19" s="84"/>
      <c r="BUV19" s="84"/>
      <c r="BUW19" s="84"/>
      <c r="BUX19" s="84"/>
      <c r="BUY19" s="84"/>
      <c r="BUZ19" s="84"/>
      <c r="BVA19" s="84"/>
      <c r="BVB19" s="84"/>
      <c r="BVC19" s="84"/>
      <c r="BVD19" s="84"/>
      <c r="BVE19" s="84"/>
      <c r="BVF19" s="84"/>
      <c r="BVG19" s="84"/>
      <c r="BVH19" s="84"/>
      <c r="BVI19" s="84"/>
      <c r="BVJ19" s="84"/>
      <c r="BVK19" s="84"/>
      <c r="BVL19" s="84"/>
      <c r="BVM19" s="84"/>
      <c r="BVN19" s="84"/>
      <c r="BVO19" s="84"/>
      <c r="BVP19" s="84"/>
      <c r="BVQ19" s="84"/>
      <c r="BVR19" s="84"/>
      <c r="BVS19" s="84"/>
      <c r="BVT19" s="84"/>
      <c r="BVU19" s="84"/>
      <c r="BVV19" s="84"/>
      <c r="BVW19" s="84"/>
      <c r="BVX19" s="84"/>
      <c r="BVY19" s="84"/>
      <c r="BVZ19" s="84"/>
      <c r="BWA19" s="84"/>
      <c r="BWB19" s="84"/>
      <c r="BWC19" s="84"/>
      <c r="BWD19" s="84"/>
      <c r="BWE19" s="84"/>
      <c r="BWF19" s="84"/>
      <c r="BWG19" s="84"/>
      <c r="BWH19" s="84"/>
      <c r="BWI19" s="84"/>
      <c r="BWJ19" s="84"/>
      <c r="BWK19" s="84"/>
      <c r="BWL19" s="84"/>
      <c r="BWM19" s="84"/>
      <c r="BWN19" s="84"/>
      <c r="BWO19" s="84"/>
      <c r="BWP19" s="84"/>
      <c r="BWQ19" s="84"/>
      <c r="BWR19" s="84"/>
      <c r="BWS19" s="84"/>
      <c r="BWT19" s="84"/>
      <c r="BWU19" s="84"/>
      <c r="BWV19" s="84"/>
      <c r="BWW19" s="84"/>
      <c r="BWX19" s="84"/>
      <c r="BWY19" s="84"/>
      <c r="BWZ19" s="84"/>
      <c r="BXA19" s="84"/>
      <c r="BXB19" s="84"/>
      <c r="BXC19" s="84"/>
      <c r="BXD19" s="84"/>
      <c r="BXE19" s="84"/>
      <c r="BXF19" s="84"/>
      <c r="BXG19" s="84"/>
      <c r="BXH19" s="84"/>
      <c r="BXI19" s="84"/>
      <c r="BXJ19" s="84"/>
      <c r="BXK19" s="84"/>
      <c r="BXL19" s="84"/>
      <c r="BXM19" s="84"/>
      <c r="BXN19" s="84"/>
      <c r="BXO19" s="84"/>
      <c r="BXP19" s="84"/>
      <c r="BXQ19" s="84"/>
      <c r="BXR19" s="84"/>
      <c r="BXS19" s="84"/>
      <c r="BXT19" s="84"/>
      <c r="BXU19" s="84"/>
      <c r="BXV19" s="84"/>
      <c r="BXW19" s="84"/>
      <c r="BXX19" s="84"/>
      <c r="BXY19" s="84"/>
      <c r="BXZ19" s="84"/>
      <c r="BYA19" s="84"/>
      <c r="BYB19" s="84"/>
      <c r="BYC19" s="84"/>
      <c r="BYD19" s="84"/>
      <c r="BYE19" s="84"/>
      <c r="BYF19" s="84"/>
      <c r="BYG19" s="84"/>
      <c r="BYH19" s="84"/>
      <c r="BYI19" s="84"/>
      <c r="BYJ19" s="84"/>
      <c r="BYK19" s="84"/>
      <c r="BYL19" s="84"/>
      <c r="BYM19" s="84"/>
      <c r="BYN19" s="84"/>
      <c r="BYO19" s="84"/>
      <c r="BYP19" s="84"/>
      <c r="BYQ19" s="84"/>
      <c r="BYR19" s="84"/>
      <c r="BYS19" s="84"/>
      <c r="BYT19" s="84"/>
      <c r="BYU19" s="84"/>
      <c r="BYV19" s="84"/>
      <c r="BYW19" s="84"/>
      <c r="BYX19" s="84"/>
      <c r="BYY19" s="84"/>
      <c r="BYZ19" s="84"/>
      <c r="BZA19" s="84"/>
      <c r="BZB19" s="84"/>
      <c r="BZC19" s="84"/>
      <c r="BZD19" s="84"/>
      <c r="BZE19" s="84"/>
      <c r="BZF19" s="84"/>
      <c r="BZG19" s="84"/>
      <c r="BZH19" s="84"/>
      <c r="BZI19" s="84"/>
      <c r="BZJ19" s="84"/>
      <c r="BZK19" s="84"/>
      <c r="BZL19" s="84"/>
      <c r="BZM19" s="84"/>
      <c r="BZN19" s="84"/>
      <c r="BZO19" s="84"/>
      <c r="BZP19" s="84"/>
      <c r="BZQ19" s="84"/>
      <c r="BZR19" s="84"/>
      <c r="BZS19" s="84"/>
      <c r="BZT19" s="84"/>
      <c r="BZU19" s="84"/>
      <c r="BZV19" s="84"/>
      <c r="BZW19" s="84"/>
      <c r="BZX19" s="84"/>
      <c r="BZY19" s="84"/>
      <c r="BZZ19" s="84"/>
      <c r="CAA19" s="84"/>
      <c r="CAB19" s="84"/>
      <c r="CAC19" s="84"/>
      <c r="CAD19" s="84"/>
      <c r="CAE19" s="84"/>
      <c r="CAF19" s="84"/>
      <c r="CAG19" s="84"/>
      <c r="CAH19" s="84"/>
      <c r="CAI19" s="84"/>
      <c r="CAJ19" s="84"/>
      <c r="CAK19" s="84"/>
      <c r="CAL19" s="84"/>
      <c r="CAM19" s="84"/>
      <c r="CAN19" s="84"/>
      <c r="CAO19" s="84"/>
      <c r="CAP19" s="84"/>
      <c r="CAQ19" s="84"/>
      <c r="CAR19" s="84"/>
      <c r="CAS19" s="84"/>
      <c r="CAT19" s="84"/>
      <c r="CAU19" s="84"/>
      <c r="CAV19" s="84"/>
      <c r="CAW19" s="84"/>
      <c r="CAX19" s="84"/>
      <c r="CAY19" s="84"/>
      <c r="CAZ19" s="84"/>
      <c r="CBA19" s="84"/>
      <c r="CBB19" s="84"/>
      <c r="CBC19" s="84"/>
      <c r="CBD19" s="84"/>
      <c r="CBE19" s="84"/>
      <c r="CBF19" s="84"/>
      <c r="CBG19" s="84"/>
      <c r="CBH19" s="84"/>
      <c r="CBI19" s="84"/>
      <c r="CBJ19" s="84"/>
      <c r="CBK19" s="84"/>
      <c r="CBL19" s="84"/>
      <c r="CBM19" s="84"/>
      <c r="CBN19" s="84"/>
      <c r="CBO19" s="84"/>
      <c r="CBP19" s="84"/>
      <c r="CBQ19" s="84"/>
      <c r="CBR19" s="84"/>
      <c r="CBS19" s="84"/>
      <c r="CBT19" s="84"/>
      <c r="CBU19" s="84"/>
      <c r="CBV19" s="84"/>
      <c r="CBW19" s="84"/>
      <c r="CBX19" s="84"/>
      <c r="CBY19" s="84"/>
      <c r="CBZ19" s="84"/>
      <c r="CCA19" s="84"/>
      <c r="CCB19" s="84"/>
      <c r="CCC19" s="84"/>
      <c r="CCD19" s="84"/>
      <c r="CCE19" s="84"/>
      <c r="CCF19" s="84"/>
      <c r="CCG19" s="84"/>
      <c r="CCH19" s="84"/>
      <c r="CCI19" s="84"/>
      <c r="CCJ19" s="84"/>
      <c r="CCK19" s="84"/>
      <c r="CCL19" s="84"/>
      <c r="CCM19" s="84"/>
      <c r="CCN19" s="84"/>
      <c r="CCO19" s="84"/>
      <c r="CCP19" s="84"/>
      <c r="CCQ19" s="84"/>
      <c r="CCR19" s="84"/>
      <c r="CCS19" s="84"/>
      <c r="CCT19" s="84"/>
      <c r="CCU19" s="84"/>
      <c r="CCV19" s="84"/>
      <c r="CCW19" s="84"/>
      <c r="CCX19" s="84"/>
      <c r="CCY19" s="84"/>
      <c r="CCZ19" s="84"/>
      <c r="CDA19" s="84"/>
      <c r="CDB19" s="84"/>
      <c r="CDC19" s="84"/>
      <c r="CDD19" s="84"/>
      <c r="CDE19" s="84"/>
      <c r="CDF19" s="84"/>
      <c r="CDG19" s="84"/>
      <c r="CDH19" s="84"/>
      <c r="CDI19" s="84"/>
      <c r="CDJ19" s="84"/>
      <c r="CDK19" s="84"/>
      <c r="CDL19" s="84"/>
      <c r="CDM19" s="84"/>
      <c r="CDN19" s="84"/>
      <c r="CDO19" s="84"/>
      <c r="CDP19" s="84"/>
      <c r="CDQ19" s="84"/>
      <c r="CDR19" s="84"/>
      <c r="CDS19" s="84"/>
      <c r="CDT19" s="84"/>
      <c r="CDU19" s="84"/>
      <c r="CDV19" s="84"/>
      <c r="CDW19" s="84"/>
      <c r="CDX19" s="84"/>
      <c r="CDY19" s="84"/>
      <c r="CDZ19" s="84"/>
      <c r="CEA19" s="84"/>
      <c r="CEB19" s="84"/>
      <c r="CEC19" s="84"/>
      <c r="CED19" s="84"/>
      <c r="CEE19" s="84"/>
      <c r="CEF19" s="84"/>
      <c r="CEG19" s="84"/>
      <c r="CEH19" s="84"/>
      <c r="CEI19" s="84"/>
      <c r="CEJ19" s="84"/>
      <c r="CEK19" s="84"/>
      <c r="CEL19" s="84"/>
      <c r="CEM19" s="84"/>
      <c r="CEN19" s="84"/>
      <c r="CEO19" s="84"/>
      <c r="CEP19" s="84"/>
      <c r="CEQ19" s="84"/>
      <c r="CER19" s="84"/>
      <c r="CES19" s="84"/>
      <c r="CET19" s="84"/>
      <c r="CEU19" s="84"/>
      <c r="CEV19" s="84"/>
      <c r="CEW19" s="84"/>
      <c r="CEX19" s="84"/>
      <c r="CEY19" s="84"/>
      <c r="CEZ19" s="84"/>
      <c r="CFA19" s="84"/>
      <c r="CFB19" s="84"/>
      <c r="CFC19" s="84"/>
      <c r="CFD19" s="84"/>
      <c r="CFE19" s="84"/>
      <c r="CFF19" s="84"/>
      <c r="CFG19" s="84"/>
      <c r="CFH19" s="84"/>
      <c r="CFI19" s="84"/>
      <c r="CFJ19" s="84"/>
      <c r="CFK19" s="84"/>
      <c r="CFL19" s="84"/>
      <c r="CFM19" s="84"/>
      <c r="CFN19" s="84"/>
      <c r="CFO19" s="84"/>
      <c r="CFP19" s="84"/>
      <c r="CFQ19" s="84"/>
      <c r="CFR19" s="84"/>
      <c r="CFS19" s="84"/>
      <c r="CFT19" s="84"/>
      <c r="CFU19" s="84"/>
      <c r="CFV19" s="84"/>
      <c r="CFW19" s="84"/>
      <c r="CFX19" s="84"/>
      <c r="CFY19" s="84"/>
      <c r="CFZ19" s="84"/>
      <c r="CGA19" s="84"/>
      <c r="CGB19" s="84"/>
      <c r="CGC19" s="84"/>
      <c r="CGD19" s="84"/>
      <c r="CGE19" s="84"/>
      <c r="CGF19" s="84"/>
      <c r="CGG19" s="84"/>
      <c r="CGH19" s="84"/>
      <c r="CGI19" s="84"/>
      <c r="CGJ19" s="84"/>
      <c r="CGK19" s="84"/>
      <c r="CGL19" s="84"/>
      <c r="CGM19" s="84"/>
      <c r="CGN19" s="84"/>
      <c r="CGO19" s="84"/>
      <c r="CGP19" s="84"/>
      <c r="CGQ19" s="84"/>
      <c r="CGR19" s="84"/>
      <c r="CGS19" s="84"/>
      <c r="CGT19" s="84"/>
      <c r="CGU19" s="84"/>
      <c r="CGV19" s="84"/>
      <c r="CGW19" s="84"/>
      <c r="CGX19" s="84"/>
      <c r="CGY19" s="84"/>
      <c r="CGZ19" s="84"/>
      <c r="CHA19" s="84"/>
      <c r="CHB19" s="84"/>
      <c r="CHC19" s="84"/>
      <c r="CHD19" s="84"/>
      <c r="CHE19" s="84"/>
      <c r="CHF19" s="84"/>
      <c r="CHG19" s="84"/>
      <c r="CHH19" s="84"/>
      <c r="CHI19" s="84"/>
      <c r="CHJ19" s="84"/>
      <c r="CHK19" s="84"/>
      <c r="CHL19" s="84"/>
      <c r="CHM19" s="84"/>
      <c r="CHN19" s="84"/>
      <c r="CHO19" s="84"/>
      <c r="CHP19" s="84"/>
      <c r="CHQ19" s="84"/>
      <c r="CHR19" s="84"/>
      <c r="CHS19" s="84"/>
      <c r="CHT19" s="84"/>
      <c r="CHU19" s="84"/>
      <c r="CHV19" s="84"/>
      <c r="CHW19" s="84"/>
      <c r="CHX19" s="84"/>
      <c r="CHY19" s="84"/>
      <c r="CHZ19" s="84"/>
      <c r="CIA19" s="84"/>
      <c r="CIB19" s="84"/>
      <c r="CIC19" s="84"/>
      <c r="CID19" s="84"/>
      <c r="CIE19" s="84"/>
      <c r="CIF19" s="84"/>
      <c r="CIG19" s="84"/>
      <c r="CIH19" s="84"/>
      <c r="CII19" s="84"/>
      <c r="CIJ19" s="84"/>
      <c r="CIK19" s="84"/>
      <c r="CIL19" s="84"/>
      <c r="CIM19" s="84"/>
      <c r="CIN19" s="84"/>
      <c r="CIO19" s="84"/>
      <c r="CIP19" s="84"/>
      <c r="CIQ19" s="84"/>
      <c r="CIR19" s="84"/>
      <c r="CIS19" s="84"/>
      <c r="CIT19" s="84"/>
      <c r="CIU19" s="84"/>
      <c r="CIV19" s="84"/>
      <c r="CIW19" s="84"/>
      <c r="CIX19" s="84"/>
      <c r="CIY19" s="84"/>
      <c r="CIZ19" s="84"/>
      <c r="CJA19" s="84"/>
      <c r="CJB19" s="84"/>
      <c r="CJC19" s="84"/>
      <c r="CJD19" s="84"/>
      <c r="CJE19" s="84"/>
      <c r="CJF19" s="84"/>
      <c r="CJG19" s="84"/>
      <c r="CJH19" s="84"/>
      <c r="CJI19" s="84"/>
      <c r="CJJ19" s="84"/>
      <c r="CJK19" s="84"/>
      <c r="CJL19" s="84"/>
      <c r="CJM19" s="84"/>
      <c r="CJN19" s="84"/>
      <c r="CJO19" s="84"/>
      <c r="CJP19" s="84"/>
      <c r="CJQ19" s="84"/>
      <c r="CJR19" s="84"/>
      <c r="CJS19" s="84"/>
      <c r="CJT19" s="84"/>
      <c r="CJU19" s="84"/>
      <c r="CJV19" s="84"/>
      <c r="CJW19" s="84"/>
      <c r="CJX19" s="84"/>
      <c r="CJY19" s="84"/>
      <c r="CJZ19" s="84"/>
      <c r="CKA19" s="84"/>
      <c r="CKB19" s="84"/>
      <c r="CKC19" s="84"/>
      <c r="CKD19" s="84"/>
      <c r="CKE19" s="84"/>
      <c r="CKF19" s="84"/>
      <c r="CKG19" s="84"/>
      <c r="CKH19" s="84"/>
      <c r="CKI19" s="84"/>
      <c r="CKJ19" s="84"/>
      <c r="CKK19" s="84"/>
      <c r="CKL19" s="84"/>
      <c r="CKM19" s="84"/>
      <c r="CKN19" s="84"/>
      <c r="CKO19" s="84"/>
      <c r="CKP19" s="84"/>
      <c r="CKQ19" s="84"/>
      <c r="CKR19" s="84"/>
      <c r="CKS19" s="84"/>
      <c r="CKT19" s="84"/>
      <c r="CKU19" s="84"/>
      <c r="CKV19" s="84"/>
      <c r="CKW19" s="84"/>
      <c r="CKX19" s="84"/>
      <c r="CKY19" s="84"/>
      <c r="CKZ19" s="84"/>
      <c r="CLA19" s="84"/>
      <c r="CLB19" s="84"/>
      <c r="CLC19" s="84"/>
      <c r="CLD19" s="84"/>
      <c r="CLE19" s="84"/>
      <c r="CLF19" s="84"/>
      <c r="CLG19" s="84"/>
      <c r="CLH19" s="84"/>
      <c r="CLI19" s="84"/>
      <c r="CLJ19" s="84"/>
      <c r="CLK19" s="84"/>
      <c r="CLL19" s="84"/>
      <c r="CLM19" s="84"/>
      <c r="CLN19" s="84"/>
      <c r="CLO19" s="84"/>
      <c r="CLP19" s="84"/>
      <c r="CLQ19" s="84"/>
      <c r="CLR19" s="84"/>
      <c r="CLS19" s="84"/>
      <c r="CLT19" s="84"/>
      <c r="CLU19" s="84"/>
      <c r="CLV19" s="84"/>
      <c r="CLW19" s="84"/>
      <c r="CLX19" s="84"/>
      <c r="CLY19" s="84"/>
      <c r="CLZ19" s="84"/>
      <c r="CMA19" s="84"/>
      <c r="CMB19" s="84"/>
      <c r="CMC19" s="84"/>
      <c r="CMD19" s="84"/>
      <c r="CME19" s="84"/>
      <c r="CMF19" s="84"/>
      <c r="CMG19" s="84"/>
      <c r="CMH19" s="84"/>
      <c r="CMI19" s="84"/>
      <c r="CMJ19" s="84"/>
      <c r="CMK19" s="84"/>
      <c r="CML19" s="84"/>
      <c r="CMM19" s="84"/>
      <c r="CMN19" s="84"/>
      <c r="CMO19" s="84"/>
      <c r="CMP19" s="84"/>
      <c r="CMQ19" s="84"/>
      <c r="CMR19" s="84"/>
      <c r="CMS19" s="84"/>
      <c r="CMT19" s="84"/>
      <c r="CMU19" s="84"/>
      <c r="CMV19" s="84"/>
      <c r="CMW19" s="84"/>
      <c r="CMX19" s="84"/>
      <c r="CMY19" s="84"/>
      <c r="CMZ19" s="84"/>
      <c r="CNA19" s="84"/>
      <c r="CNB19" s="84"/>
      <c r="CNC19" s="84"/>
      <c r="CND19" s="84"/>
      <c r="CNE19" s="84"/>
      <c r="CNF19" s="84"/>
      <c r="CNG19" s="84"/>
      <c r="CNH19" s="84"/>
      <c r="CNI19" s="84"/>
      <c r="CNJ19" s="84"/>
      <c r="CNK19" s="84"/>
      <c r="CNL19" s="84"/>
      <c r="CNM19" s="84"/>
      <c r="CNN19" s="84"/>
      <c r="CNO19" s="84"/>
      <c r="CNP19" s="84"/>
      <c r="CNQ19" s="84"/>
      <c r="CNR19" s="84"/>
      <c r="CNS19" s="84"/>
      <c r="CNT19" s="84"/>
      <c r="CNU19" s="84"/>
      <c r="CNV19" s="84"/>
      <c r="CNW19" s="84"/>
      <c r="CNX19" s="84"/>
      <c r="CNY19" s="84"/>
      <c r="CNZ19" s="84"/>
      <c r="COA19" s="84"/>
      <c r="COB19" s="84"/>
      <c r="COC19" s="84"/>
      <c r="COD19" s="84"/>
      <c r="COE19" s="84"/>
      <c r="COF19" s="84"/>
      <c r="COG19" s="84"/>
      <c r="COH19" s="84"/>
      <c r="COI19" s="84"/>
      <c r="COJ19" s="84"/>
      <c r="COK19" s="84"/>
      <c r="COL19" s="84"/>
      <c r="COM19" s="84"/>
      <c r="CON19" s="84"/>
      <c r="COO19" s="84"/>
      <c r="COP19" s="84"/>
      <c r="COQ19" s="84"/>
      <c r="COR19" s="84"/>
      <c r="COS19" s="84"/>
      <c r="COT19" s="84"/>
      <c r="COU19" s="84"/>
      <c r="COV19" s="84"/>
      <c r="COW19" s="84"/>
      <c r="COX19" s="84"/>
      <c r="COY19" s="84"/>
      <c r="COZ19" s="84"/>
      <c r="CPA19" s="84"/>
      <c r="CPB19" s="84"/>
      <c r="CPC19" s="84"/>
      <c r="CPD19" s="84"/>
      <c r="CPE19" s="84"/>
      <c r="CPF19" s="84"/>
      <c r="CPG19" s="84"/>
      <c r="CPH19" s="84"/>
      <c r="CPI19" s="84"/>
      <c r="CPJ19" s="84"/>
      <c r="CPK19" s="84"/>
      <c r="CPL19" s="84"/>
      <c r="CPM19" s="84"/>
      <c r="CPN19" s="84"/>
      <c r="CPO19" s="84"/>
      <c r="CPP19" s="84"/>
      <c r="CPQ19" s="84"/>
      <c r="CPR19" s="84"/>
      <c r="CPS19" s="84"/>
      <c r="CPT19" s="84"/>
      <c r="CPU19" s="84"/>
      <c r="CPV19" s="84"/>
      <c r="CPW19" s="84"/>
      <c r="CPX19" s="84"/>
      <c r="CPY19" s="84"/>
      <c r="CPZ19" s="84"/>
      <c r="CQA19" s="84"/>
      <c r="CQB19" s="84"/>
      <c r="CQC19" s="84"/>
      <c r="CQD19" s="84"/>
      <c r="CQE19" s="84"/>
      <c r="CQF19" s="84"/>
      <c r="CQG19" s="84"/>
      <c r="CQH19" s="84"/>
      <c r="CQI19" s="84"/>
      <c r="CQJ19" s="84"/>
      <c r="CQK19" s="84"/>
      <c r="CQL19" s="84"/>
      <c r="CQM19" s="84"/>
      <c r="CQN19" s="84"/>
      <c r="CQO19" s="84"/>
      <c r="CQP19" s="84"/>
      <c r="CQQ19" s="84"/>
      <c r="CQR19" s="84"/>
      <c r="CQS19" s="84"/>
      <c r="CQT19" s="84"/>
      <c r="CQU19" s="84"/>
      <c r="CQV19" s="84"/>
      <c r="CQW19" s="84"/>
      <c r="CQX19" s="84"/>
      <c r="CQY19" s="84"/>
      <c r="CQZ19" s="84"/>
      <c r="CRA19" s="84"/>
      <c r="CRB19" s="84"/>
      <c r="CRC19" s="84"/>
      <c r="CRD19" s="84"/>
      <c r="CRE19" s="84"/>
      <c r="CRF19" s="84"/>
      <c r="CRG19" s="84"/>
      <c r="CRH19" s="84"/>
      <c r="CRI19" s="84"/>
      <c r="CRJ19" s="84"/>
      <c r="CRK19" s="84"/>
      <c r="CRL19" s="84"/>
      <c r="CRM19" s="84"/>
      <c r="CRN19" s="84"/>
      <c r="CRO19" s="84"/>
      <c r="CRP19" s="84"/>
      <c r="CRQ19" s="84"/>
      <c r="CRR19" s="84"/>
      <c r="CRS19" s="84"/>
      <c r="CRT19" s="84"/>
      <c r="CRU19" s="84"/>
      <c r="CRV19" s="84"/>
      <c r="CRW19" s="84"/>
      <c r="CRX19" s="84"/>
      <c r="CRY19" s="84"/>
      <c r="CRZ19" s="84"/>
      <c r="CSA19" s="84"/>
      <c r="CSB19" s="84"/>
      <c r="CSC19" s="84"/>
      <c r="CSD19" s="84"/>
      <c r="CSE19" s="84"/>
      <c r="CSF19" s="84"/>
      <c r="CSG19" s="84"/>
      <c r="CSH19" s="84"/>
      <c r="CSI19" s="84"/>
      <c r="CSJ19" s="84"/>
      <c r="CSK19" s="84"/>
      <c r="CSL19" s="84"/>
      <c r="CSM19" s="84"/>
      <c r="CSN19" s="84"/>
      <c r="CSO19" s="84"/>
      <c r="CSP19" s="84"/>
      <c r="CSQ19" s="84"/>
      <c r="CSR19" s="84"/>
      <c r="CSS19" s="84"/>
      <c r="CST19" s="84"/>
      <c r="CSU19" s="84"/>
      <c r="CSV19" s="84"/>
      <c r="CSW19" s="84"/>
      <c r="CSX19" s="84"/>
      <c r="CSY19" s="84"/>
      <c r="CSZ19" s="84"/>
      <c r="CTA19" s="84"/>
      <c r="CTB19" s="84"/>
      <c r="CTC19" s="84"/>
      <c r="CTD19" s="84"/>
      <c r="CTE19" s="84"/>
      <c r="CTF19" s="84"/>
      <c r="CTG19" s="84"/>
      <c r="CTH19" s="84"/>
      <c r="CTI19" s="84"/>
      <c r="CTJ19" s="84"/>
      <c r="CTK19" s="84"/>
      <c r="CTL19" s="84"/>
      <c r="CTM19" s="84"/>
      <c r="CTN19" s="84"/>
      <c r="CTO19" s="84"/>
      <c r="CTP19" s="84"/>
      <c r="CTQ19" s="84"/>
      <c r="CTR19" s="84"/>
      <c r="CTS19" s="84"/>
      <c r="CTT19" s="84"/>
      <c r="CTU19" s="84"/>
      <c r="CTV19" s="84"/>
      <c r="CTW19" s="84"/>
      <c r="CTX19" s="84"/>
      <c r="CTY19" s="84"/>
      <c r="CTZ19" s="84"/>
      <c r="CUA19" s="84"/>
      <c r="CUB19" s="84"/>
      <c r="CUC19" s="84"/>
      <c r="CUD19" s="84"/>
      <c r="CUE19" s="84"/>
      <c r="CUF19" s="84"/>
      <c r="CUG19" s="84"/>
      <c r="CUH19" s="84"/>
      <c r="CUI19" s="84"/>
      <c r="CUJ19" s="84"/>
      <c r="CUK19" s="84"/>
      <c r="CUL19" s="84"/>
      <c r="CUM19" s="84"/>
      <c r="CUN19" s="84"/>
      <c r="CUO19" s="84"/>
      <c r="CUP19" s="84"/>
      <c r="CUQ19" s="84"/>
      <c r="CUR19" s="84"/>
      <c r="CUS19" s="84"/>
      <c r="CUT19" s="84"/>
      <c r="CUU19" s="84"/>
      <c r="CUV19" s="84"/>
      <c r="CUW19" s="84"/>
      <c r="CUX19" s="84"/>
      <c r="CUY19" s="84"/>
      <c r="CUZ19" s="84"/>
      <c r="CVA19" s="84"/>
      <c r="CVB19" s="84"/>
      <c r="CVC19" s="84"/>
      <c r="CVD19" s="84"/>
      <c r="CVE19" s="84"/>
      <c r="CVF19" s="84"/>
      <c r="CVG19" s="84"/>
      <c r="CVH19" s="84"/>
      <c r="CVI19" s="84"/>
      <c r="CVJ19" s="84"/>
      <c r="CVK19" s="84"/>
      <c r="CVL19" s="84"/>
      <c r="CVM19" s="84"/>
      <c r="CVN19" s="84"/>
      <c r="CVO19" s="84"/>
      <c r="CVP19" s="84"/>
      <c r="CVQ19" s="84"/>
      <c r="CVR19" s="84"/>
      <c r="CVS19" s="84"/>
      <c r="CVT19" s="84"/>
      <c r="CVU19" s="84"/>
      <c r="CVV19" s="84"/>
      <c r="CVW19" s="84"/>
      <c r="CVX19" s="84"/>
      <c r="CVY19" s="84"/>
      <c r="CVZ19" s="84"/>
      <c r="CWA19" s="84"/>
      <c r="CWB19" s="84"/>
      <c r="CWC19" s="84"/>
      <c r="CWD19" s="84"/>
      <c r="CWE19" s="84"/>
      <c r="CWF19" s="84"/>
      <c r="CWG19" s="84"/>
      <c r="CWH19" s="84"/>
      <c r="CWI19" s="84"/>
      <c r="CWJ19" s="84"/>
      <c r="CWK19" s="84"/>
      <c r="CWL19" s="84"/>
      <c r="CWM19" s="84"/>
      <c r="CWN19" s="84"/>
      <c r="CWO19" s="84"/>
      <c r="CWP19" s="84"/>
      <c r="CWQ19" s="84"/>
      <c r="CWR19" s="84"/>
      <c r="CWS19" s="84"/>
      <c r="CWT19" s="84"/>
      <c r="CWU19" s="84"/>
      <c r="CWV19" s="84"/>
      <c r="CWW19" s="84"/>
      <c r="CWX19" s="84"/>
      <c r="CWY19" s="84"/>
      <c r="CWZ19" s="84"/>
      <c r="CXA19" s="84"/>
      <c r="CXB19" s="84"/>
      <c r="CXC19" s="84"/>
      <c r="CXD19" s="84"/>
      <c r="CXE19" s="84"/>
      <c r="CXF19" s="84"/>
      <c r="CXG19" s="84"/>
      <c r="CXH19" s="84"/>
      <c r="CXI19" s="84"/>
      <c r="CXJ19" s="84"/>
      <c r="CXK19" s="84"/>
      <c r="CXL19" s="84"/>
      <c r="CXM19" s="84"/>
      <c r="CXN19" s="84"/>
      <c r="CXO19" s="84"/>
      <c r="CXP19" s="84"/>
      <c r="CXQ19" s="84"/>
      <c r="CXR19" s="84"/>
      <c r="CXS19" s="84"/>
      <c r="CXT19" s="84"/>
      <c r="CXU19" s="84"/>
      <c r="CXV19" s="84"/>
      <c r="CXW19" s="84"/>
      <c r="CXX19" s="84"/>
      <c r="CXY19" s="84"/>
      <c r="CXZ19" s="84"/>
      <c r="CYA19" s="84"/>
      <c r="CYB19" s="84"/>
      <c r="CYC19" s="84"/>
      <c r="CYD19" s="84"/>
      <c r="CYE19" s="84"/>
      <c r="CYF19" s="84"/>
      <c r="CYG19" s="84"/>
      <c r="CYH19" s="84"/>
      <c r="CYI19" s="84"/>
      <c r="CYJ19" s="84"/>
      <c r="CYK19" s="84"/>
      <c r="CYL19" s="84"/>
      <c r="CYM19" s="84"/>
      <c r="CYN19" s="84"/>
      <c r="CYO19" s="84"/>
      <c r="CYP19" s="84"/>
      <c r="CYQ19" s="84"/>
      <c r="CYR19" s="84"/>
      <c r="CYS19" s="84"/>
      <c r="CYT19" s="84"/>
      <c r="CYU19" s="84"/>
      <c r="CYV19" s="84"/>
      <c r="CYW19" s="84"/>
      <c r="CYX19" s="84"/>
      <c r="CYY19" s="84"/>
      <c r="CYZ19" s="84"/>
      <c r="CZA19" s="84"/>
      <c r="CZB19" s="84"/>
      <c r="CZC19" s="84"/>
      <c r="CZD19" s="84"/>
      <c r="CZE19" s="84"/>
      <c r="CZF19" s="84"/>
      <c r="CZG19" s="84"/>
      <c r="CZH19" s="84"/>
      <c r="CZI19" s="84"/>
      <c r="CZJ19" s="84"/>
      <c r="CZK19" s="84"/>
      <c r="CZL19" s="84"/>
      <c r="CZM19" s="84"/>
      <c r="CZN19" s="84"/>
      <c r="CZO19" s="84"/>
      <c r="CZP19" s="84"/>
      <c r="CZQ19" s="84"/>
      <c r="CZR19" s="84"/>
      <c r="CZS19" s="84"/>
      <c r="CZT19" s="84"/>
      <c r="CZU19" s="84"/>
      <c r="CZV19" s="84"/>
      <c r="CZW19" s="84"/>
      <c r="CZX19" s="84"/>
      <c r="CZY19" s="84"/>
      <c r="CZZ19" s="84"/>
      <c r="DAA19" s="84"/>
      <c r="DAB19" s="84"/>
      <c r="DAC19" s="84"/>
      <c r="DAD19" s="84"/>
      <c r="DAE19" s="84"/>
      <c r="DAF19" s="84"/>
      <c r="DAG19" s="84"/>
      <c r="DAH19" s="84"/>
      <c r="DAI19" s="84"/>
      <c r="DAJ19" s="84"/>
      <c r="DAK19" s="84"/>
      <c r="DAL19" s="84"/>
      <c r="DAM19" s="84"/>
      <c r="DAN19" s="84"/>
      <c r="DAO19" s="84"/>
      <c r="DAP19" s="84"/>
      <c r="DAQ19" s="84"/>
      <c r="DAR19" s="84"/>
      <c r="DAS19" s="84"/>
      <c r="DAT19" s="84"/>
      <c r="DAU19" s="84"/>
      <c r="DAV19" s="84"/>
      <c r="DAW19" s="84"/>
      <c r="DAX19" s="84"/>
      <c r="DAY19" s="84"/>
      <c r="DAZ19" s="84"/>
      <c r="DBA19" s="84"/>
      <c r="DBB19" s="84"/>
      <c r="DBC19" s="84"/>
      <c r="DBD19" s="84"/>
      <c r="DBE19" s="84"/>
      <c r="DBF19" s="84"/>
      <c r="DBG19" s="84"/>
      <c r="DBH19" s="84"/>
      <c r="DBI19" s="84"/>
      <c r="DBJ19" s="84"/>
      <c r="DBK19" s="84"/>
      <c r="DBL19" s="84"/>
      <c r="DBM19" s="84"/>
      <c r="DBN19" s="84"/>
      <c r="DBO19" s="84"/>
      <c r="DBP19" s="84"/>
      <c r="DBQ19" s="84"/>
      <c r="DBR19" s="84"/>
      <c r="DBS19" s="84"/>
      <c r="DBT19" s="84"/>
      <c r="DBU19" s="84"/>
      <c r="DBV19" s="84"/>
      <c r="DBW19" s="84"/>
      <c r="DBX19" s="84"/>
      <c r="DBY19" s="84"/>
      <c r="DBZ19" s="84"/>
      <c r="DCA19" s="84"/>
      <c r="DCB19" s="84"/>
      <c r="DCC19" s="84"/>
      <c r="DCD19" s="84"/>
      <c r="DCE19" s="84"/>
      <c r="DCF19" s="84"/>
      <c r="DCG19" s="84"/>
      <c r="DCH19" s="84"/>
      <c r="DCI19" s="84"/>
      <c r="DCJ19" s="84"/>
      <c r="DCK19" s="84"/>
      <c r="DCL19" s="84"/>
      <c r="DCM19" s="84"/>
      <c r="DCN19" s="84"/>
      <c r="DCO19" s="84"/>
      <c r="DCP19" s="84"/>
      <c r="DCQ19" s="84"/>
      <c r="DCR19" s="84"/>
      <c r="DCS19" s="84"/>
      <c r="DCT19" s="84"/>
      <c r="DCU19" s="84"/>
      <c r="DCV19" s="84"/>
      <c r="DCW19" s="84"/>
      <c r="DCX19" s="84"/>
      <c r="DCY19" s="84"/>
      <c r="DCZ19" s="84"/>
      <c r="DDA19" s="84"/>
      <c r="DDB19" s="84"/>
      <c r="DDC19" s="84"/>
      <c r="DDD19" s="84"/>
      <c r="DDE19" s="84"/>
      <c r="DDF19" s="84"/>
      <c r="DDG19" s="84"/>
      <c r="DDH19" s="84"/>
      <c r="DDI19" s="84"/>
      <c r="DDJ19" s="84"/>
      <c r="DDK19" s="84"/>
      <c r="DDL19" s="84"/>
      <c r="DDM19" s="84"/>
      <c r="DDN19" s="84"/>
      <c r="DDO19" s="84"/>
      <c r="DDP19" s="84"/>
      <c r="DDQ19" s="84"/>
      <c r="DDR19" s="84"/>
      <c r="DDS19" s="84"/>
      <c r="DDT19" s="84"/>
      <c r="DDU19" s="84"/>
      <c r="DDV19" s="84"/>
      <c r="DDW19" s="84"/>
      <c r="DDX19" s="84"/>
      <c r="DDY19" s="84"/>
      <c r="DDZ19" s="84"/>
      <c r="DEA19" s="84"/>
      <c r="DEB19" s="84"/>
      <c r="DEC19" s="84"/>
      <c r="DED19" s="84"/>
      <c r="DEE19" s="84"/>
      <c r="DEF19" s="84"/>
      <c r="DEG19" s="84"/>
      <c r="DEH19" s="84"/>
      <c r="DEI19" s="84"/>
      <c r="DEJ19" s="84"/>
      <c r="DEK19" s="84"/>
      <c r="DEL19" s="84"/>
      <c r="DEM19" s="84"/>
      <c r="DEN19" s="84"/>
      <c r="DEO19" s="84"/>
      <c r="DEP19" s="84"/>
      <c r="DEQ19" s="84"/>
      <c r="DER19" s="84"/>
      <c r="DES19" s="84"/>
      <c r="DET19" s="84"/>
      <c r="DEU19" s="84"/>
      <c r="DEV19" s="84"/>
      <c r="DEW19" s="84"/>
      <c r="DEX19" s="84"/>
      <c r="DEY19" s="84"/>
      <c r="DEZ19" s="84"/>
      <c r="DFA19" s="84"/>
      <c r="DFB19" s="84"/>
      <c r="DFC19" s="84"/>
      <c r="DFD19" s="84"/>
      <c r="DFE19" s="84"/>
      <c r="DFF19" s="84"/>
      <c r="DFG19" s="84"/>
      <c r="DFH19" s="84"/>
      <c r="DFI19" s="84"/>
      <c r="DFJ19" s="84"/>
      <c r="DFK19" s="84"/>
      <c r="DFL19" s="84"/>
      <c r="DFM19" s="84"/>
      <c r="DFN19" s="84"/>
      <c r="DFO19" s="84"/>
      <c r="DFP19" s="84"/>
      <c r="DFQ19" s="84"/>
      <c r="DFR19" s="84"/>
      <c r="DFS19" s="84"/>
      <c r="DFT19" s="84"/>
      <c r="DFU19" s="84"/>
      <c r="DFV19" s="84"/>
      <c r="DFW19" s="84"/>
      <c r="DFX19" s="84"/>
      <c r="DFY19" s="84"/>
      <c r="DFZ19" s="84"/>
      <c r="DGA19" s="84"/>
      <c r="DGB19" s="84"/>
      <c r="DGC19" s="84"/>
      <c r="DGD19" s="84"/>
      <c r="DGE19" s="84"/>
      <c r="DGF19" s="84"/>
      <c r="DGG19" s="84"/>
      <c r="DGH19" s="84"/>
      <c r="DGI19" s="84"/>
      <c r="DGJ19" s="84"/>
      <c r="DGK19" s="84"/>
      <c r="DGL19" s="84"/>
      <c r="DGM19" s="84"/>
      <c r="DGN19" s="84"/>
      <c r="DGO19" s="84"/>
      <c r="DGP19" s="84"/>
      <c r="DGQ19" s="84"/>
      <c r="DGR19" s="84"/>
      <c r="DGS19" s="84"/>
      <c r="DGT19" s="84"/>
      <c r="DGU19" s="84"/>
      <c r="DGV19" s="84"/>
      <c r="DGW19" s="84"/>
      <c r="DGX19" s="84"/>
      <c r="DGY19" s="84"/>
      <c r="DGZ19" s="84"/>
      <c r="DHA19" s="84"/>
      <c r="DHB19" s="84"/>
      <c r="DHC19" s="84"/>
      <c r="DHD19" s="84"/>
      <c r="DHE19" s="84"/>
      <c r="DHF19" s="84"/>
      <c r="DHG19" s="84"/>
      <c r="DHH19" s="84"/>
      <c r="DHI19" s="84"/>
      <c r="DHJ19" s="84"/>
      <c r="DHK19" s="84"/>
      <c r="DHL19" s="84"/>
      <c r="DHM19" s="84"/>
      <c r="DHN19" s="84"/>
      <c r="DHO19" s="84"/>
      <c r="DHP19" s="84"/>
      <c r="DHQ19" s="84"/>
      <c r="DHR19" s="84"/>
      <c r="DHS19" s="84"/>
      <c r="DHT19" s="84"/>
      <c r="DHU19" s="84"/>
      <c r="DHV19" s="84"/>
      <c r="DHW19" s="84"/>
      <c r="DHX19" s="84"/>
      <c r="DHY19" s="84"/>
      <c r="DHZ19" s="84"/>
      <c r="DIA19" s="84"/>
      <c r="DIB19" s="84"/>
      <c r="DIC19" s="84"/>
      <c r="DID19" s="84"/>
      <c r="DIE19" s="84"/>
      <c r="DIF19" s="84"/>
      <c r="DIG19" s="84"/>
      <c r="DIH19" s="84"/>
      <c r="DII19" s="84"/>
      <c r="DIJ19" s="84"/>
      <c r="DIK19" s="84"/>
      <c r="DIL19" s="84"/>
      <c r="DIM19" s="84"/>
      <c r="DIN19" s="84"/>
      <c r="DIO19" s="84"/>
      <c r="DIP19" s="84"/>
      <c r="DIQ19" s="84"/>
      <c r="DIR19" s="84"/>
      <c r="DIS19" s="84"/>
      <c r="DIT19" s="84"/>
      <c r="DIU19" s="84"/>
      <c r="DIV19" s="84"/>
      <c r="DIW19" s="84"/>
      <c r="DIX19" s="84"/>
      <c r="DIY19" s="84"/>
      <c r="DIZ19" s="84"/>
      <c r="DJA19" s="84"/>
      <c r="DJB19" s="84"/>
      <c r="DJC19" s="84"/>
      <c r="DJD19" s="84"/>
      <c r="DJE19" s="84"/>
      <c r="DJF19" s="84"/>
      <c r="DJG19" s="84"/>
      <c r="DJH19" s="84"/>
      <c r="DJI19" s="84"/>
      <c r="DJJ19" s="84"/>
      <c r="DJK19" s="84"/>
      <c r="DJL19" s="84"/>
      <c r="DJM19" s="84"/>
      <c r="DJN19" s="84"/>
      <c r="DJO19" s="84"/>
      <c r="DJP19" s="84"/>
      <c r="DJQ19" s="84"/>
      <c r="DJR19" s="84"/>
      <c r="DJS19" s="84"/>
      <c r="DJT19" s="84"/>
      <c r="DJU19" s="84"/>
      <c r="DJV19" s="84"/>
      <c r="DJW19" s="84"/>
      <c r="DJX19" s="84"/>
      <c r="DJY19" s="84"/>
      <c r="DJZ19" s="84"/>
      <c r="DKA19" s="84"/>
      <c r="DKB19" s="84"/>
      <c r="DKC19" s="84"/>
      <c r="DKD19" s="84"/>
      <c r="DKE19" s="84"/>
      <c r="DKF19" s="84"/>
      <c r="DKG19" s="84"/>
      <c r="DKH19" s="84"/>
      <c r="DKI19" s="84"/>
      <c r="DKJ19" s="84"/>
      <c r="DKK19" s="84"/>
      <c r="DKL19" s="84"/>
      <c r="DKM19" s="84"/>
      <c r="DKN19" s="84"/>
      <c r="DKO19" s="84"/>
      <c r="DKP19" s="84"/>
      <c r="DKQ19" s="84"/>
      <c r="DKR19" s="84"/>
      <c r="DKS19" s="84"/>
      <c r="DKT19" s="84"/>
      <c r="DKU19" s="84"/>
      <c r="DKV19" s="84"/>
      <c r="DKW19" s="84"/>
      <c r="DKX19" s="84"/>
      <c r="DKY19" s="84"/>
      <c r="DKZ19" s="84"/>
      <c r="DLA19" s="84"/>
      <c r="DLB19" s="84"/>
      <c r="DLC19" s="84"/>
      <c r="DLD19" s="84"/>
      <c r="DLE19" s="84"/>
      <c r="DLF19" s="84"/>
      <c r="DLG19" s="84"/>
      <c r="DLH19" s="84"/>
      <c r="DLI19" s="84"/>
      <c r="DLJ19" s="84"/>
      <c r="DLK19" s="84"/>
      <c r="DLL19" s="84"/>
      <c r="DLM19" s="84"/>
      <c r="DLN19" s="84"/>
      <c r="DLO19" s="84"/>
      <c r="DLP19" s="84"/>
      <c r="DLQ19" s="84"/>
      <c r="DLR19" s="84"/>
      <c r="DLS19" s="84"/>
      <c r="DLT19" s="84"/>
      <c r="DLU19" s="84"/>
      <c r="DLV19" s="84"/>
      <c r="DLW19" s="84"/>
      <c r="DLX19" s="84"/>
      <c r="DLY19" s="84"/>
      <c r="DLZ19" s="84"/>
      <c r="DMA19" s="84"/>
      <c r="DMB19" s="84"/>
      <c r="DMC19" s="84"/>
      <c r="DMD19" s="84"/>
      <c r="DME19" s="84"/>
      <c r="DMF19" s="84"/>
      <c r="DMG19" s="84"/>
      <c r="DMH19" s="84"/>
      <c r="DMI19" s="84"/>
      <c r="DMJ19" s="84"/>
      <c r="DMK19" s="84"/>
      <c r="DML19" s="84"/>
      <c r="DMM19" s="84"/>
      <c r="DMN19" s="84"/>
      <c r="DMO19" s="84"/>
      <c r="DMP19" s="84"/>
      <c r="DMQ19" s="84"/>
      <c r="DMR19" s="84"/>
      <c r="DMS19" s="84"/>
      <c r="DMT19" s="84"/>
      <c r="DMU19" s="84"/>
      <c r="DMV19" s="84"/>
      <c r="DMW19" s="84"/>
      <c r="DMX19" s="84"/>
      <c r="DMY19" s="84"/>
      <c r="DMZ19" s="84"/>
      <c r="DNA19" s="84"/>
      <c r="DNB19" s="84"/>
      <c r="DNC19" s="84"/>
      <c r="DND19" s="84"/>
      <c r="DNE19" s="84"/>
      <c r="DNF19" s="84"/>
      <c r="DNG19" s="84"/>
      <c r="DNH19" s="84"/>
      <c r="DNI19" s="84"/>
      <c r="DNJ19" s="84"/>
      <c r="DNK19" s="84"/>
      <c r="DNL19" s="84"/>
      <c r="DNM19" s="84"/>
      <c r="DNN19" s="84"/>
      <c r="DNO19" s="84"/>
      <c r="DNP19" s="84"/>
      <c r="DNQ19" s="84"/>
      <c r="DNR19" s="84"/>
      <c r="DNS19" s="84"/>
      <c r="DNT19" s="84"/>
      <c r="DNU19" s="84"/>
      <c r="DNV19" s="84"/>
      <c r="DNW19" s="84"/>
      <c r="DNX19" s="84"/>
      <c r="DNY19" s="84"/>
      <c r="DNZ19" s="84"/>
      <c r="DOA19" s="84"/>
      <c r="DOB19" s="84"/>
      <c r="DOC19" s="84"/>
      <c r="DOD19" s="84"/>
      <c r="DOE19" s="84"/>
      <c r="DOF19" s="84"/>
      <c r="DOG19" s="84"/>
      <c r="DOH19" s="84"/>
      <c r="DOI19" s="84"/>
      <c r="DOJ19" s="84"/>
      <c r="DOK19" s="84"/>
      <c r="DOL19" s="84"/>
      <c r="DOM19" s="84"/>
      <c r="DON19" s="84"/>
      <c r="DOO19" s="84"/>
      <c r="DOP19" s="84"/>
      <c r="DOQ19" s="84"/>
      <c r="DOR19" s="84"/>
      <c r="DOS19" s="84"/>
      <c r="DOT19" s="84"/>
      <c r="DOU19" s="84"/>
      <c r="DOV19" s="84"/>
      <c r="DOW19" s="84"/>
      <c r="DOX19" s="84"/>
      <c r="DOY19" s="84"/>
      <c r="DOZ19" s="84"/>
      <c r="DPA19" s="84"/>
      <c r="DPB19" s="84"/>
      <c r="DPC19" s="84"/>
      <c r="DPD19" s="84"/>
      <c r="DPE19" s="84"/>
      <c r="DPF19" s="84"/>
      <c r="DPG19" s="84"/>
      <c r="DPH19" s="84"/>
      <c r="DPI19" s="84"/>
      <c r="DPJ19" s="84"/>
      <c r="DPK19" s="84"/>
      <c r="DPL19" s="84"/>
      <c r="DPM19" s="84"/>
      <c r="DPN19" s="84"/>
      <c r="DPO19" s="84"/>
      <c r="DPP19" s="84"/>
      <c r="DPQ19" s="84"/>
      <c r="DPR19" s="84"/>
      <c r="DPS19" s="84"/>
      <c r="DPT19" s="84"/>
      <c r="DPU19" s="84"/>
      <c r="DPV19" s="84"/>
      <c r="DPW19" s="84"/>
      <c r="DPX19" s="84"/>
      <c r="DPY19" s="84"/>
      <c r="DPZ19" s="84"/>
      <c r="DQA19" s="84"/>
      <c r="DQB19" s="84"/>
      <c r="DQC19" s="84"/>
      <c r="DQD19" s="84"/>
      <c r="DQE19" s="84"/>
      <c r="DQF19" s="84"/>
      <c r="DQG19" s="84"/>
      <c r="DQH19" s="84"/>
      <c r="DQI19" s="84"/>
      <c r="DQJ19" s="84"/>
      <c r="DQK19" s="84"/>
      <c r="DQL19" s="84"/>
      <c r="DQM19" s="84"/>
      <c r="DQN19" s="84"/>
      <c r="DQO19" s="84"/>
      <c r="DQP19" s="84"/>
      <c r="DQQ19" s="84"/>
      <c r="DQR19" s="84"/>
      <c r="DQS19" s="84"/>
      <c r="DQT19" s="84"/>
      <c r="DQU19" s="84"/>
      <c r="DQV19" s="84"/>
      <c r="DQW19" s="84"/>
      <c r="DQX19" s="84"/>
      <c r="DQY19" s="84"/>
      <c r="DQZ19" s="84"/>
      <c r="DRA19" s="84"/>
      <c r="DRB19" s="84"/>
      <c r="DRC19" s="84"/>
      <c r="DRD19" s="84"/>
      <c r="DRE19" s="84"/>
      <c r="DRF19" s="84"/>
      <c r="DRG19" s="84"/>
      <c r="DRH19" s="84"/>
      <c r="DRI19" s="84"/>
      <c r="DRJ19" s="84"/>
      <c r="DRK19" s="84"/>
      <c r="DRL19" s="84"/>
      <c r="DRM19" s="84"/>
      <c r="DRN19" s="84"/>
      <c r="DRO19" s="84"/>
      <c r="DRP19" s="84"/>
      <c r="DRQ19" s="84"/>
      <c r="DRR19" s="84"/>
      <c r="DRS19" s="84"/>
      <c r="DRT19" s="84"/>
      <c r="DRU19" s="84"/>
      <c r="DRV19" s="84"/>
      <c r="DRW19" s="84"/>
      <c r="DRX19" s="84"/>
      <c r="DRY19" s="84"/>
      <c r="DRZ19" s="84"/>
      <c r="DSA19" s="84"/>
      <c r="DSB19" s="84"/>
      <c r="DSC19" s="84"/>
      <c r="DSD19" s="84"/>
      <c r="DSE19" s="84"/>
      <c r="DSF19" s="84"/>
      <c r="DSG19" s="84"/>
      <c r="DSH19" s="84"/>
      <c r="DSI19" s="84"/>
      <c r="DSJ19" s="84"/>
      <c r="DSK19" s="84"/>
      <c r="DSL19" s="84"/>
      <c r="DSM19" s="84"/>
      <c r="DSN19" s="84"/>
      <c r="DSO19" s="84"/>
      <c r="DSP19" s="84"/>
      <c r="DSQ19" s="84"/>
      <c r="DSR19" s="84"/>
      <c r="DSS19" s="84"/>
      <c r="DST19" s="84"/>
      <c r="DSU19" s="84"/>
      <c r="DSV19" s="84"/>
      <c r="DSW19" s="84"/>
      <c r="DSX19" s="84"/>
      <c r="DSY19" s="84"/>
      <c r="DSZ19" s="84"/>
      <c r="DTA19" s="84"/>
      <c r="DTB19" s="84"/>
      <c r="DTC19" s="84"/>
      <c r="DTD19" s="84"/>
      <c r="DTE19" s="84"/>
      <c r="DTF19" s="84"/>
      <c r="DTG19" s="84"/>
      <c r="DTH19" s="84"/>
      <c r="DTI19" s="84"/>
      <c r="DTJ19" s="84"/>
      <c r="DTK19" s="84"/>
      <c r="DTL19" s="84"/>
      <c r="DTM19" s="84"/>
      <c r="DTN19" s="84"/>
      <c r="DTO19" s="84"/>
      <c r="DTP19" s="84"/>
      <c r="DTQ19" s="84"/>
      <c r="DTR19" s="84"/>
      <c r="DTS19" s="84"/>
      <c r="DTT19" s="84"/>
      <c r="DTU19" s="84"/>
      <c r="DTV19" s="84"/>
      <c r="DTW19" s="84"/>
      <c r="DTX19" s="84"/>
      <c r="DTY19" s="84"/>
      <c r="DTZ19" s="84"/>
      <c r="DUA19" s="84"/>
      <c r="DUB19" s="84"/>
      <c r="DUC19" s="84"/>
      <c r="DUD19" s="84"/>
      <c r="DUE19" s="84"/>
      <c r="DUF19" s="84"/>
      <c r="DUG19" s="84"/>
      <c r="DUH19" s="84"/>
      <c r="DUI19" s="84"/>
      <c r="DUJ19" s="84"/>
      <c r="DUK19" s="84"/>
      <c r="DUL19" s="84"/>
      <c r="DUM19" s="84"/>
      <c r="DUN19" s="84"/>
      <c r="DUO19" s="84"/>
      <c r="DUP19" s="84"/>
      <c r="DUQ19" s="84"/>
      <c r="DUR19" s="84"/>
      <c r="DUS19" s="84"/>
      <c r="DUT19" s="84"/>
      <c r="DUU19" s="84"/>
      <c r="DUV19" s="84"/>
      <c r="DUW19" s="84"/>
      <c r="DUX19" s="84"/>
      <c r="DUY19" s="84"/>
      <c r="DUZ19" s="84"/>
      <c r="DVA19" s="84"/>
      <c r="DVB19" s="84"/>
      <c r="DVC19" s="84"/>
      <c r="DVD19" s="84"/>
      <c r="DVE19" s="84"/>
      <c r="DVF19" s="84"/>
      <c r="DVG19" s="84"/>
      <c r="DVH19" s="84"/>
      <c r="DVI19" s="84"/>
      <c r="DVJ19" s="84"/>
      <c r="DVK19" s="84"/>
      <c r="DVL19" s="84"/>
      <c r="DVM19" s="84"/>
      <c r="DVN19" s="84"/>
      <c r="DVO19" s="84"/>
      <c r="DVP19" s="84"/>
      <c r="DVQ19" s="84"/>
      <c r="DVR19" s="84"/>
      <c r="DVS19" s="84"/>
      <c r="DVT19" s="84"/>
      <c r="DVU19" s="84"/>
      <c r="DVV19" s="84"/>
      <c r="DVW19" s="84"/>
      <c r="DVX19" s="84"/>
      <c r="DVY19" s="84"/>
      <c r="DVZ19" s="84"/>
      <c r="DWA19" s="84"/>
      <c r="DWB19" s="84"/>
      <c r="DWC19" s="84"/>
      <c r="DWD19" s="84"/>
      <c r="DWE19" s="84"/>
      <c r="DWF19" s="84"/>
      <c r="DWG19" s="84"/>
      <c r="DWH19" s="84"/>
      <c r="DWI19" s="84"/>
      <c r="DWJ19" s="84"/>
      <c r="DWK19" s="84"/>
      <c r="DWL19" s="84"/>
      <c r="DWM19" s="84"/>
      <c r="DWN19" s="84"/>
      <c r="DWO19" s="84"/>
      <c r="DWP19" s="84"/>
      <c r="DWQ19" s="84"/>
      <c r="DWR19" s="84"/>
      <c r="DWS19" s="84"/>
      <c r="DWT19" s="84"/>
      <c r="DWU19" s="84"/>
      <c r="DWV19" s="84"/>
      <c r="DWW19" s="84"/>
      <c r="DWX19" s="84"/>
      <c r="DWY19" s="84"/>
      <c r="DWZ19" s="84"/>
      <c r="DXA19" s="84"/>
      <c r="DXB19" s="84"/>
      <c r="DXC19" s="84"/>
      <c r="DXD19" s="84"/>
      <c r="DXE19" s="84"/>
      <c r="DXF19" s="84"/>
      <c r="DXG19" s="84"/>
      <c r="DXH19" s="84"/>
      <c r="DXI19" s="84"/>
      <c r="DXJ19" s="84"/>
      <c r="DXK19" s="84"/>
      <c r="DXL19" s="84"/>
      <c r="DXM19" s="84"/>
      <c r="DXN19" s="84"/>
      <c r="DXO19" s="84"/>
      <c r="DXP19" s="84"/>
      <c r="DXQ19" s="84"/>
      <c r="DXR19" s="84"/>
      <c r="DXS19" s="84"/>
      <c r="DXT19" s="84"/>
      <c r="DXU19" s="84"/>
      <c r="DXV19" s="84"/>
      <c r="DXW19" s="84"/>
      <c r="DXX19" s="84"/>
      <c r="DXY19" s="84"/>
      <c r="DXZ19" s="84"/>
      <c r="DYA19" s="84"/>
      <c r="DYB19" s="84"/>
      <c r="DYC19" s="84"/>
      <c r="DYD19" s="84"/>
      <c r="DYE19" s="84"/>
      <c r="DYF19" s="84"/>
      <c r="DYG19" s="84"/>
      <c r="DYH19" s="84"/>
      <c r="DYI19" s="84"/>
      <c r="DYJ19" s="84"/>
      <c r="DYK19" s="84"/>
      <c r="DYL19" s="84"/>
      <c r="DYM19" s="84"/>
      <c r="DYN19" s="84"/>
      <c r="DYO19" s="84"/>
      <c r="DYP19" s="84"/>
      <c r="DYQ19" s="84"/>
      <c r="DYR19" s="84"/>
      <c r="DYS19" s="84"/>
      <c r="DYT19" s="84"/>
      <c r="DYU19" s="84"/>
      <c r="DYV19" s="84"/>
      <c r="DYW19" s="84"/>
      <c r="DYX19" s="84"/>
      <c r="DYY19" s="84"/>
      <c r="DYZ19" s="84"/>
      <c r="DZA19" s="84"/>
      <c r="DZB19" s="84"/>
      <c r="DZC19" s="84"/>
      <c r="DZD19" s="84"/>
      <c r="DZE19" s="84"/>
      <c r="DZF19" s="84"/>
      <c r="DZG19" s="84"/>
      <c r="DZH19" s="84"/>
      <c r="DZI19" s="84"/>
      <c r="DZJ19" s="84"/>
      <c r="DZK19" s="84"/>
      <c r="DZL19" s="84"/>
      <c r="DZM19" s="84"/>
      <c r="DZN19" s="84"/>
      <c r="DZO19" s="84"/>
      <c r="DZP19" s="84"/>
      <c r="DZQ19" s="84"/>
      <c r="DZR19" s="84"/>
      <c r="DZS19" s="84"/>
      <c r="DZT19" s="84"/>
      <c r="DZU19" s="84"/>
      <c r="DZV19" s="84"/>
      <c r="DZW19" s="84"/>
      <c r="DZX19" s="84"/>
      <c r="DZY19" s="84"/>
      <c r="DZZ19" s="84"/>
      <c r="EAA19" s="84"/>
      <c r="EAB19" s="84"/>
      <c r="EAC19" s="84"/>
      <c r="EAD19" s="84"/>
      <c r="EAE19" s="84"/>
      <c r="EAF19" s="84"/>
      <c r="EAG19" s="84"/>
      <c r="EAH19" s="84"/>
      <c r="EAI19" s="84"/>
      <c r="EAJ19" s="84"/>
      <c r="EAK19" s="84"/>
      <c r="EAL19" s="84"/>
      <c r="EAM19" s="84"/>
      <c r="EAN19" s="84"/>
      <c r="EAO19" s="84"/>
      <c r="EAP19" s="84"/>
      <c r="EAQ19" s="84"/>
      <c r="EAR19" s="84"/>
      <c r="EAS19" s="84"/>
      <c r="EAT19" s="84"/>
      <c r="EAU19" s="84"/>
      <c r="EAV19" s="84"/>
      <c r="EAW19" s="84"/>
      <c r="EAX19" s="84"/>
      <c r="EAY19" s="84"/>
      <c r="EAZ19" s="84"/>
      <c r="EBA19" s="84"/>
      <c r="EBB19" s="84"/>
      <c r="EBC19" s="84"/>
      <c r="EBD19" s="84"/>
      <c r="EBE19" s="84"/>
      <c r="EBF19" s="84"/>
      <c r="EBG19" s="84"/>
      <c r="EBH19" s="84"/>
      <c r="EBI19" s="84"/>
      <c r="EBJ19" s="84"/>
      <c r="EBK19" s="84"/>
      <c r="EBL19" s="84"/>
      <c r="EBM19" s="84"/>
      <c r="EBN19" s="84"/>
      <c r="EBO19" s="84"/>
      <c r="EBP19" s="84"/>
      <c r="EBQ19" s="84"/>
      <c r="EBR19" s="84"/>
      <c r="EBS19" s="84"/>
      <c r="EBT19" s="84"/>
      <c r="EBU19" s="84"/>
      <c r="EBV19" s="84"/>
      <c r="EBW19" s="84"/>
      <c r="EBX19" s="84"/>
      <c r="EBY19" s="84"/>
      <c r="EBZ19" s="84"/>
      <c r="ECA19" s="84"/>
      <c r="ECB19" s="84"/>
      <c r="ECC19" s="84"/>
      <c r="ECD19" s="84"/>
      <c r="ECE19" s="84"/>
      <c r="ECF19" s="84"/>
      <c r="ECG19" s="84"/>
      <c r="ECH19" s="84"/>
      <c r="ECI19" s="84"/>
      <c r="ECJ19" s="84"/>
      <c r="ECK19" s="84"/>
      <c r="ECL19" s="84"/>
      <c r="ECM19" s="84"/>
      <c r="ECN19" s="84"/>
      <c r="ECO19" s="84"/>
      <c r="ECP19" s="84"/>
      <c r="ECQ19" s="84"/>
      <c r="ECR19" s="84"/>
      <c r="ECS19" s="84"/>
      <c r="ECT19" s="84"/>
      <c r="ECU19" s="84"/>
      <c r="ECV19" s="84"/>
      <c r="ECW19" s="84"/>
      <c r="ECX19" s="84"/>
      <c r="ECY19" s="84"/>
      <c r="ECZ19" s="84"/>
      <c r="EDA19" s="84"/>
      <c r="EDB19" s="84"/>
      <c r="EDC19" s="84"/>
      <c r="EDD19" s="84"/>
      <c r="EDE19" s="84"/>
      <c r="EDF19" s="84"/>
      <c r="EDG19" s="84"/>
      <c r="EDH19" s="84"/>
      <c r="EDI19" s="84"/>
      <c r="EDJ19" s="84"/>
      <c r="EDK19" s="84"/>
      <c r="EDL19" s="84"/>
      <c r="EDM19" s="84"/>
      <c r="EDN19" s="84"/>
      <c r="EDO19" s="84"/>
      <c r="EDP19" s="84"/>
      <c r="EDQ19" s="84"/>
      <c r="EDR19" s="84"/>
      <c r="EDS19" s="84"/>
      <c r="EDT19" s="84"/>
      <c r="EDU19" s="84"/>
      <c r="EDV19" s="84"/>
      <c r="EDW19" s="84"/>
      <c r="EDX19" s="84"/>
      <c r="EDY19" s="84"/>
      <c r="EDZ19" s="84"/>
      <c r="EEA19" s="84"/>
      <c r="EEB19" s="84"/>
      <c r="EEC19" s="84"/>
      <c r="EED19" s="84"/>
      <c r="EEE19" s="84"/>
      <c r="EEF19" s="84"/>
      <c r="EEG19" s="84"/>
      <c r="EEH19" s="84"/>
      <c r="EEI19" s="84"/>
      <c r="EEJ19" s="84"/>
      <c r="EEK19" s="84"/>
      <c r="EEL19" s="84"/>
      <c r="EEM19" s="84"/>
      <c r="EEN19" s="84"/>
      <c r="EEO19" s="84"/>
      <c r="EEP19" s="84"/>
      <c r="EEQ19" s="84"/>
      <c r="EER19" s="84"/>
      <c r="EES19" s="84"/>
      <c r="EET19" s="84"/>
      <c r="EEU19" s="84"/>
      <c r="EEV19" s="84"/>
      <c r="EEW19" s="84"/>
      <c r="EEX19" s="84"/>
      <c r="EEY19" s="84"/>
      <c r="EEZ19" s="84"/>
      <c r="EFA19" s="84"/>
      <c r="EFB19" s="84"/>
      <c r="EFC19" s="84"/>
      <c r="EFD19" s="84"/>
      <c r="EFE19" s="84"/>
      <c r="EFF19" s="84"/>
      <c r="EFG19" s="84"/>
      <c r="EFH19" s="84"/>
      <c r="EFI19" s="84"/>
      <c r="EFJ19" s="84"/>
      <c r="EFK19" s="84"/>
      <c r="EFL19" s="84"/>
      <c r="EFM19" s="84"/>
      <c r="EFN19" s="84"/>
      <c r="EFO19" s="84"/>
      <c r="EFP19" s="84"/>
      <c r="EFQ19" s="84"/>
      <c r="EFR19" s="84"/>
      <c r="EFS19" s="84"/>
      <c r="EFT19" s="84"/>
      <c r="EFU19" s="84"/>
      <c r="EFV19" s="84"/>
      <c r="EFW19" s="84"/>
      <c r="EFX19" s="84"/>
      <c r="EFY19" s="84"/>
      <c r="EFZ19" s="84"/>
      <c r="EGA19" s="84"/>
      <c r="EGB19" s="84"/>
      <c r="EGC19" s="84"/>
      <c r="EGD19" s="84"/>
      <c r="EGE19" s="84"/>
      <c r="EGF19" s="84"/>
      <c r="EGG19" s="84"/>
      <c r="EGH19" s="84"/>
      <c r="EGI19" s="84"/>
      <c r="EGJ19" s="84"/>
      <c r="EGK19" s="84"/>
      <c r="EGL19" s="84"/>
      <c r="EGM19" s="84"/>
      <c r="EGN19" s="84"/>
      <c r="EGO19" s="84"/>
      <c r="EGP19" s="84"/>
      <c r="EGQ19" s="84"/>
      <c r="EGR19" s="84"/>
      <c r="EGS19" s="84"/>
      <c r="EGT19" s="84"/>
      <c r="EGU19" s="84"/>
      <c r="EGV19" s="84"/>
      <c r="EGW19" s="84"/>
      <c r="EGX19" s="84"/>
      <c r="EGY19" s="84"/>
      <c r="EGZ19" s="84"/>
      <c r="EHA19" s="84"/>
      <c r="EHB19" s="84"/>
      <c r="EHC19" s="84"/>
      <c r="EHD19" s="84"/>
      <c r="EHE19" s="84"/>
      <c r="EHF19" s="84"/>
      <c r="EHG19" s="84"/>
      <c r="EHH19" s="84"/>
      <c r="EHI19" s="84"/>
      <c r="EHJ19" s="84"/>
      <c r="EHK19" s="84"/>
      <c r="EHL19" s="84"/>
      <c r="EHM19" s="84"/>
      <c r="EHN19" s="84"/>
      <c r="EHO19" s="84"/>
      <c r="EHP19" s="84"/>
      <c r="EHQ19" s="84"/>
      <c r="EHR19" s="84"/>
      <c r="EHS19" s="84"/>
      <c r="EHT19" s="84"/>
      <c r="EHU19" s="84"/>
      <c r="EHV19" s="84"/>
      <c r="EHW19" s="84"/>
      <c r="EHX19" s="84"/>
      <c r="EHY19" s="84"/>
      <c r="EHZ19" s="84"/>
      <c r="EIA19" s="84"/>
      <c r="EIB19" s="84"/>
      <c r="EIC19" s="84"/>
      <c r="EID19" s="84"/>
      <c r="EIE19" s="84"/>
      <c r="EIF19" s="84"/>
      <c r="EIG19" s="84"/>
      <c r="EIH19" s="84"/>
      <c r="EII19" s="84"/>
      <c r="EIJ19" s="84"/>
      <c r="EIK19" s="84"/>
      <c r="EIL19" s="84"/>
      <c r="EIM19" s="84"/>
      <c r="EIN19" s="84"/>
      <c r="EIO19" s="84"/>
      <c r="EIP19" s="84"/>
      <c r="EIQ19" s="84"/>
      <c r="EIR19" s="84"/>
      <c r="EIS19" s="84"/>
      <c r="EIT19" s="84"/>
      <c r="EIU19" s="84"/>
      <c r="EIV19" s="84"/>
      <c r="EIW19" s="84"/>
      <c r="EIX19" s="84"/>
      <c r="EIY19" s="84"/>
      <c r="EIZ19" s="84"/>
      <c r="EJA19" s="84"/>
      <c r="EJB19" s="84"/>
      <c r="EJC19" s="84"/>
      <c r="EJD19" s="84"/>
      <c r="EJE19" s="84"/>
      <c r="EJF19" s="84"/>
      <c r="EJG19" s="84"/>
      <c r="EJH19" s="84"/>
      <c r="EJI19" s="84"/>
      <c r="EJJ19" s="84"/>
      <c r="EJK19" s="84"/>
      <c r="EJL19" s="84"/>
      <c r="EJM19" s="84"/>
      <c r="EJN19" s="84"/>
      <c r="EJO19" s="84"/>
      <c r="EJP19" s="84"/>
      <c r="EJQ19" s="84"/>
      <c r="EJR19" s="84"/>
      <c r="EJS19" s="84"/>
      <c r="EJT19" s="84"/>
      <c r="EJU19" s="84"/>
      <c r="EJV19" s="84"/>
      <c r="EJW19" s="84"/>
      <c r="EJX19" s="84"/>
      <c r="EJY19" s="84"/>
      <c r="EJZ19" s="84"/>
      <c r="EKA19" s="84"/>
      <c r="EKB19" s="84"/>
      <c r="EKC19" s="84"/>
      <c r="EKD19" s="84"/>
      <c r="EKE19" s="84"/>
      <c r="EKF19" s="84"/>
      <c r="EKG19" s="84"/>
      <c r="EKH19" s="84"/>
      <c r="EKI19" s="84"/>
      <c r="EKJ19" s="84"/>
      <c r="EKK19" s="84"/>
      <c r="EKL19" s="84"/>
      <c r="EKM19" s="84"/>
      <c r="EKN19" s="84"/>
      <c r="EKO19" s="84"/>
      <c r="EKP19" s="84"/>
      <c r="EKQ19" s="84"/>
      <c r="EKR19" s="84"/>
      <c r="EKS19" s="84"/>
      <c r="EKT19" s="84"/>
      <c r="EKU19" s="84"/>
      <c r="EKV19" s="84"/>
      <c r="EKW19" s="84"/>
      <c r="EKX19" s="84"/>
      <c r="EKY19" s="84"/>
      <c r="EKZ19" s="84"/>
      <c r="ELA19" s="84"/>
      <c r="ELB19" s="84"/>
      <c r="ELC19" s="84"/>
      <c r="ELD19" s="84"/>
      <c r="ELE19" s="84"/>
      <c r="ELF19" s="84"/>
      <c r="ELG19" s="84"/>
      <c r="ELH19" s="84"/>
      <c r="ELI19" s="84"/>
      <c r="ELJ19" s="84"/>
      <c r="ELK19" s="84"/>
      <c r="ELL19" s="84"/>
      <c r="ELM19" s="84"/>
      <c r="ELN19" s="84"/>
      <c r="ELO19" s="84"/>
      <c r="ELP19" s="84"/>
      <c r="ELQ19" s="84"/>
      <c r="ELR19" s="84"/>
      <c r="ELS19" s="84"/>
      <c r="ELT19" s="84"/>
      <c r="ELU19" s="84"/>
      <c r="ELV19" s="84"/>
      <c r="ELW19" s="84"/>
      <c r="ELX19" s="84"/>
      <c r="ELY19" s="84"/>
      <c r="ELZ19" s="84"/>
      <c r="EMA19" s="84"/>
      <c r="EMB19" s="84"/>
      <c r="EMC19" s="84"/>
      <c r="EMD19" s="84"/>
      <c r="EME19" s="84"/>
      <c r="EMF19" s="84"/>
      <c r="EMG19" s="84"/>
      <c r="EMH19" s="84"/>
      <c r="EMI19" s="84"/>
      <c r="EMJ19" s="84"/>
      <c r="EMK19" s="84"/>
      <c r="EML19" s="84"/>
      <c r="EMM19" s="84"/>
      <c r="EMN19" s="84"/>
      <c r="EMO19" s="84"/>
      <c r="EMP19" s="84"/>
      <c r="EMQ19" s="84"/>
      <c r="EMR19" s="84"/>
      <c r="EMS19" s="84"/>
      <c r="EMT19" s="84"/>
      <c r="EMU19" s="84"/>
      <c r="EMV19" s="84"/>
      <c r="EMW19" s="84"/>
      <c r="EMX19" s="84"/>
      <c r="EMY19" s="84"/>
      <c r="EMZ19" s="84"/>
      <c r="ENA19" s="84"/>
      <c r="ENB19" s="84"/>
      <c r="ENC19" s="84"/>
      <c r="END19" s="84"/>
      <c r="ENE19" s="84"/>
      <c r="ENF19" s="84"/>
      <c r="ENG19" s="84"/>
      <c r="ENH19" s="84"/>
      <c r="ENI19" s="84"/>
      <c r="ENJ19" s="84"/>
      <c r="ENK19" s="84"/>
      <c r="ENL19" s="84"/>
      <c r="ENM19" s="84"/>
      <c r="ENN19" s="84"/>
      <c r="ENO19" s="84"/>
      <c r="ENP19" s="84"/>
      <c r="ENQ19" s="84"/>
      <c r="ENR19" s="84"/>
      <c r="ENS19" s="84"/>
      <c r="ENT19" s="84"/>
      <c r="ENU19" s="84"/>
      <c r="ENV19" s="84"/>
      <c r="ENW19" s="84"/>
      <c r="ENX19" s="84"/>
      <c r="ENY19" s="84"/>
      <c r="ENZ19" s="84"/>
      <c r="EOA19" s="84"/>
      <c r="EOB19" s="84"/>
      <c r="EOC19" s="84"/>
      <c r="EOD19" s="84"/>
      <c r="EOE19" s="84"/>
      <c r="EOF19" s="84"/>
      <c r="EOG19" s="84"/>
      <c r="EOH19" s="84"/>
      <c r="EOI19" s="84"/>
      <c r="EOJ19" s="84"/>
      <c r="EOK19" s="84"/>
      <c r="EOL19" s="84"/>
      <c r="EOM19" s="84"/>
      <c r="EON19" s="84"/>
      <c r="EOO19" s="84"/>
      <c r="EOP19" s="84"/>
      <c r="EOQ19" s="84"/>
      <c r="EOR19" s="84"/>
      <c r="EOS19" s="84"/>
      <c r="EOT19" s="84"/>
      <c r="EOU19" s="84"/>
      <c r="EOV19" s="84"/>
      <c r="EOW19" s="84"/>
      <c r="EOX19" s="84"/>
      <c r="EOY19" s="84"/>
      <c r="EOZ19" s="84"/>
      <c r="EPA19" s="84"/>
      <c r="EPB19" s="84"/>
      <c r="EPC19" s="84"/>
      <c r="EPD19" s="84"/>
      <c r="EPE19" s="84"/>
      <c r="EPF19" s="84"/>
      <c r="EPG19" s="84"/>
      <c r="EPH19" s="84"/>
      <c r="EPI19" s="84"/>
      <c r="EPJ19" s="84"/>
      <c r="EPK19" s="84"/>
      <c r="EPL19" s="84"/>
      <c r="EPM19" s="84"/>
      <c r="EPN19" s="84"/>
      <c r="EPO19" s="84"/>
      <c r="EPP19" s="84"/>
      <c r="EPQ19" s="84"/>
      <c r="EPR19" s="84"/>
      <c r="EPS19" s="84"/>
      <c r="EPT19" s="84"/>
      <c r="EPU19" s="84"/>
      <c r="EPV19" s="84"/>
      <c r="EPW19" s="84"/>
      <c r="EPX19" s="84"/>
      <c r="EPY19" s="84"/>
      <c r="EPZ19" s="84"/>
      <c r="EQA19" s="84"/>
      <c r="EQB19" s="84"/>
      <c r="EQC19" s="84"/>
      <c r="EQD19" s="84"/>
      <c r="EQE19" s="84"/>
      <c r="EQF19" s="84"/>
      <c r="EQG19" s="84"/>
      <c r="EQH19" s="84"/>
      <c r="EQI19" s="84"/>
      <c r="EQJ19" s="84"/>
      <c r="EQK19" s="84"/>
      <c r="EQL19" s="84"/>
      <c r="EQM19" s="84"/>
      <c r="EQN19" s="84"/>
      <c r="EQO19" s="84"/>
      <c r="EQP19" s="84"/>
      <c r="EQQ19" s="84"/>
      <c r="EQR19" s="84"/>
      <c r="EQS19" s="84"/>
      <c r="EQT19" s="84"/>
      <c r="EQU19" s="84"/>
      <c r="EQV19" s="84"/>
      <c r="EQW19" s="84"/>
      <c r="EQX19" s="84"/>
      <c r="EQY19" s="84"/>
      <c r="EQZ19" s="84"/>
      <c r="ERA19" s="84"/>
      <c r="ERB19" s="84"/>
      <c r="ERC19" s="84"/>
      <c r="ERD19" s="84"/>
      <c r="ERE19" s="84"/>
      <c r="ERF19" s="84"/>
      <c r="ERG19" s="84"/>
      <c r="ERH19" s="84"/>
      <c r="ERI19" s="84"/>
      <c r="ERJ19" s="84"/>
      <c r="ERK19" s="84"/>
      <c r="ERL19" s="84"/>
      <c r="ERM19" s="84"/>
      <c r="ERN19" s="84"/>
      <c r="ERO19" s="84"/>
      <c r="ERP19" s="84"/>
      <c r="ERQ19" s="84"/>
      <c r="ERR19" s="84"/>
      <c r="ERS19" s="84"/>
      <c r="ERT19" s="84"/>
      <c r="ERU19" s="84"/>
      <c r="ERV19" s="84"/>
      <c r="ERW19" s="84"/>
      <c r="ERX19" s="84"/>
      <c r="ERY19" s="84"/>
      <c r="ERZ19" s="84"/>
      <c r="ESA19" s="84"/>
      <c r="ESB19" s="84"/>
      <c r="ESC19" s="84"/>
      <c r="ESD19" s="84"/>
      <c r="ESE19" s="84"/>
      <c r="ESF19" s="84"/>
      <c r="ESG19" s="84"/>
      <c r="ESH19" s="84"/>
      <c r="ESI19" s="84"/>
      <c r="ESJ19" s="84"/>
      <c r="ESK19" s="84"/>
      <c r="ESL19" s="84"/>
      <c r="ESM19" s="84"/>
      <c r="ESN19" s="84"/>
      <c r="ESO19" s="84"/>
      <c r="ESP19" s="84"/>
      <c r="ESQ19" s="84"/>
      <c r="ESR19" s="84"/>
      <c r="ESS19" s="84"/>
      <c r="EST19" s="84"/>
      <c r="ESU19" s="84"/>
      <c r="ESV19" s="84"/>
      <c r="ESW19" s="84"/>
      <c r="ESX19" s="84"/>
      <c r="ESY19" s="84"/>
      <c r="ESZ19" s="84"/>
      <c r="ETA19" s="84"/>
      <c r="ETB19" s="84"/>
      <c r="ETC19" s="84"/>
      <c r="ETD19" s="84"/>
      <c r="ETE19" s="84"/>
      <c r="ETF19" s="84"/>
      <c r="ETG19" s="84"/>
      <c r="ETH19" s="84"/>
      <c r="ETI19" s="84"/>
      <c r="ETJ19" s="84"/>
      <c r="ETK19" s="84"/>
      <c r="ETL19" s="84"/>
      <c r="ETM19" s="84"/>
      <c r="ETN19" s="84"/>
      <c r="ETO19" s="84"/>
      <c r="ETP19" s="84"/>
      <c r="ETQ19" s="84"/>
      <c r="ETR19" s="84"/>
      <c r="ETS19" s="84"/>
      <c r="ETT19" s="84"/>
      <c r="ETU19" s="84"/>
      <c r="ETV19" s="84"/>
      <c r="ETW19" s="84"/>
      <c r="ETX19" s="84"/>
      <c r="ETY19" s="84"/>
      <c r="ETZ19" s="84"/>
      <c r="EUA19" s="84"/>
      <c r="EUB19" s="84"/>
      <c r="EUC19" s="84"/>
      <c r="EUD19" s="84"/>
      <c r="EUE19" s="84"/>
      <c r="EUF19" s="84"/>
      <c r="EUG19" s="84"/>
      <c r="EUH19" s="84"/>
      <c r="EUI19" s="84"/>
      <c r="EUJ19" s="84"/>
      <c r="EUK19" s="84"/>
      <c r="EUL19" s="84"/>
      <c r="EUM19" s="84"/>
      <c r="EUN19" s="84"/>
      <c r="EUO19" s="84"/>
      <c r="EUP19" s="84"/>
      <c r="EUQ19" s="84"/>
      <c r="EUR19" s="84"/>
      <c r="EUS19" s="84"/>
      <c r="EUT19" s="84"/>
      <c r="EUU19" s="84"/>
      <c r="EUV19" s="84"/>
      <c r="EUW19" s="84"/>
      <c r="EUX19" s="84"/>
      <c r="EUY19" s="84"/>
      <c r="EUZ19" s="84"/>
      <c r="EVA19" s="84"/>
      <c r="EVB19" s="84"/>
      <c r="EVC19" s="84"/>
      <c r="EVD19" s="84"/>
      <c r="EVE19" s="84"/>
      <c r="EVF19" s="84"/>
      <c r="EVG19" s="84"/>
      <c r="EVH19" s="84"/>
      <c r="EVI19" s="84"/>
      <c r="EVJ19" s="84"/>
      <c r="EVK19" s="84"/>
      <c r="EVL19" s="84"/>
      <c r="EVM19" s="84"/>
      <c r="EVN19" s="84"/>
      <c r="EVO19" s="84"/>
      <c r="EVP19" s="84"/>
      <c r="EVQ19" s="84"/>
      <c r="EVR19" s="84"/>
      <c r="EVS19" s="84"/>
      <c r="EVT19" s="84"/>
      <c r="EVU19" s="84"/>
      <c r="EVV19" s="84"/>
      <c r="EVW19" s="84"/>
      <c r="EVX19" s="84"/>
      <c r="EVY19" s="84"/>
      <c r="EVZ19" s="84"/>
      <c r="EWA19" s="84"/>
      <c r="EWB19" s="84"/>
      <c r="EWC19" s="84"/>
      <c r="EWD19" s="84"/>
      <c r="EWE19" s="84"/>
      <c r="EWF19" s="84"/>
      <c r="EWG19" s="84"/>
      <c r="EWH19" s="84"/>
      <c r="EWI19" s="84"/>
      <c r="EWJ19" s="84"/>
      <c r="EWK19" s="84"/>
      <c r="EWL19" s="84"/>
      <c r="EWM19" s="84"/>
      <c r="EWN19" s="84"/>
      <c r="EWO19" s="84"/>
      <c r="EWP19" s="84"/>
      <c r="EWQ19" s="84"/>
      <c r="EWR19" s="84"/>
      <c r="EWS19" s="84"/>
      <c r="EWT19" s="84"/>
      <c r="EWU19" s="84"/>
      <c r="EWV19" s="84"/>
      <c r="EWW19" s="84"/>
      <c r="EWX19" s="84"/>
      <c r="EWY19" s="84"/>
      <c r="EWZ19" s="84"/>
      <c r="EXA19" s="84"/>
      <c r="EXB19" s="84"/>
      <c r="EXC19" s="84"/>
      <c r="EXD19" s="84"/>
      <c r="EXE19" s="84"/>
      <c r="EXF19" s="84"/>
      <c r="EXG19" s="84"/>
      <c r="EXH19" s="84"/>
      <c r="EXI19" s="84"/>
      <c r="EXJ19" s="84"/>
      <c r="EXK19" s="84"/>
      <c r="EXL19" s="84"/>
      <c r="EXM19" s="84"/>
      <c r="EXN19" s="84"/>
      <c r="EXO19" s="84"/>
      <c r="EXP19" s="84"/>
      <c r="EXQ19" s="84"/>
      <c r="EXR19" s="84"/>
      <c r="EXS19" s="84"/>
      <c r="EXT19" s="84"/>
      <c r="EXU19" s="84"/>
      <c r="EXV19" s="84"/>
      <c r="EXW19" s="84"/>
      <c r="EXX19" s="84"/>
      <c r="EXY19" s="84"/>
      <c r="EXZ19" s="84"/>
      <c r="EYA19" s="84"/>
      <c r="EYB19" s="84"/>
      <c r="EYC19" s="84"/>
      <c r="EYD19" s="84"/>
      <c r="EYE19" s="84"/>
      <c r="EYF19" s="84"/>
      <c r="EYG19" s="84"/>
      <c r="EYH19" s="84"/>
      <c r="EYI19" s="84"/>
      <c r="EYJ19" s="84"/>
      <c r="EYK19" s="84"/>
      <c r="EYL19" s="84"/>
      <c r="EYM19" s="84"/>
      <c r="EYN19" s="84"/>
      <c r="EYO19" s="84"/>
      <c r="EYP19" s="84"/>
      <c r="EYQ19" s="84"/>
      <c r="EYR19" s="84"/>
      <c r="EYS19" s="84"/>
      <c r="EYT19" s="84"/>
      <c r="EYU19" s="84"/>
      <c r="EYV19" s="84"/>
      <c r="EYW19" s="84"/>
      <c r="EYX19" s="84"/>
      <c r="EYY19" s="84"/>
      <c r="EYZ19" s="84"/>
      <c r="EZA19" s="84"/>
      <c r="EZB19" s="84"/>
      <c r="EZC19" s="84"/>
      <c r="EZD19" s="84"/>
      <c r="EZE19" s="84"/>
      <c r="EZF19" s="84"/>
      <c r="EZG19" s="84"/>
      <c r="EZH19" s="84"/>
      <c r="EZI19" s="84"/>
      <c r="EZJ19" s="84"/>
      <c r="EZK19" s="84"/>
      <c r="EZL19" s="84"/>
      <c r="EZM19" s="84"/>
      <c r="EZN19" s="84"/>
      <c r="EZO19" s="84"/>
      <c r="EZP19" s="84"/>
      <c r="EZQ19" s="84"/>
      <c r="EZR19" s="84"/>
      <c r="EZS19" s="84"/>
      <c r="EZT19" s="84"/>
      <c r="EZU19" s="84"/>
      <c r="EZV19" s="84"/>
      <c r="EZW19" s="84"/>
      <c r="EZX19" s="84"/>
      <c r="EZY19" s="84"/>
      <c r="EZZ19" s="84"/>
      <c r="FAA19" s="84"/>
      <c r="FAB19" s="84"/>
      <c r="FAC19" s="84"/>
      <c r="FAD19" s="84"/>
      <c r="FAE19" s="84"/>
      <c r="FAF19" s="84"/>
      <c r="FAG19" s="84"/>
      <c r="FAH19" s="84"/>
      <c r="FAI19" s="84"/>
      <c r="FAJ19" s="84"/>
      <c r="FAK19" s="84"/>
      <c r="FAL19" s="84"/>
      <c r="FAM19" s="84"/>
      <c r="FAN19" s="84"/>
      <c r="FAO19" s="84"/>
      <c r="FAP19" s="84"/>
      <c r="FAQ19" s="84"/>
      <c r="FAR19" s="84"/>
      <c r="FAS19" s="84"/>
      <c r="FAT19" s="84"/>
      <c r="FAU19" s="84"/>
      <c r="FAV19" s="84"/>
      <c r="FAW19" s="84"/>
      <c r="FAX19" s="84"/>
      <c r="FAY19" s="84"/>
      <c r="FAZ19" s="84"/>
      <c r="FBA19" s="84"/>
      <c r="FBB19" s="84"/>
      <c r="FBC19" s="84"/>
      <c r="FBD19" s="84"/>
      <c r="FBE19" s="84"/>
      <c r="FBF19" s="84"/>
      <c r="FBG19" s="84"/>
      <c r="FBH19" s="84"/>
      <c r="FBI19" s="84"/>
      <c r="FBJ19" s="84"/>
      <c r="FBK19" s="84"/>
      <c r="FBL19" s="84"/>
      <c r="FBM19" s="84"/>
      <c r="FBN19" s="84"/>
      <c r="FBO19" s="84"/>
      <c r="FBP19" s="84"/>
      <c r="FBQ19" s="84"/>
      <c r="FBR19" s="84"/>
      <c r="FBS19" s="84"/>
      <c r="FBT19" s="84"/>
      <c r="FBU19" s="84"/>
      <c r="FBV19" s="84"/>
      <c r="FBW19" s="84"/>
      <c r="FBX19" s="84"/>
      <c r="FBY19" s="84"/>
      <c r="FBZ19" s="84"/>
      <c r="FCA19" s="84"/>
      <c r="FCB19" s="84"/>
      <c r="FCC19" s="84"/>
      <c r="FCD19" s="84"/>
      <c r="FCE19" s="84"/>
      <c r="FCF19" s="84"/>
      <c r="FCG19" s="84"/>
      <c r="FCH19" s="84"/>
      <c r="FCI19" s="84"/>
      <c r="FCJ19" s="84"/>
      <c r="FCK19" s="84"/>
      <c r="FCL19" s="84"/>
      <c r="FCM19" s="84"/>
      <c r="FCN19" s="84"/>
      <c r="FCO19" s="84"/>
      <c r="FCP19" s="84"/>
      <c r="FCQ19" s="84"/>
      <c r="FCR19" s="84"/>
      <c r="FCS19" s="84"/>
      <c r="FCT19" s="84"/>
      <c r="FCU19" s="84"/>
      <c r="FCV19" s="84"/>
      <c r="FCW19" s="84"/>
      <c r="FCX19" s="84"/>
      <c r="FCY19" s="84"/>
      <c r="FCZ19" s="84"/>
      <c r="FDA19" s="84"/>
      <c r="FDB19" s="84"/>
      <c r="FDC19" s="84"/>
      <c r="FDD19" s="84"/>
      <c r="FDE19" s="84"/>
      <c r="FDF19" s="84"/>
      <c r="FDG19" s="84"/>
      <c r="FDH19" s="84"/>
      <c r="FDI19" s="84"/>
      <c r="FDJ19" s="84"/>
      <c r="FDK19" s="84"/>
      <c r="FDL19" s="84"/>
      <c r="FDM19" s="84"/>
      <c r="FDN19" s="84"/>
      <c r="FDO19" s="84"/>
      <c r="FDP19" s="84"/>
      <c r="FDQ19" s="84"/>
      <c r="FDR19" s="84"/>
      <c r="FDS19" s="84"/>
      <c r="FDT19" s="84"/>
      <c r="FDU19" s="84"/>
      <c r="FDV19" s="84"/>
      <c r="FDW19" s="84"/>
      <c r="FDX19" s="84"/>
      <c r="FDY19" s="84"/>
      <c r="FDZ19" s="84"/>
      <c r="FEA19" s="84"/>
      <c r="FEB19" s="84"/>
      <c r="FEC19" s="84"/>
      <c r="FED19" s="84"/>
      <c r="FEE19" s="84"/>
      <c r="FEF19" s="84"/>
      <c r="FEG19" s="84"/>
      <c r="FEH19" s="84"/>
      <c r="FEI19" s="84"/>
      <c r="FEJ19" s="84"/>
      <c r="FEK19" s="84"/>
      <c r="FEL19" s="84"/>
      <c r="FEM19" s="84"/>
      <c r="FEN19" s="84"/>
      <c r="FEO19" s="84"/>
      <c r="FEP19" s="84"/>
      <c r="FEQ19" s="84"/>
      <c r="FER19" s="84"/>
      <c r="FES19" s="84"/>
      <c r="FET19" s="84"/>
      <c r="FEU19" s="84"/>
      <c r="FEV19" s="84"/>
      <c r="FEW19" s="84"/>
      <c r="FEX19" s="84"/>
      <c r="FEY19" s="84"/>
      <c r="FEZ19" s="84"/>
      <c r="FFA19" s="84"/>
      <c r="FFB19" s="84"/>
      <c r="FFC19" s="84"/>
      <c r="FFD19" s="84"/>
      <c r="FFE19" s="84"/>
      <c r="FFF19" s="84"/>
      <c r="FFG19" s="84"/>
      <c r="FFH19" s="84"/>
      <c r="FFI19" s="84"/>
      <c r="FFJ19" s="84"/>
      <c r="FFK19" s="84"/>
      <c r="FFL19" s="84"/>
      <c r="FFM19" s="84"/>
      <c r="FFN19" s="84"/>
      <c r="FFO19" s="84"/>
      <c r="FFP19" s="84"/>
      <c r="FFQ19" s="84"/>
      <c r="FFR19" s="84"/>
      <c r="FFS19" s="84"/>
      <c r="FFT19" s="84"/>
      <c r="FFU19" s="84"/>
      <c r="FFV19" s="84"/>
      <c r="FFW19" s="84"/>
      <c r="FFX19" s="84"/>
      <c r="FFY19" s="84"/>
      <c r="FFZ19" s="84"/>
      <c r="FGA19" s="84"/>
      <c r="FGB19" s="84"/>
      <c r="FGC19" s="84"/>
      <c r="FGD19" s="84"/>
      <c r="FGE19" s="84"/>
      <c r="FGF19" s="84"/>
      <c r="FGG19" s="84"/>
      <c r="FGH19" s="84"/>
      <c r="FGI19" s="84"/>
      <c r="FGJ19" s="84"/>
      <c r="FGK19" s="84"/>
      <c r="FGL19" s="84"/>
      <c r="FGM19" s="84"/>
      <c r="FGN19" s="84"/>
      <c r="FGO19" s="84"/>
      <c r="FGP19" s="84"/>
      <c r="FGQ19" s="84"/>
      <c r="FGR19" s="84"/>
      <c r="FGS19" s="84"/>
      <c r="FGT19" s="84"/>
      <c r="FGU19" s="84"/>
      <c r="FGV19" s="84"/>
      <c r="FGW19" s="84"/>
      <c r="FGX19" s="84"/>
      <c r="FGY19" s="84"/>
      <c r="FGZ19" s="84"/>
      <c r="FHA19" s="84"/>
      <c r="FHB19" s="84"/>
      <c r="FHC19" s="84"/>
      <c r="FHD19" s="84"/>
      <c r="FHE19" s="84"/>
      <c r="FHF19" s="84"/>
      <c r="FHG19" s="84"/>
      <c r="FHH19" s="84"/>
      <c r="FHI19" s="84"/>
      <c r="FHJ19" s="84"/>
      <c r="FHK19" s="84"/>
      <c r="FHL19" s="84"/>
      <c r="FHM19" s="84"/>
      <c r="FHN19" s="84"/>
      <c r="FHO19" s="84"/>
      <c r="FHP19" s="84"/>
      <c r="FHQ19" s="84"/>
      <c r="FHR19" s="84"/>
      <c r="FHS19" s="84"/>
      <c r="FHT19" s="84"/>
      <c r="FHU19" s="84"/>
      <c r="FHV19" s="84"/>
      <c r="FHW19" s="84"/>
      <c r="FHX19" s="84"/>
      <c r="FHY19" s="84"/>
      <c r="FHZ19" s="84"/>
      <c r="FIA19" s="84"/>
      <c r="FIB19" s="84"/>
      <c r="FIC19" s="84"/>
      <c r="FID19" s="84"/>
      <c r="FIE19" s="84"/>
      <c r="FIF19" s="84"/>
      <c r="FIG19" s="84"/>
      <c r="FIH19" s="84"/>
      <c r="FII19" s="84"/>
      <c r="FIJ19" s="84"/>
      <c r="FIK19" s="84"/>
      <c r="FIL19" s="84"/>
      <c r="FIM19" s="84"/>
      <c r="FIN19" s="84"/>
      <c r="FIO19" s="84"/>
      <c r="FIP19" s="84"/>
      <c r="FIQ19" s="84"/>
      <c r="FIR19" s="84"/>
      <c r="FIS19" s="84"/>
      <c r="FIT19" s="84"/>
      <c r="FIU19" s="84"/>
      <c r="FIV19" s="84"/>
      <c r="FIW19" s="84"/>
      <c r="FIX19" s="84"/>
      <c r="FIY19" s="84"/>
      <c r="FIZ19" s="84"/>
      <c r="FJA19" s="84"/>
      <c r="FJB19" s="84"/>
      <c r="FJC19" s="84"/>
      <c r="FJD19" s="84"/>
      <c r="FJE19" s="84"/>
      <c r="FJF19" s="84"/>
      <c r="FJG19" s="84"/>
      <c r="FJH19" s="84"/>
      <c r="FJI19" s="84"/>
      <c r="FJJ19" s="84"/>
      <c r="FJK19" s="84"/>
      <c r="FJL19" s="84"/>
      <c r="FJM19" s="84"/>
      <c r="FJN19" s="84"/>
      <c r="FJO19" s="84"/>
      <c r="FJP19" s="84"/>
      <c r="FJQ19" s="84"/>
      <c r="FJR19" s="84"/>
      <c r="FJS19" s="84"/>
      <c r="FJT19" s="84"/>
      <c r="FJU19" s="84"/>
      <c r="FJV19" s="84"/>
      <c r="FJW19" s="84"/>
      <c r="FJX19" s="84"/>
      <c r="FJY19" s="84"/>
      <c r="FJZ19" s="84"/>
      <c r="FKA19" s="84"/>
      <c r="FKB19" s="84"/>
      <c r="FKC19" s="84"/>
      <c r="FKD19" s="84"/>
      <c r="FKE19" s="84"/>
      <c r="FKF19" s="84"/>
      <c r="FKG19" s="84"/>
      <c r="FKH19" s="84"/>
      <c r="FKI19" s="84"/>
      <c r="FKJ19" s="84"/>
      <c r="FKK19" s="84"/>
      <c r="FKL19" s="84"/>
      <c r="FKM19" s="84"/>
      <c r="FKN19" s="84"/>
      <c r="FKO19" s="84"/>
      <c r="FKP19" s="84"/>
      <c r="FKQ19" s="84"/>
      <c r="FKR19" s="84"/>
      <c r="FKS19" s="84"/>
      <c r="FKT19" s="84"/>
      <c r="FKU19" s="84"/>
      <c r="FKV19" s="84"/>
      <c r="FKW19" s="84"/>
      <c r="FKX19" s="84"/>
      <c r="FKY19" s="84"/>
      <c r="FKZ19" s="84"/>
      <c r="FLA19" s="84"/>
      <c r="FLB19" s="84"/>
      <c r="FLC19" s="84"/>
      <c r="FLD19" s="84"/>
      <c r="FLE19" s="84"/>
      <c r="FLF19" s="84"/>
      <c r="FLG19" s="84"/>
      <c r="FLH19" s="84"/>
      <c r="FLI19" s="84"/>
      <c r="FLJ19" s="84"/>
      <c r="FLK19" s="84"/>
      <c r="FLL19" s="84"/>
      <c r="FLM19" s="84"/>
      <c r="FLN19" s="84"/>
      <c r="FLO19" s="84"/>
      <c r="FLP19" s="84"/>
      <c r="FLQ19" s="84"/>
      <c r="FLR19" s="84"/>
      <c r="FLS19" s="84"/>
      <c r="FLT19" s="84"/>
      <c r="FLU19" s="84"/>
      <c r="FLV19" s="84"/>
      <c r="FLW19" s="84"/>
      <c r="FLX19" s="84"/>
      <c r="FLY19" s="84"/>
      <c r="FLZ19" s="84"/>
      <c r="FMA19" s="84"/>
      <c r="FMB19" s="84"/>
      <c r="FMC19" s="84"/>
      <c r="FMD19" s="84"/>
      <c r="FME19" s="84"/>
      <c r="FMF19" s="84"/>
      <c r="FMG19" s="84"/>
      <c r="FMH19" s="84"/>
      <c r="FMI19" s="84"/>
      <c r="FMJ19" s="84"/>
      <c r="FMK19" s="84"/>
      <c r="FML19" s="84"/>
      <c r="FMM19" s="84"/>
      <c r="FMN19" s="84"/>
      <c r="FMO19" s="84"/>
      <c r="FMP19" s="84"/>
      <c r="FMQ19" s="84"/>
      <c r="FMR19" s="84"/>
      <c r="FMS19" s="84"/>
      <c r="FMT19" s="84"/>
      <c r="FMU19" s="84"/>
      <c r="FMV19" s="84"/>
      <c r="FMW19" s="84"/>
      <c r="FMX19" s="84"/>
      <c r="FMY19" s="84"/>
      <c r="FMZ19" s="84"/>
      <c r="FNA19" s="84"/>
      <c r="FNB19" s="84"/>
      <c r="FNC19" s="84"/>
      <c r="FND19" s="84"/>
      <c r="FNE19" s="84"/>
      <c r="FNF19" s="84"/>
      <c r="FNG19" s="84"/>
      <c r="FNH19" s="84"/>
      <c r="FNI19" s="84"/>
      <c r="FNJ19" s="84"/>
      <c r="FNK19" s="84"/>
      <c r="FNL19" s="84"/>
      <c r="FNM19" s="84"/>
      <c r="FNN19" s="84"/>
      <c r="FNO19" s="84"/>
      <c r="FNP19" s="84"/>
      <c r="FNQ19" s="84"/>
      <c r="FNR19" s="84"/>
      <c r="FNS19" s="84"/>
      <c r="FNT19" s="84"/>
      <c r="FNU19" s="84"/>
      <c r="FNV19" s="84"/>
      <c r="FNW19" s="84"/>
      <c r="FNX19" s="84"/>
      <c r="FNY19" s="84"/>
      <c r="FNZ19" s="84"/>
      <c r="FOA19" s="84"/>
      <c r="FOB19" s="84"/>
      <c r="FOC19" s="84"/>
      <c r="FOD19" s="84"/>
      <c r="FOE19" s="84"/>
      <c r="FOF19" s="84"/>
      <c r="FOG19" s="84"/>
      <c r="FOH19" s="84"/>
      <c r="FOI19" s="84"/>
      <c r="FOJ19" s="84"/>
      <c r="FOK19" s="84"/>
      <c r="FOL19" s="84"/>
      <c r="FOM19" s="84"/>
      <c r="FON19" s="84"/>
      <c r="FOO19" s="84"/>
      <c r="FOP19" s="84"/>
      <c r="FOQ19" s="84"/>
      <c r="FOR19" s="84"/>
      <c r="FOS19" s="84"/>
      <c r="FOT19" s="84"/>
      <c r="FOU19" s="84"/>
      <c r="FOV19" s="84"/>
      <c r="FOW19" s="84"/>
      <c r="FOX19" s="84"/>
      <c r="FOY19" s="84"/>
      <c r="FOZ19" s="84"/>
      <c r="FPA19" s="84"/>
      <c r="FPB19" s="84"/>
      <c r="FPC19" s="84"/>
      <c r="FPD19" s="84"/>
      <c r="FPE19" s="84"/>
      <c r="FPF19" s="84"/>
      <c r="FPG19" s="84"/>
      <c r="FPH19" s="84"/>
      <c r="FPI19" s="84"/>
      <c r="FPJ19" s="84"/>
      <c r="FPK19" s="84"/>
      <c r="FPL19" s="84"/>
      <c r="FPM19" s="84"/>
      <c r="FPN19" s="84"/>
      <c r="FPO19" s="84"/>
      <c r="FPP19" s="84"/>
      <c r="FPQ19" s="84"/>
      <c r="FPR19" s="84"/>
      <c r="FPS19" s="84"/>
      <c r="FPT19" s="84"/>
      <c r="FPU19" s="84"/>
      <c r="FPV19" s="84"/>
      <c r="FPW19" s="84"/>
      <c r="FPX19" s="84"/>
      <c r="FPY19" s="84"/>
      <c r="FPZ19" s="84"/>
      <c r="FQA19" s="84"/>
      <c r="FQB19" s="84"/>
      <c r="FQC19" s="84"/>
      <c r="FQD19" s="84"/>
      <c r="FQE19" s="84"/>
      <c r="FQF19" s="84"/>
      <c r="FQG19" s="84"/>
      <c r="FQH19" s="84"/>
      <c r="FQI19" s="84"/>
      <c r="FQJ19" s="84"/>
      <c r="FQK19" s="84"/>
      <c r="FQL19" s="84"/>
      <c r="FQM19" s="84"/>
      <c r="FQN19" s="84"/>
      <c r="FQO19" s="84"/>
      <c r="FQP19" s="84"/>
      <c r="FQQ19" s="84"/>
      <c r="FQR19" s="84"/>
      <c r="FQS19" s="84"/>
      <c r="FQT19" s="84"/>
      <c r="FQU19" s="84"/>
      <c r="FQV19" s="84"/>
      <c r="FQW19" s="84"/>
      <c r="FQX19" s="84"/>
      <c r="FQY19" s="84"/>
      <c r="FQZ19" s="84"/>
      <c r="FRA19" s="84"/>
      <c r="FRB19" s="84"/>
      <c r="FRC19" s="84"/>
      <c r="FRD19" s="84"/>
      <c r="FRE19" s="84"/>
      <c r="FRF19" s="84"/>
      <c r="FRG19" s="84"/>
      <c r="FRH19" s="84"/>
      <c r="FRI19" s="84"/>
      <c r="FRJ19" s="84"/>
      <c r="FRK19" s="84"/>
      <c r="FRL19" s="84"/>
      <c r="FRM19" s="84"/>
      <c r="FRN19" s="84"/>
      <c r="FRO19" s="84"/>
      <c r="FRP19" s="84"/>
      <c r="FRQ19" s="84"/>
      <c r="FRR19" s="84"/>
      <c r="FRS19" s="84"/>
      <c r="FRT19" s="84"/>
      <c r="FRU19" s="84"/>
      <c r="FRV19" s="84"/>
      <c r="FRW19" s="84"/>
      <c r="FRX19" s="84"/>
      <c r="FRY19" s="84"/>
      <c r="FRZ19" s="84"/>
      <c r="FSA19" s="84"/>
      <c r="FSB19" s="84"/>
      <c r="FSC19" s="84"/>
      <c r="FSD19" s="84"/>
      <c r="FSE19" s="84"/>
      <c r="FSF19" s="84"/>
      <c r="FSG19" s="84"/>
      <c r="FSH19" s="84"/>
      <c r="FSI19" s="84"/>
      <c r="FSJ19" s="84"/>
      <c r="FSK19" s="84"/>
      <c r="FSL19" s="84"/>
      <c r="FSM19" s="84"/>
      <c r="FSN19" s="84"/>
      <c r="FSO19" s="84"/>
      <c r="FSP19" s="84"/>
      <c r="FSQ19" s="84"/>
      <c r="FSR19" s="84"/>
      <c r="FSS19" s="84"/>
      <c r="FST19" s="84"/>
      <c r="FSU19" s="84"/>
      <c r="FSV19" s="84"/>
      <c r="FSW19" s="84"/>
      <c r="FSX19" s="84"/>
      <c r="FSY19" s="84"/>
      <c r="FSZ19" s="84"/>
      <c r="FTA19" s="84"/>
      <c r="FTB19" s="84"/>
      <c r="FTC19" s="84"/>
      <c r="FTD19" s="84"/>
      <c r="FTE19" s="84"/>
      <c r="FTF19" s="84"/>
      <c r="FTG19" s="84"/>
      <c r="FTH19" s="84"/>
      <c r="FTI19" s="84"/>
      <c r="FTJ19" s="84"/>
      <c r="FTK19" s="84"/>
      <c r="FTL19" s="84"/>
      <c r="FTM19" s="84"/>
      <c r="FTN19" s="84"/>
      <c r="FTO19" s="84"/>
      <c r="FTP19" s="84"/>
      <c r="FTQ19" s="84"/>
      <c r="FTR19" s="84"/>
      <c r="FTS19" s="84"/>
      <c r="FTT19" s="84"/>
      <c r="FTU19" s="84"/>
      <c r="FTV19" s="84"/>
      <c r="FTW19" s="84"/>
      <c r="FTX19" s="84"/>
      <c r="FTY19" s="84"/>
      <c r="FTZ19" s="84"/>
      <c r="FUA19" s="84"/>
      <c r="FUB19" s="84"/>
      <c r="FUC19" s="84"/>
      <c r="FUD19" s="84"/>
      <c r="FUE19" s="84"/>
      <c r="FUF19" s="84"/>
      <c r="FUG19" s="84"/>
      <c r="FUH19" s="84"/>
      <c r="FUI19" s="84"/>
      <c r="FUJ19" s="84"/>
      <c r="FUK19" s="84"/>
      <c r="FUL19" s="84"/>
      <c r="FUM19" s="84"/>
      <c r="FUN19" s="84"/>
      <c r="FUO19" s="84"/>
      <c r="FUP19" s="84"/>
      <c r="FUQ19" s="84"/>
      <c r="FUR19" s="84"/>
      <c r="FUS19" s="84"/>
      <c r="FUT19" s="84"/>
      <c r="FUU19" s="84"/>
      <c r="FUV19" s="84"/>
      <c r="FUW19" s="84"/>
      <c r="FUX19" s="84"/>
      <c r="FUY19" s="84"/>
      <c r="FUZ19" s="84"/>
      <c r="FVA19" s="84"/>
      <c r="FVB19" s="84"/>
      <c r="FVC19" s="84"/>
      <c r="FVD19" s="84"/>
      <c r="FVE19" s="84"/>
      <c r="FVF19" s="84"/>
      <c r="FVG19" s="84"/>
      <c r="FVH19" s="84"/>
      <c r="FVI19" s="84"/>
      <c r="FVJ19" s="84"/>
      <c r="FVK19" s="84"/>
      <c r="FVL19" s="84"/>
      <c r="FVM19" s="84"/>
      <c r="FVN19" s="84"/>
      <c r="FVO19" s="84"/>
      <c r="FVP19" s="84"/>
      <c r="FVQ19" s="84"/>
      <c r="FVR19" s="84"/>
      <c r="FVS19" s="84"/>
      <c r="FVT19" s="84"/>
      <c r="FVU19" s="84"/>
      <c r="FVV19" s="84"/>
      <c r="FVW19" s="84"/>
      <c r="FVX19" s="84"/>
      <c r="FVY19" s="84"/>
      <c r="FVZ19" s="84"/>
      <c r="FWA19" s="84"/>
      <c r="FWB19" s="84"/>
      <c r="FWC19" s="84"/>
      <c r="FWD19" s="84"/>
      <c r="FWE19" s="84"/>
      <c r="FWF19" s="84"/>
      <c r="FWG19" s="84"/>
      <c r="FWH19" s="84"/>
      <c r="FWI19" s="84"/>
      <c r="FWJ19" s="84"/>
      <c r="FWK19" s="84"/>
      <c r="FWL19" s="84"/>
      <c r="FWM19" s="84"/>
      <c r="FWN19" s="84"/>
      <c r="FWO19" s="84"/>
      <c r="FWP19" s="84"/>
      <c r="FWQ19" s="84"/>
      <c r="FWR19" s="84"/>
      <c r="FWS19" s="84"/>
      <c r="FWT19" s="84"/>
      <c r="FWU19" s="84"/>
      <c r="FWV19" s="84"/>
      <c r="FWW19" s="84"/>
      <c r="FWX19" s="84"/>
      <c r="FWY19" s="84"/>
      <c r="FWZ19" s="84"/>
      <c r="FXA19" s="84"/>
      <c r="FXB19" s="84"/>
      <c r="FXC19" s="84"/>
      <c r="FXD19" s="84"/>
      <c r="FXE19" s="84"/>
      <c r="FXF19" s="84"/>
      <c r="FXG19" s="84"/>
      <c r="FXH19" s="84"/>
      <c r="FXI19" s="84"/>
      <c r="FXJ19" s="84"/>
      <c r="FXK19" s="84"/>
      <c r="FXL19" s="84"/>
      <c r="FXM19" s="84"/>
      <c r="FXN19" s="84"/>
      <c r="FXO19" s="84"/>
      <c r="FXP19" s="84"/>
      <c r="FXQ19" s="84"/>
      <c r="FXR19" s="84"/>
      <c r="FXS19" s="84"/>
      <c r="FXT19" s="84"/>
      <c r="FXU19" s="84"/>
      <c r="FXV19" s="84"/>
      <c r="FXW19" s="84"/>
      <c r="FXX19" s="84"/>
      <c r="FXY19" s="84"/>
      <c r="FXZ19" s="84"/>
      <c r="FYA19" s="84"/>
      <c r="FYB19" s="84"/>
      <c r="FYC19" s="84"/>
      <c r="FYD19" s="84"/>
      <c r="FYE19" s="84"/>
      <c r="FYF19" s="84"/>
      <c r="FYG19" s="84"/>
      <c r="FYH19" s="84"/>
      <c r="FYI19" s="84"/>
      <c r="FYJ19" s="84"/>
      <c r="FYK19" s="84"/>
      <c r="FYL19" s="84"/>
      <c r="FYM19" s="84"/>
      <c r="FYN19" s="84"/>
      <c r="FYO19" s="84"/>
      <c r="FYP19" s="84"/>
      <c r="FYQ19" s="84"/>
      <c r="FYR19" s="84"/>
      <c r="FYS19" s="84"/>
      <c r="FYT19" s="84"/>
      <c r="FYU19" s="84"/>
      <c r="FYV19" s="84"/>
      <c r="FYW19" s="84"/>
      <c r="FYX19" s="84"/>
      <c r="FYY19" s="84"/>
      <c r="FYZ19" s="84"/>
      <c r="FZA19" s="84"/>
      <c r="FZB19" s="84"/>
      <c r="FZC19" s="84"/>
      <c r="FZD19" s="84"/>
      <c r="FZE19" s="84"/>
      <c r="FZF19" s="84"/>
      <c r="FZG19" s="84"/>
      <c r="FZH19" s="84"/>
      <c r="FZI19" s="84"/>
      <c r="FZJ19" s="84"/>
      <c r="FZK19" s="84"/>
      <c r="FZL19" s="84"/>
      <c r="FZM19" s="84"/>
      <c r="FZN19" s="84"/>
      <c r="FZO19" s="84"/>
      <c r="FZP19" s="84"/>
      <c r="FZQ19" s="84"/>
      <c r="FZR19" s="84"/>
      <c r="FZS19" s="84"/>
      <c r="FZT19" s="84"/>
      <c r="FZU19" s="84"/>
      <c r="FZV19" s="84"/>
      <c r="FZW19" s="84"/>
      <c r="FZX19" s="84"/>
      <c r="FZY19" s="84"/>
      <c r="FZZ19" s="84"/>
      <c r="GAA19" s="84"/>
      <c r="GAB19" s="84"/>
      <c r="GAC19" s="84"/>
      <c r="GAD19" s="84"/>
      <c r="GAE19" s="84"/>
      <c r="GAF19" s="84"/>
      <c r="GAG19" s="84"/>
      <c r="GAH19" s="84"/>
      <c r="GAI19" s="84"/>
      <c r="GAJ19" s="84"/>
      <c r="GAK19" s="84"/>
      <c r="GAL19" s="84"/>
      <c r="GAM19" s="84"/>
      <c r="GAN19" s="84"/>
      <c r="GAO19" s="84"/>
      <c r="GAP19" s="84"/>
      <c r="GAQ19" s="84"/>
      <c r="GAR19" s="84"/>
      <c r="GAS19" s="84"/>
      <c r="GAT19" s="84"/>
      <c r="GAU19" s="84"/>
      <c r="GAV19" s="84"/>
      <c r="GAW19" s="84"/>
      <c r="GAX19" s="84"/>
      <c r="GAY19" s="84"/>
      <c r="GAZ19" s="84"/>
      <c r="GBA19" s="84"/>
      <c r="GBB19" s="84"/>
      <c r="GBC19" s="84"/>
      <c r="GBD19" s="84"/>
      <c r="GBE19" s="84"/>
      <c r="GBF19" s="84"/>
      <c r="GBG19" s="84"/>
      <c r="GBH19" s="84"/>
      <c r="GBI19" s="84"/>
      <c r="GBJ19" s="84"/>
      <c r="GBK19" s="84"/>
      <c r="GBL19" s="84"/>
      <c r="GBM19" s="84"/>
      <c r="GBN19" s="84"/>
      <c r="GBO19" s="84"/>
      <c r="GBP19" s="84"/>
      <c r="GBQ19" s="84"/>
      <c r="GBR19" s="84"/>
      <c r="GBS19" s="84"/>
      <c r="GBT19" s="84"/>
      <c r="GBU19" s="84"/>
      <c r="GBV19" s="84"/>
      <c r="GBW19" s="84"/>
      <c r="GBX19" s="84"/>
      <c r="GBY19" s="84"/>
      <c r="GBZ19" s="84"/>
      <c r="GCA19" s="84"/>
      <c r="GCB19" s="84"/>
      <c r="GCC19" s="84"/>
      <c r="GCD19" s="84"/>
      <c r="GCE19" s="84"/>
      <c r="GCF19" s="84"/>
      <c r="GCG19" s="84"/>
      <c r="GCH19" s="84"/>
      <c r="GCI19" s="84"/>
      <c r="GCJ19" s="84"/>
      <c r="GCK19" s="84"/>
      <c r="GCL19" s="84"/>
      <c r="GCM19" s="84"/>
      <c r="GCN19" s="84"/>
      <c r="GCO19" s="84"/>
      <c r="GCP19" s="84"/>
      <c r="GCQ19" s="84"/>
      <c r="GCR19" s="84"/>
      <c r="GCS19" s="84"/>
      <c r="GCT19" s="84"/>
      <c r="GCU19" s="84"/>
      <c r="GCV19" s="84"/>
      <c r="GCW19" s="84"/>
      <c r="GCX19" s="84"/>
      <c r="GCY19" s="84"/>
      <c r="GCZ19" s="84"/>
      <c r="GDA19" s="84"/>
      <c r="GDB19" s="84"/>
      <c r="GDC19" s="84"/>
      <c r="GDD19" s="84"/>
      <c r="GDE19" s="84"/>
      <c r="GDF19" s="84"/>
      <c r="GDG19" s="84"/>
      <c r="GDH19" s="84"/>
      <c r="GDI19" s="84"/>
      <c r="GDJ19" s="84"/>
      <c r="GDK19" s="84"/>
      <c r="GDL19" s="84"/>
      <c r="GDM19" s="84"/>
      <c r="GDN19" s="84"/>
      <c r="GDO19" s="84"/>
      <c r="GDP19" s="84"/>
      <c r="GDQ19" s="84"/>
      <c r="GDR19" s="84"/>
      <c r="GDS19" s="84"/>
      <c r="GDT19" s="84"/>
      <c r="GDU19" s="84"/>
      <c r="GDV19" s="84"/>
      <c r="GDW19" s="84"/>
      <c r="GDX19" s="84"/>
      <c r="GDY19" s="84"/>
      <c r="GDZ19" s="84"/>
      <c r="GEA19" s="84"/>
      <c r="GEB19" s="84"/>
      <c r="GEC19" s="84"/>
      <c r="GED19" s="84"/>
      <c r="GEE19" s="84"/>
      <c r="GEF19" s="84"/>
      <c r="GEG19" s="84"/>
      <c r="GEH19" s="84"/>
      <c r="GEI19" s="84"/>
      <c r="GEJ19" s="84"/>
      <c r="GEK19" s="84"/>
      <c r="GEL19" s="84"/>
      <c r="GEM19" s="84"/>
      <c r="GEN19" s="84"/>
      <c r="GEO19" s="84"/>
      <c r="GEP19" s="84"/>
      <c r="GEQ19" s="84"/>
      <c r="GER19" s="84"/>
      <c r="GES19" s="84"/>
      <c r="GET19" s="84"/>
      <c r="GEU19" s="84"/>
      <c r="GEV19" s="84"/>
      <c r="GEW19" s="84"/>
      <c r="GEX19" s="84"/>
      <c r="GEY19" s="84"/>
      <c r="GEZ19" s="84"/>
      <c r="GFA19" s="84"/>
      <c r="GFB19" s="84"/>
      <c r="GFC19" s="84"/>
      <c r="GFD19" s="84"/>
      <c r="GFE19" s="84"/>
      <c r="GFF19" s="84"/>
      <c r="GFG19" s="84"/>
      <c r="GFH19" s="84"/>
      <c r="GFI19" s="84"/>
      <c r="GFJ19" s="84"/>
      <c r="GFK19" s="84"/>
      <c r="GFL19" s="84"/>
      <c r="GFM19" s="84"/>
      <c r="GFN19" s="84"/>
      <c r="GFO19" s="84"/>
      <c r="GFP19" s="84"/>
      <c r="GFQ19" s="84"/>
      <c r="GFR19" s="84"/>
      <c r="GFS19" s="84"/>
      <c r="GFT19" s="84"/>
      <c r="GFU19" s="84"/>
      <c r="GFV19" s="84"/>
      <c r="GFW19" s="84"/>
      <c r="GFX19" s="84"/>
      <c r="GFY19" s="84"/>
      <c r="GFZ19" s="84"/>
      <c r="GGA19" s="84"/>
      <c r="GGB19" s="84"/>
      <c r="GGC19" s="84"/>
      <c r="GGD19" s="84"/>
      <c r="GGE19" s="84"/>
      <c r="GGF19" s="84"/>
      <c r="GGG19" s="84"/>
      <c r="GGH19" s="84"/>
      <c r="GGI19" s="84"/>
      <c r="GGJ19" s="84"/>
      <c r="GGK19" s="84"/>
      <c r="GGL19" s="84"/>
      <c r="GGM19" s="84"/>
      <c r="GGN19" s="84"/>
      <c r="GGO19" s="84"/>
      <c r="GGP19" s="84"/>
      <c r="GGQ19" s="84"/>
      <c r="GGR19" s="84"/>
      <c r="GGS19" s="84"/>
      <c r="GGT19" s="84"/>
      <c r="GGU19" s="84"/>
      <c r="GGV19" s="84"/>
      <c r="GGW19" s="84"/>
      <c r="GGX19" s="84"/>
      <c r="GGY19" s="84"/>
      <c r="GGZ19" s="84"/>
      <c r="GHA19" s="84"/>
      <c r="GHB19" s="84"/>
      <c r="GHC19" s="84"/>
      <c r="GHD19" s="84"/>
      <c r="GHE19" s="84"/>
      <c r="GHF19" s="84"/>
      <c r="GHG19" s="84"/>
      <c r="GHH19" s="84"/>
      <c r="GHI19" s="84"/>
      <c r="GHJ19" s="84"/>
      <c r="GHK19" s="84"/>
      <c r="GHL19" s="84"/>
      <c r="GHM19" s="84"/>
      <c r="GHN19" s="84"/>
      <c r="GHO19" s="84"/>
      <c r="GHP19" s="84"/>
      <c r="GHQ19" s="84"/>
      <c r="GHR19" s="84"/>
      <c r="GHS19" s="84"/>
      <c r="GHT19" s="84"/>
      <c r="GHU19" s="84"/>
      <c r="GHV19" s="84"/>
      <c r="GHW19" s="84"/>
      <c r="GHX19" s="84"/>
      <c r="GHY19" s="84"/>
      <c r="GHZ19" s="84"/>
      <c r="GIA19" s="84"/>
      <c r="GIB19" s="84"/>
      <c r="GIC19" s="84"/>
      <c r="GID19" s="84"/>
      <c r="GIE19" s="84"/>
      <c r="GIF19" s="84"/>
      <c r="GIG19" s="84"/>
      <c r="GIH19" s="84"/>
      <c r="GII19" s="84"/>
      <c r="GIJ19" s="84"/>
      <c r="GIK19" s="84"/>
      <c r="GIL19" s="84"/>
      <c r="GIM19" s="84"/>
      <c r="GIN19" s="84"/>
      <c r="GIO19" s="84"/>
      <c r="GIP19" s="84"/>
      <c r="GIQ19" s="84"/>
      <c r="GIR19" s="84"/>
      <c r="GIS19" s="84"/>
      <c r="GIT19" s="84"/>
      <c r="GIU19" s="84"/>
      <c r="GIV19" s="84"/>
      <c r="GIW19" s="84"/>
      <c r="GIX19" s="84"/>
      <c r="GIY19" s="84"/>
      <c r="GIZ19" s="84"/>
      <c r="GJA19" s="84"/>
      <c r="GJB19" s="84"/>
      <c r="GJC19" s="84"/>
      <c r="GJD19" s="84"/>
      <c r="GJE19" s="84"/>
      <c r="GJF19" s="84"/>
      <c r="GJG19" s="84"/>
      <c r="GJH19" s="84"/>
      <c r="GJI19" s="84"/>
      <c r="GJJ19" s="84"/>
      <c r="GJK19" s="84"/>
      <c r="GJL19" s="84"/>
      <c r="GJM19" s="84"/>
      <c r="GJN19" s="84"/>
      <c r="GJO19" s="84"/>
      <c r="GJP19" s="84"/>
      <c r="GJQ19" s="84"/>
      <c r="GJR19" s="84"/>
      <c r="GJS19" s="84"/>
      <c r="GJT19" s="84"/>
      <c r="GJU19" s="84"/>
      <c r="GJV19" s="84"/>
      <c r="GJW19" s="84"/>
      <c r="GJX19" s="84"/>
      <c r="GJY19" s="84"/>
      <c r="GJZ19" s="84"/>
      <c r="GKA19" s="84"/>
      <c r="GKB19" s="84"/>
      <c r="GKC19" s="84"/>
      <c r="GKD19" s="84"/>
      <c r="GKE19" s="84"/>
      <c r="GKF19" s="84"/>
      <c r="GKG19" s="84"/>
      <c r="GKH19" s="84"/>
      <c r="GKI19" s="84"/>
      <c r="GKJ19" s="84"/>
      <c r="GKK19" s="84"/>
      <c r="GKL19" s="84"/>
      <c r="GKM19" s="84"/>
      <c r="GKN19" s="84"/>
      <c r="GKO19" s="84"/>
      <c r="GKP19" s="84"/>
      <c r="GKQ19" s="84"/>
      <c r="GKR19" s="84"/>
      <c r="GKS19" s="84"/>
      <c r="GKT19" s="84"/>
      <c r="GKU19" s="84"/>
      <c r="GKV19" s="84"/>
      <c r="GKW19" s="84"/>
      <c r="GKX19" s="84"/>
      <c r="GKY19" s="84"/>
      <c r="GKZ19" s="84"/>
      <c r="GLA19" s="84"/>
      <c r="GLB19" s="84"/>
      <c r="GLC19" s="84"/>
      <c r="GLD19" s="84"/>
      <c r="GLE19" s="84"/>
      <c r="GLF19" s="84"/>
      <c r="GLG19" s="84"/>
      <c r="GLH19" s="84"/>
      <c r="GLI19" s="84"/>
      <c r="GLJ19" s="84"/>
      <c r="GLK19" s="84"/>
      <c r="GLL19" s="84"/>
      <c r="GLM19" s="84"/>
      <c r="GLN19" s="84"/>
      <c r="GLO19" s="84"/>
      <c r="GLP19" s="84"/>
      <c r="GLQ19" s="84"/>
      <c r="GLR19" s="84"/>
      <c r="GLS19" s="84"/>
      <c r="GLT19" s="84"/>
      <c r="GLU19" s="84"/>
      <c r="GLV19" s="84"/>
      <c r="GLW19" s="84"/>
      <c r="GLX19" s="84"/>
      <c r="GLY19" s="84"/>
      <c r="GLZ19" s="84"/>
      <c r="GMA19" s="84"/>
      <c r="GMB19" s="84"/>
      <c r="GMC19" s="84"/>
      <c r="GMD19" s="84"/>
      <c r="GME19" s="84"/>
      <c r="GMF19" s="84"/>
      <c r="GMG19" s="84"/>
      <c r="GMH19" s="84"/>
      <c r="GMI19" s="84"/>
      <c r="GMJ19" s="84"/>
      <c r="GMK19" s="84"/>
      <c r="GML19" s="84"/>
      <c r="GMM19" s="84"/>
      <c r="GMN19" s="84"/>
      <c r="GMO19" s="84"/>
      <c r="GMP19" s="84"/>
      <c r="GMQ19" s="84"/>
      <c r="GMR19" s="84"/>
      <c r="GMS19" s="84"/>
      <c r="GMT19" s="84"/>
      <c r="GMU19" s="84"/>
      <c r="GMV19" s="84"/>
      <c r="GMW19" s="84"/>
      <c r="GMX19" s="84"/>
      <c r="GMY19" s="84"/>
      <c r="GMZ19" s="84"/>
      <c r="GNA19" s="84"/>
      <c r="GNB19" s="84"/>
      <c r="GNC19" s="84"/>
      <c r="GND19" s="84"/>
      <c r="GNE19" s="84"/>
      <c r="GNF19" s="84"/>
      <c r="GNG19" s="84"/>
      <c r="GNH19" s="84"/>
      <c r="GNI19" s="84"/>
      <c r="GNJ19" s="84"/>
      <c r="GNK19" s="84"/>
      <c r="GNL19" s="84"/>
      <c r="GNM19" s="84"/>
      <c r="GNN19" s="84"/>
      <c r="GNO19" s="84"/>
      <c r="GNP19" s="84"/>
      <c r="GNQ19" s="84"/>
      <c r="GNR19" s="84"/>
      <c r="GNS19" s="84"/>
      <c r="GNT19" s="84"/>
      <c r="GNU19" s="84"/>
      <c r="GNV19" s="84"/>
      <c r="GNW19" s="84"/>
      <c r="GNX19" s="84"/>
      <c r="GNY19" s="84"/>
      <c r="GNZ19" s="84"/>
      <c r="GOA19" s="84"/>
      <c r="GOB19" s="84"/>
      <c r="GOC19" s="84"/>
      <c r="GOD19" s="84"/>
      <c r="GOE19" s="84"/>
      <c r="GOF19" s="84"/>
      <c r="GOG19" s="84"/>
      <c r="GOH19" s="84"/>
      <c r="GOI19" s="84"/>
      <c r="GOJ19" s="84"/>
      <c r="GOK19" s="84"/>
      <c r="GOL19" s="84"/>
      <c r="GOM19" s="84"/>
      <c r="GON19" s="84"/>
      <c r="GOO19" s="84"/>
      <c r="GOP19" s="84"/>
      <c r="GOQ19" s="84"/>
      <c r="GOR19" s="84"/>
      <c r="GOS19" s="84"/>
      <c r="GOT19" s="84"/>
      <c r="GOU19" s="84"/>
      <c r="GOV19" s="84"/>
      <c r="GOW19" s="84"/>
      <c r="GOX19" s="84"/>
      <c r="GOY19" s="84"/>
      <c r="GOZ19" s="84"/>
      <c r="GPA19" s="84"/>
      <c r="GPB19" s="84"/>
      <c r="GPC19" s="84"/>
      <c r="GPD19" s="84"/>
      <c r="GPE19" s="84"/>
      <c r="GPF19" s="84"/>
      <c r="GPG19" s="84"/>
      <c r="GPH19" s="84"/>
      <c r="GPI19" s="84"/>
      <c r="GPJ19" s="84"/>
      <c r="GPK19" s="84"/>
      <c r="GPL19" s="84"/>
      <c r="GPM19" s="84"/>
      <c r="GPN19" s="84"/>
      <c r="GPO19" s="84"/>
      <c r="GPP19" s="84"/>
      <c r="GPQ19" s="84"/>
      <c r="GPR19" s="84"/>
      <c r="GPS19" s="84"/>
      <c r="GPT19" s="84"/>
      <c r="GPU19" s="84"/>
      <c r="GPV19" s="84"/>
      <c r="GPW19" s="84"/>
      <c r="GPX19" s="84"/>
      <c r="GPY19" s="84"/>
      <c r="GPZ19" s="84"/>
      <c r="GQA19" s="84"/>
      <c r="GQB19" s="84"/>
      <c r="GQC19" s="84"/>
      <c r="GQD19" s="84"/>
      <c r="GQE19" s="84"/>
      <c r="GQF19" s="84"/>
      <c r="GQG19" s="84"/>
      <c r="GQH19" s="84"/>
      <c r="GQI19" s="84"/>
      <c r="GQJ19" s="84"/>
      <c r="GQK19" s="84"/>
      <c r="GQL19" s="84"/>
      <c r="GQM19" s="84"/>
      <c r="GQN19" s="84"/>
      <c r="GQO19" s="84"/>
      <c r="GQP19" s="84"/>
      <c r="GQQ19" s="84"/>
      <c r="GQR19" s="84"/>
      <c r="GQS19" s="84"/>
      <c r="GQT19" s="84"/>
      <c r="GQU19" s="84"/>
      <c r="GQV19" s="84"/>
      <c r="GQW19" s="84"/>
      <c r="GQX19" s="84"/>
      <c r="GQY19" s="84"/>
      <c r="GQZ19" s="84"/>
      <c r="GRA19" s="84"/>
      <c r="GRB19" s="84"/>
      <c r="GRC19" s="84"/>
      <c r="GRD19" s="84"/>
      <c r="GRE19" s="84"/>
      <c r="GRF19" s="84"/>
      <c r="GRG19" s="84"/>
      <c r="GRH19" s="84"/>
      <c r="GRI19" s="84"/>
      <c r="GRJ19" s="84"/>
      <c r="GRK19" s="84"/>
      <c r="GRL19" s="84"/>
      <c r="GRM19" s="84"/>
      <c r="GRN19" s="84"/>
      <c r="GRO19" s="84"/>
      <c r="GRP19" s="84"/>
      <c r="GRQ19" s="84"/>
      <c r="GRR19" s="84"/>
      <c r="GRS19" s="84"/>
      <c r="GRT19" s="84"/>
      <c r="GRU19" s="84"/>
      <c r="GRV19" s="84"/>
      <c r="GRW19" s="84"/>
      <c r="GRX19" s="84"/>
      <c r="GRY19" s="84"/>
      <c r="GRZ19" s="84"/>
      <c r="GSA19" s="84"/>
      <c r="GSB19" s="84"/>
      <c r="GSC19" s="84"/>
      <c r="GSD19" s="84"/>
      <c r="GSE19" s="84"/>
      <c r="GSF19" s="84"/>
      <c r="GSG19" s="84"/>
      <c r="GSH19" s="84"/>
      <c r="GSI19" s="84"/>
      <c r="GSJ19" s="84"/>
      <c r="GSK19" s="84"/>
      <c r="GSL19" s="84"/>
      <c r="GSM19" s="84"/>
      <c r="GSN19" s="84"/>
      <c r="GSO19" s="84"/>
      <c r="GSP19" s="84"/>
      <c r="GSQ19" s="84"/>
      <c r="GSR19" s="84"/>
      <c r="GSS19" s="84"/>
      <c r="GST19" s="84"/>
      <c r="GSU19" s="84"/>
      <c r="GSV19" s="84"/>
      <c r="GSW19" s="84"/>
      <c r="GSX19" s="84"/>
      <c r="GSY19" s="84"/>
      <c r="GSZ19" s="84"/>
      <c r="GTA19" s="84"/>
      <c r="GTB19" s="84"/>
      <c r="GTC19" s="84"/>
      <c r="GTD19" s="84"/>
      <c r="GTE19" s="84"/>
      <c r="GTF19" s="84"/>
      <c r="GTG19" s="84"/>
      <c r="GTH19" s="84"/>
      <c r="GTI19" s="84"/>
      <c r="GTJ19" s="84"/>
      <c r="GTK19" s="84"/>
      <c r="GTL19" s="84"/>
      <c r="GTM19" s="84"/>
      <c r="GTN19" s="84"/>
      <c r="GTO19" s="84"/>
      <c r="GTP19" s="84"/>
      <c r="GTQ19" s="84"/>
      <c r="GTR19" s="84"/>
      <c r="GTS19" s="84"/>
      <c r="GTT19" s="84"/>
      <c r="GTU19" s="84"/>
      <c r="GTV19" s="84"/>
      <c r="GTW19" s="84"/>
      <c r="GTX19" s="84"/>
      <c r="GTY19" s="84"/>
      <c r="GTZ19" s="84"/>
      <c r="GUA19" s="84"/>
      <c r="GUB19" s="84"/>
      <c r="GUC19" s="84"/>
      <c r="GUD19" s="84"/>
      <c r="GUE19" s="84"/>
      <c r="GUF19" s="84"/>
      <c r="GUG19" s="84"/>
      <c r="GUH19" s="84"/>
      <c r="GUI19" s="84"/>
      <c r="GUJ19" s="84"/>
      <c r="GUK19" s="84"/>
      <c r="GUL19" s="84"/>
      <c r="GUM19" s="84"/>
      <c r="GUN19" s="84"/>
      <c r="GUO19" s="84"/>
      <c r="GUP19" s="84"/>
      <c r="GUQ19" s="84"/>
      <c r="GUR19" s="84"/>
      <c r="GUS19" s="84"/>
      <c r="GUT19" s="84"/>
      <c r="GUU19" s="84"/>
      <c r="GUV19" s="84"/>
      <c r="GUW19" s="84"/>
      <c r="GUX19" s="84"/>
      <c r="GUY19" s="84"/>
      <c r="GUZ19" s="84"/>
      <c r="GVA19" s="84"/>
      <c r="GVB19" s="84"/>
      <c r="GVC19" s="84"/>
      <c r="GVD19" s="84"/>
      <c r="GVE19" s="84"/>
      <c r="GVF19" s="84"/>
      <c r="GVG19" s="84"/>
      <c r="GVH19" s="84"/>
      <c r="GVI19" s="84"/>
      <c r="GVJ19" s="84"/>
      <c r="GVK19" s="84"/>
      <c r="GVL19" s="84"/>
      <c r="GVM19" s="84"/>
      <c r="GVN19" s="84"/>
      <c r="GVO19" s="84"/>
      <c r="GVP19" s="84"/>
      <c r="GVQ19" s="84"/>
      <c r="GVR19" s="84"/>
      <c r="GVS19" s="84"/>
      <c r="GVT19" s="84"/>
      <c r="GVU19" s="84"/>
      <c r="GVV19" s="84"/>
      <c r="GVW19" s="84"/>
      <c r="GVX19" s="84"/>
      <c r="GVY19" s="84"/>
      <c r="GVZ19" s="84"/>
      <c r="GWA19" s="84"/>
      <c r="GWB19" s="84"/>
      <c r="GWC19" s="84"/>
      <c r="GWD19" s="84"/>
      <c r="GWE19" s="84"/>
      <c r="GWF19" s="84"/>
      <c r="GWG19" s="84"/>
      <c r="GWH19" s="84"/>
      <c r="GWI19" s="84"/>
      <c r="GWJ19" s="84"/>
      <c r="GWK19" s="84"/>
      <c r="GWL19" s="84"/>
      <c r="GWM19" s="84"/>
      <c r="GWN19" s="84"/>
      <c r="GWO19" s="84"/>
      <c r="GWP19" s="84"/>
      <c r="GWQ19" s="84"/>
      <c r="GWR19" s="84"/>
      <c r="GWS19" s="84"/>
      <c r="GWT19" s="84"/>
      <c r="GWU19" s="84"/>
      <c r="GWV19" s="84"/>
      <c r="GWW19" s="84"/>
      <c r="GWX19" s="84"/>
      <c r="GWY19" s="84"/>
      <c r="GWZ19" s="84"/>
      <c r="GXA19" s="84"/>
      <c r="GXB19" s="84"/>
      <c r="GXC19" s="84"/>
      <c r="GXD19" s="84"/>
      <c r="GXE19" s="84"/>
      <c r="GXF19" s="84"/>
      <c r="GXG19" s="84"/>
      <c r="GXH19" s="84"/>
      <c r="GXI19" s="84"/>
      <c r="GXJ19" s="84"/>
      <c r="GXK19" s="84"/>
      <c r="GXL19" s="84"/>
      <c r="GXM19" s="84"/>
      <c r="GXN19" s="84"/>
      <c r="GXO19" s="84"/>
      <c r="GXP19" s="84"/>
      <c r="GXQ19" s="84"/>
      <c r="GXR19" s="84"/>
      <c r="GXS19" s="84"/>
      <c r="GXT19" s="84"/>
      <c r="GXU19" s="84"/>
      <c r="GXV19" s="84"/>
      <c r="GXW19" s="84"/>
      <c r="GXX19" s="84"/>
      <c r="GXY19" s="84"/>
      <c r="GXZ19" s="84"/>
      <c r="GYA19" s="84"/>
      <c r="GYB19" s="84"/>
      <c r="GYC19" s="84"/>
      <c r="GYD19" s="84"/>
      <c r="GYE19" s="84"/>
      <c r="GYF19" s="84"/>
      <c r="GYG19" s="84"/>
      <c r="GYH19" s="84"/>
      <c r="GYI19" s="84"/>
      <c r="GYJ19" s="84"/>
      <c r="GYK19" s="84"/>
      <c r="GYL19" s="84"/>
      <c r="GYM19" s="84"/>
      <c r="GYN19" s="84"/>
      <c r="GYO19" s="84"/>
      <c r="GYP19" s="84"/>
      <c r="GYQ19" s="84"/>
      <c r="GYR19" s="84"/>
      <c r="GYS19" s="84"/>
      <c r="GYT19" s="84"/>
      <c r="GYU19" s="84"/>
      <c r="GYV19" s="84"/>
      <c r="GYW19" s="84"/>
      <c r="GYX19" s="84"/>
      <c r="GYY19" s="84"/>
      <c r="GYZ19" s="84"/>
      <c r="GZA19" s="84"/>
      <c r="GZB19" s="84"/>
      <c r="GZC19" s="84"/>
      <c r="GZD19" s="84"/>
      <c r="GZE19" s="84"/>
      <c r="GZF19" s="84"/>
      <c r="GZG19" s="84"/>
      <c r="GZH19" s="84"/>
      <c r="GZI19" s="84"/>
      <c r="GZJ19" s="84"/>
      <c r="GZK19" s="84"/>
      <c r="GZL19" s="84"/>
      <c r="GZM19" s="84"/>
      <c r="GZN19" s="84"/>
      <c r="GZO19" s="84"/>
      <c r="GZP19" s="84"/>
      <c r="GZQ19" s="84"/>
      <c r="GZR19" s="84"/>
      <c r="GZS19" s="84"/>
      <c r="GZT19" s="84"/>
      <c r="GZU19" s="84"/>
      <c r="GZV19" s="84"/>
      <c r="GZW19" s="84"/>
      <c r="GZX19" s="84"/>
      <c r="GZY19" s="84"/>
      <c r="GZZ19" s="84"/>
      <c r="HAA19" s="84"/>
      <c r="HAB19" s="84"/>
      <c r="HAC19" s="84"/>
      <c r="HAD19" s="84"/>
      <c r="HAE19" s="84"/>
      <c r="HAF19" s="84"/>
      <c r="HAG19" s="84"/>
      <c r="HAH19" s="84"/>
      <c r="HAI19" s="84"/>
      <c r="HAJ19" s="84"/>
      <c r="HAK19" s="84"/>
      <c r="HAL19" s="84"/>
      <c r="HAM19" s="84"/>
      <c r="HAN19" s="84"/>
      <c r="HAO19" s="84"/>
      <c r="HAP19" s="84"/>
      <c r="HAQ19" s="84"/>
      <c r="HAR19" s="84"/>
      <c r="HAS19" s="84"/>
      <c r="HAT19" s="84"/>
      <c r="HAU19" s="84"/>
      <c r="HAV19" s="84"/>
      <c r="HAW19" s="84"/>
      <c r="HAX19" s="84"/>
      <c r="HAY19" s="84"/>
      <c r="HAZ19" s="84"/>
      <c r="HBA19" s="84"/>
      <c r="HBB19" s="84"/>
      <c r="HBC19" s="84"/>
      <c r="HBD19" s="84"/>
      <c r="HBE19" s="84"/>
      <c r="HBF19" s="84"/>
      <c r="HBG19" s="84"/>
      <c r="HBH19" s="84"/>
      <c r="HBI19" s="84"/>
      <c r="HBJ19" s="84"/>
      <c r="HBK19" s="84"/>
      <c r="HBL19" s="84"/>
      <c r="HBM19" s="386"/>
    </row>
    <row r="20" spans="1:5473" s="83" customFormat="1" x14ac:dyDescent="0.3">
      <c r="A20" s="11">
        <v>15</v>
      </c>
      <c r="B20" s="40" t="s">
        <v>1568</v>
      </c>
      <c r="C20" s="12" t="s">
        <v>1569</v>
      </c>
      <c r="D20" s="299">
        <v>891220085360</v>
      </c>
      <c r="E20" s="12" t="s">
        <v>1567</v>
      </c>
      <c r="F20" s="12" t="s">
        <v>7</v>
      </c>
      <c r="G20" s="11" t="s">
        <v>1528</v>
      </c>
      <c r="H20" s="86" t="s">
        <v>1495</v>
      </c>
      <c r="I20" s="550">
        <v>10000</v>
      </c>
      <c r="J20" s="89"/>
      <c r="K20" s="89">
        <v>8100</v>
      </c>
      <c r="L20" s="121">
        <v>7695</v>
      </c>
      <c r="M20" s="122">
        <f t="shared" si="0"/>
        <v>2305</v>
      </c>
      <c r="N20" s="295"/>
      <c r="O20" s="121"/>
      <c r="P20" s="547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  <c r="DB20" s="84"/>
      <c r="DC20" s="84"/>
      <c r="DD20" s="84"/>
      <c r="DE20" s="84"/>
      <c r="DF20" s="84"/>
      <c r="DG20" s="84"/>
      <c r="DH20" s="84"/>
      <c r="DI20" s="84"/>
      <c r="DJ20" s="84"/>
      <c r="DK20" s="84"/>
      <c r="DL20" s="84"/>
      <c r="DM20" s="84"/>
      <c r="DN20" s="84"/>
      <c r="DO20" s="84"/>
      <c r="DP20" s="84"/>
      <c r="DQ20" s="84"/>
      <c r="DR20" s="84"/>
      <c r="DS20" s="84"/>
      <c r="DT20" s="84"/>
      <c r="DU20" s="84"/>
      <c r="DV20" s="84"/>
      <c r="DW20" s="84"/>
      <c r="DX20" s="84"/>
      <c r="DY20" s="84"/>
      <c r="DZ20" s="84"/>
      <c r="EA20" s="84"/>
      <c r="EB20" s="84"/>
      <c r="EC20" s="84"/>
      <c r="ED20" s="84"/>
      <c r="EE20" s="84"/>
      <c r="EF20" s="84"/>
      <c r="EG20" s="84"/>
      <c r="EH20" s="84"/>
      <c r="EI20" s="84"/>
      <c r="EJ20" s="84"/>
      <c r="EK20" s="84"/>
      <c r="EL20" s="84"/>
      <c r="EM20" s="84"/>
      <c r="EN20" s="84"/>
      <c r="EO20" s="84"/>
      <c r="EP20" s="84"/>
      <c r="EQ20" s="84"/>
      <c r="ER20" s="84"/>
      <c r="ES20" s="84"/>
      <c r="ET20" s="84"/>
      <c r="EU20" s="84"/>
      <c r="EV20" s="84"/>
      <c r="EW20" s="84"/>
      <c r="EX20" s="84"/>
      <c r="EY20" s="84"/>
      <c r="EZ20" s="84"/>
      <c r="FA20" s="84"/>
      <c r="FB20" s="84"/>
      <c r="FC20" s="84"/>
      <c r="FD20" s="84"/>
      <c r="FE20" s="84"/>
      <c r="FF20" s="84"/>
      <c r="FG20" s="84"/>
      <c r="FH20" s="84"/>
      <c r="FI20" s="84"/>
      <c r="FJ20" s="84"/>
      <c r="FK20" s="84"/>
      <c r="FL20" s="84"/>
      <c r="FM20" s="84"/>
      <c r="FN20" s="84"/>
      <c r="FO20" s="84"/>
      <c r="FP20" s="84"/>
      <c r="FQ20" s="84"/>
      <c r="FR20" s="84"/>
      <c r="FS20" s="84"/>
      <c r="FT20" s="84"/>
      <c r="FU20" s="84"/>
      <c r="FV20" s="84"/>
      <c r="FW20" s="84"/>
      <c r="FX20" s="84"/>
      <c r="FY20" s="84"/>
      <c r="FZ20" s="84"/>
      <c r="GA20" s="84"/>
      <c r="GB20" s="84"/>
      <c r="GC20" s="84"/>
      <c r="GD20" s="84"/>
      <c r="GE20" s="84"/>
      <c r="GF20" s="84"/>
      <c r="GG20" s="84"/>
      <c r="GH20" s="84"/>
      <c r="GI20" s="84"/>
      <c r="GJ20" s="84"/>
      <c r="GK20" s="84"/>
      <c r="GL20" s="84"/>
      <c r="GM20" s="84"/>
      <c r="GN20" s="84"/>
      <c r="GO20" s="84"/>
      <c r="GP20" s="84"/>
      <c r="GQ20" s="84"/>
      <c r="GR20" s="84"/>
      <c r="GS20" s="84"/>
      <c r="GT20" s="84"/>
      <c r="GU20" s="84"/>
      <c r="GV20" s="84"/>
      <c r="GW20" s="84"/>
      <c r="GX20" s="84"/>
      <c r="GY20" s="84"/>
      <c r="GZ20" s="84"/>
      <c r="HA20" s="84"/>
      <c r="HB20" s="84"/>
      <c r="HC20" s="84"/>
      <c r="HD20" s="84"/>
      <c r="HE20" s="84"/>
      <c r="HF20" s="84"/>
      <c r="HG20" s="84"/>
      <c r="HH20" s="84"/>
      <c r="HI20" s="84"/>
      <c r="HJ20" s="84"/>
      <c r="HK20" s="84"/>
      <c r="HL20" s="84"/>
      <c r="HM20" s="84"/>
      <c r="HN20" s="84"/>
      <c r="HO20" s="84"/>
      <c r="HP20" s="84"/>
      <c r="HQ20" s="84"/>
      <c r="HR20" s="84"/>
      <c r="HS20" s="84"/>
      <c r="HT20" s="84"/>
      <c r="HU20" s="84"/>
      <c r="HV20" s="84"/>
      <c r="HW20" s="84"/>
      <c r="HX20" s="84"/>
      <c r="HY20" s="84"/>
      <c r="HZ20" s="84"/>
      <c r="IA20" s="84"/>
      <c r="IB20" s="84"/>
      <c r="IC20" s="84"/>
      <c r="ID20" s="84"/>
      <c r="IE20" s="84"/>
      <c r="IF20" s="84"/>
      <c r="IG20" s="84"/>
      <c r="IH20" s="84"/>
      <c r="II20" s="84"/>
      <c r="IJ20" s="84"/>
      <c r="IK20" s="84"/>
      <c r="IL20" s="84"/>
      <c r="IM20" s="84"/>
      <c r="IN20" s="84"/>
      <c r="IO20" s="84"/>
      <c r="IP20" s="84"/>
      <c r="IQ20" s="84"/>
      <c r="IR20" s="84"/>
      <c r="IS20" s="84"/>
      <c r="IT20" s="84"/>
      <c r="IU20" s="84"/>
      <c r="IV20" s="84"/>
      <c r="IW20" s="84"/>
      <c r="IX20" s="84"/>
      <c r="IY20" s="84"/>
      <c r="IZ20" s="84"/>
      <c r="JA20" s="84"/>
      <c r="JB20" s="84"/>
      <c r="JC20" s="84"/>
      <c r="JD20" s="84"/>
      <c r="JE20" s="84"/>
      <c r="JF20" s="84"/>
      <c r="JG20" s="84"/>
      <c r="JH20" s="84"/>
      <c r="JI20" s="84"/>
      <c r="JJ20" s="84"/>
      <c r="JK20" s="84"/>
      <c r="JL20" s="84"/>
      <c r="JM20" s="84"/>
      <c r="JN20" s="84"/>
      <c r="JO20" s="84"/>
      <c r="JP20" s="84"/>
      <c r="JQ20" s="84"/>
      <c r="JR20" s="84"/>
      <c r="JS20" s="84"/>
      <c r="JT20" s="84"/>
      <c r="JU20" s="84"/>
      <c r="JV20" s="84"/>
      <c r="JW20" s="84"/>
      <c r="JX20" s="84"/>
      <c r="JY20" s="84"/>
      <c r="JZ20" s="84"/>
      <c r="KA20" s="84"/>
      <c r="KB20" s="84"/>
      <c r="KC20" s="84"/>
      <c r="KD20" s="84"/>
      <c r="KE20" s="84"/>
      <c r="KF20" s="84"/>
      <c r="KG20" s="84"/>
      <c r="KH20" s="84"/>
      <c r="KI20" s="84"/>
      <c r="KJ20" s="84"/>
      <c r="KK20" s="84"/>
      <c r="KL20" s="84"/>
      <c r="KM20" s="84"/>
      <c r="KN20" s="84"/>
      <c r="KO20" s="84"/>
      <c r="KP20" s="84"/>
      <c r="KQ20" s="84"/>
      <c r="KR20" s="84"/>
      <c r="KS20" s="84"/>
      <c r="KT20" s="84"/>
      <c r="KU20" s="84"/>
      <c r="KV20" s="84"/>
      <c r="KW20" s="84"/>
      <c r="KX20" s="84"/>
      <c r="KY20" s="84"/>
      <c r="KZ20" s="84"/>
      <c r="LA20" s="84"/>
      <c r="LB20" s="84"/>
      <c r="LC20" s="84"/>
      <c r="LD20" s="84"/>
      <c r="LE20" s="84"/>
      <c r="LF20" s="84"/>
      <c r="LG20" s="84"/>
      <c r="LH20" s="84"/>
      <c r="LI20" s="84"/>
      <c r="LJ20" s="84"/>
      <c r="LK20" s="84"/>
      <c r="LL20" s="84"/>
      <c r="LM20" s="84"/>
      <c r="LN20" s="84"/>
      <c r="LO20" s="84"/>
      <c r="LP20" s="84"/>
      <c r="LQ20" s="84"/>
      <c r="LR20" s="84"/>
      <c r="LS20" s="84"/>
      <c r="LT20" s="84"/>
      <c r="LU20" s="84"/>
      <c r="LV20" s="84"/>
      <c r="LW20" s="84"/>
      <c r="LX20" s="84"/>
      <c r="LY20" s="84"/>
      <c r="LZ20" s="84"/>
      <c r="MA20" s="84"/>
      <c r="MB20" s="84"/>
      <c r="MC20" s="84"/>
      <c r="MD20" s="84"/>
      <c r="ME20" s="84"/>
      <c r="MF20" s="84"/>
      <c r="MG20" s="84"/>
      <c r="MH20" s="84"/>
      <c r="MI20" s="84"/>
      <c r="MJ20" s="84"/>
      <c r="MK20" s="84"/>
      <c r="ML20" s="84"/>
      <c r="MM20" s="84"/>
      <c r="MN20" s="84"/>
      <c r="MO20" s="84"/>
      <c r="MP20" s="84"/>
      <c r="MQ20" s="84"/>
      <c r="MR20" s="84"/>
      <c r="MS20" s="84"/>
      <c r="MT20" s="84"/>
      <c r="MU20" s="84"/>
      <c r="MV20" s="84"/>
      <c r="MW20" s="84"/>
      <c r="MX20" s="84"/>
      <c r="MY20" s="84"/>
      <c r="MZ20" s="84"/>
      <c r="NA20" s="84"/>
      <c r="NB20" s="84"/>
      <c r="NC20" s="84"/>
      <c r="ND20" s="84"/>
      <c r="NE20" s="84"/>
      <c r="NF20" s="84"/>
      <c r="NG20" s="84"/>
      <c r="NH20" s="84"/>
      <c r="NI20" s="84"/>
      <c r="NJ20" s="84"/>
      <c r="NK20" s="84"/>
      <c r="NL20" s="84"/>
      <c r="NM20" s="84"/>
      <c r="NN20" s="84"/>
      <c r="NO20" s="84"/>
      <c r="NP20" s="84"/>
      <c r="NQ20" s="84"/>
      <c r="NR20" s="84"/>
      <c r="NS20" s="84"/>
      <c r="NT20" s="84"/>
      <c r="NU20" s="84"/>
      <c r="NV20" s="84"/>
      <c r="NW20" s="84"/>
      <c r="NX20" s="84"/>
      <c r="NY20" s="84"/>
      <c r="NZ20" s="84"/>
      <c r="OA20" s="84"/>
      <c r="OB20" s="84"/>
      <c r="OC20" s="84"/>
      <c r="OD20" s="84"/>
      <c r="OE20" s="84"/>
      <c r="OF20" s="84"/>
      <c r="OG20" s="84"/>
      <c r="OH20" s="84"/>
      <c r="OI20" s="84"/>
      <c r="OJ20" s="84"/>
      <c r="OK20" s="84"/>
      <c r="OL20" s="84"/>
      <c r="OM20" s="84"/>
      <c r="ON20" s="84"/>
      <c r="OO20" s="84"/>
      <c r="OP20" s="84"/>
      <c r="OQ20" s="84"/>
      <c r="OR20" s="84"/>
      <c r="OS20" s="84"/>
      <c r="OT20" s="84"/>
      <c r="OU20" s="84"/>
      <c r="OV20" s="84"/>
      <c r="OW20" s="84"/>
      <c r="OX20" s="84"/>
      <c r="OY20" s="84"/>
      <c r="OZ20" s="84"/>
      <c r="PA20" s="84"/>
      <c r="PB20" s="84"/>
      <c r="PC20" s="84"/>
      <c r="PD20" s="84"/>
      <c r="PE20" s="84"/>
      <c r="PF20" s="84"/>
      <c r="PG20" s="84"/>
      <c r="PH20" s="84"/>
      <c r="PI20" s="84"/>
      <c r="PJ20" s="84"/>
      <c r="PK20" s="84"/>
      <c r="PL20" s="84"/>
      <c r="PM20" s="84"/>
      <c r="PN20" s="84"/>
      <c r="PO20" s="84"/>
      <c r="PP20" s="84"/>
      <c r="PQ20" s="84"/>
      <c r="PR20" s="84"/>
      <c r="PS20" s="84"/>
      <c r="PT20" s="84"/>
      <c r="PU20" s="84"/>
      <c r="PV20" s="84"/>
      <c r="PW20" s="84"/>
      <c r="PX20" s="84"/>
      <c r="PY20" s="84"/>
      <c r="PZ20" s="84"/>
      <c r="QA20" s="84"/>
      <c r="QB20" s="84"/>
      <c r="QC20" s="84"/>
      <c r="QD20" s="84"/>
      <c r="QE20" s="84"/>
      <c r="QF20" s="84"/>
      <c r="QG20" s="84"/>
      <c r="QH20" s="84"/>
      <c r="QI20" s="84"/>
      <c r="QJ20" s="84"/>
      <c r="QK20" s="84"/>
      <c r="QL20" s="84"/>
      <c r="QM20" s="84"/>
      <c r="QN20" s="84"/>
      <c r="QO20" s="84"/>
      <c r="QP20" s="84"/>
      <c r="QQ20" s="84"/>
      <c r="QR20" s="84"/>
      <c r="QS20" s="84"/>
      <c r="QT20" s="84"/>
      <c r="QU20" s="84"/>
      <c r="QV20" s="84"/>
      <c r="QW20" s="84"/>
      <c r="QX20" s="84"/>
      <c r="QY20" s="84"/>
      <c r="QZ20" s="84"/>
      <c r="RA20" s="84"/>
      <c r="RB20" s="84"/>
      <c r="RC20" s="84"/>
      <c r="RD20" s="84"/>
      <c r="RE20" s="84"/>
      <c r="RF20" s="84"/>
      <c r="RG20" s="84"/>
      <c r="RH20" s="84"/>
      <c r="RI20" s="84"/>
      <c r="RJ20" s="84"/>
      <c r="RK20" s="84"/>
      <c r="RL20" s="84"/>
      <c r="RM20" s="84"/>
      <c r="RN20" s="84"/>
      <c r="RO20" s="84"/>
      <c r="RP20" s="84"/>
      <c r="RQ20" s="84"/>
      <c r="RR20" s="84"/>
      <c r="RS20" s="84"/>
      <c r="RT20" s="84"/>
      <c r="RU20" s="84"/>
      <c r="RV20" s="84"/>
      <c r="RW20" s="84"/>
      <c r="RX20" s="84"/>
      <c r="RY20" s="84"/>
      <c r="RZ20" s="84"/>
      <c r="SA20" s="84"/>
      <c r="SB20" s="84"/>
      <c r="SC20" s="84"/>
      <c r="SD20" s="84"/>
      <c r="SE20" s="84"/>
      <c r="SF20" s="84"/>
      <c r="SG20" s="84"/>
      <c r="SH20" s="84"/>
      <c r="SI20" s="84"/>
      <c r="SJ20" s="84"/>
      <c r="SK20" s="84"/>
      <c r="SL20" s="84"/>
      <c r="SM20" s="84"/>
      <c r="SN20" s="84"/>
      <c r="SO20" s="84"/>
      <c r="SP20" s="84"/>
      <c r="SQ20" s="84"/>
      <c r="SR20" s="84"/>
      <c r="SS20" s="84"/>
      <c r="ST20" s="84"/>
      <c r="SU20" s="84"/>
      <c r="SV20" s="84"/>
      <c r="SW20" s="84"/>
      <c r="SX20" s="84"/>
      <c r="SY20" s="84"/>
      <c r="SZ20" s="84"/>
      <c r="TA20" s="84"/>
      <c r="TB20" s="84"/>
      <c r="TC20" s="84"/>
      <c r="TD20" s="84"/>
      <c r="TE20" s="84"/>
      <c r="TF20" s="84"/>
      <c r="TG20" s="84"/>
      <c r="TH20" s="84"/>
      <c r="TI20" s="84"/>
      <c r="TJ20" s="84"/>
      <c r="TK20" s="84"/>
      <c r="TL20" s="84"/>
      <c r="TM20" s="84"/>
      <c r="TN20" s="84"/>
      <c r="TO20" s="84"/>
      <c r="TP20" s="84"/>
      <c r="TQ20" s="84"/>
      <c r="TR20" s="84"/>
      <c r="TS20" s="84"/>
      <c r="TT20" s="84"/>
      <c r="TU20" s="84"/>
      <c r="TV20" s="84"/>
      <c r="TW20" s="84"/>
      <c r="TX20" s="84"/>
      <c r="TY20" s="84"/>
      <c r="TZ20" s="84"/>
      <c r="UA20" s="84"/>
      <c r="UB20" s="84"/>
      <c r="UC20" s="84"/>
      <c r="UD20" s="84"/>
      <c r="UE20" s="84"/>
      <c r="UF20" s="84"/>
      <c r="UG20" s="84"/>
      <c r="UH20" s="84"/>
      <c r="UI20" s="84"/>
      <c r="UJ20" s="84"/>
      <c r="UK20" s="84"/>
      <c r="UL20" s="84"/>
      <c r="UM20" s="84"/>
      <c r="UN20" s="84"/>
      <c r="UO20" s="84"/>
      <c r="UP20" s="84"/>
      <c r="UQ20" s="84"/>
      <c r="UR20" s="84"/>
      <c r="US20" s="84"/>
      <c r="UT20" s="84"/>
      <c r="UU20" s="84"/>
      <c r="UV20" s="84"/>
      <c r="UW20" s="84"/>
      <c r="UX20" s="84"/>
      <c r="UY20" s="84"/>
      <c r="UZ20" s="84"/>
      <c r="VA20" s="84"/>
      <c r="VB20" s="84"/>
      <c r="VC20" s="84"/>
      <c r="VD20" s="84"/>
      <c r="VE20" s="84"/>
      <c r="VF20" s="84"/>
      <c r="VG20" s="84"/>
      <c r="VH20" s="84"/>
      <c r="VI20" s="84"/>
      <c r="VJ20" s="84"/>
      <c r="VK20" s="84"/>
      <c r="VL20" s="84"/>
      <c r="VM20" s="84"/>
      <c r="VN20" s="84"/>
      <c r="VO20" s="84"/>
      <c r="VP20" s="84"/>
      <c r="VQ20" s="84"/>
      <c r="VR20" s="84"/>
      <c r="VS20" s="84"/>
      <c r="VT20" s="84"/>
      <c r="VU20" s="84"/>
      <c r="VV20" s="84"/>
      <c r="VW20" s="84"/>
      <c r="VX20" s="84"/>
      <c r="VY20" s="84"/>
      <c r="VZ20" s="84"/>
      <c r="WA20" s="84"/>
      <c r="WB20" s="84"/>
      <c r="WC20" s="84"/>
      <c r="WD20" s="84"/>
      <c r="WE20" s="84"/>
      <c r="WF20" s="84"/>
      <c r="WG20" s="84"/>
      <c r="WH20" s="84"/>
      <c r="WI20" s="84"/>
      <c r="WJ20" s="84"/>
      <c r="WK20" s="84"/>
      <c r="WL20" s="84"/>
      <c r="WM20" s="84"/>
      <c r="WN20" s="84"/>
      <c r="WO20" s="84"/>
      <c r="WP20" s="84"/>
      <c r="WQ20" s="84"/>
      <c r="WR20" s="84"/>
      <c r="WS20" s="84"/>
      <c r="WT20" s="84"/>
      <c r="WU20" s="84"/>
      <c r="WV20" s="84"/>
      <c r="WW20" s="84"/>
      <c r="WX20" s="84"/>
      <c r="WY20" s="84"/>
      <c r="WZ20" s="84"/>
      <c r="XA20" s="84"/>
      <c r="XB20" s="84"/>
      <c r="XC20" s="84"/>
      <c r="XD20" s="84"/>
      <c r="XE20" s="84"/>
      <c r="XF20" s="84"/>
      <c r="XG20" s="84"/>
      <c r="XH20" s="84"/>
      <c r="XI20" s="84"/>
      <c r="XJ20" s="84"/>
      <c r="XK20" s="84"/>
      <c r="XL20" s="84"/>
      <c r="XM20" s="84"/>
      <c r="XN20" s="84"/>
      <c r="XO20" s="84"/>
      <c r="XP20" s="84"/>
      <c r="XQ20" s="84"/>
      <c r="XR20" s="84"/>
      <c r="XS20" s="84"/>
      <c r="XT20" s="84"/>
      <c r="XU20" s="84"/>
      <c r="XV20" s="84"/>
      <c r="XW20" s="84"/>
      <c r="XX20" s="84"/>
      <c r="XY20" s="84"/>
      <c r="XZ20" s="84"/>
      <c r="YA20" s="84"/>
      <c r="YB20" s="84"/>
      <c r="YC20" s="84"/>
      <c r="YD20" s="84"/>
      <c r="YE20" s="84"/>
      <c r="YF20" s="84"/>
      <c r="YG20" s="84"/>
      <c r="YH20" s="84"/>
      <c r="YI20" s="84"/>
      <c r="YJ20" s="84"/>
      <c r="YK20" s="84"/>
      <c r="YL20" s="84"/>
      <c r="YM20" s="84"/>
      <c r="YN20" s="84"/>
      <c r="YO20" s="84"/>
      <c r="YP20" s="84"/>
      <c r="YQ20" s="84"/>
      <c r="YR20" s="84"/>
      <c r="YS20" s="84"/>
      <c r="YT20" s="84"/>
      <c r="YU20" s="84"/>
      <c r="YV20" s="84"/>
      <c r="YW20" s="84"/>
      <c r="YX20" s="84"/>
      <c r="YY20" s="84"/>
      <c r="YZ20" s="84"/>
      <c r="ZA20" s="84"/>
      <c r="ZB20" s="84"/>
      <c r="ZC20" s="84"/>
      <c r="ZD20" s="84"/>
      <c r="ZE20" s="84"/>
      <c r="ZF20" s="84"/>
      <c r="ZG20" s="84"/>
      <c r="ZH20" s="84"/>
      <c r="ZI20" s="84"/>
      <c r="ZJ20" s="84"/>
      <c r="ZK20" s="84"/>
      <c r="ZL20" s="84"/>
      <c r="ZM20" s="84"/>
      <c r="ZN20" s="84"/>
      <c r="ZO20" s="84"/>
      <c r="ZP20" s="84"/>
      <c r="ZQ20" s="84"/>
      <c r="ZR20" s="84"/>
      <c r="ZS20" s="84"/>
      <c r="ZT20" s="84"/>
      <c r="ZU20" s="84"/>
      <c r="ZV20" s="84"/>
      <c r="ZW20" s="84"/>
      <c r="ZX20" s="84"/>
      <c r="ZY20" s="84"/>
      <c r="ZZ20" s="84"/>
      <c r="AAA20" s="84"/>
      <c r="AAB20" s="84"/>
      <c r="AAC20" s="84"/>
      <c r="AAD20" s="84"/>
      <c r="AAE20" s="84"/>
      <c r="AAF20" s="84"/>
      <c r="AAG20" s="84"/>
      <c r="AAH20" s="84"/>
      <c r="AAI20" s="84"/>
      <c r="AAJ20" s="84"/>
      <c r="AAK20" s="84"/>
      <c r="AAL20" s="84"/>
      <c r="AAM20" s="84"/>
      <c r="AAN20" s="84"/>
      <c r="AAO20" s="84"/>
      <c r="AAP20" s="84"/>
      <c r="AAQ20" s="84"/>
      <c r="AAR20" s="84"/>
      <c r="AAS20" s="84"/>
      <c r="AAT20" s="84"/>
      <c r="AAU20" s="84"/>
      <c r="AAV20" s="84"/>
      <c r="AAW20" s="84"/>
      <c r="AAX20" s="84"/>
      <c r="AAY20" s="84"/>
      <c r="AAZ20" s="84"/>
      <c r="ABA20" s="84"/>
      <c r="ABB20" s="84"/>
      <c r="ABC20" s="84"/>
      <c r="ABD20" s="84"/>
      <c r="ABE20" s="84"/>
      <c r="ABF20" s="84"/>
      <c r="ABG20" s="84"/>
      <c r="ABH20" s="84"/>
      <c r="ABI20" s="84"/>
      <c r="ABJ20" s="84"/>
      <c r="ABK20" s="84"/>
      <c r="ABL20" s="84"/>
      <c r="ABM20" s="84"/>
      <c r="ABN20" s="84"/>
      <c r="ABO20" s="84"/>
      <c r="ABP20" s="84"/>
      <c r="ABQ20" s="84"/>
      <c r="ABR20" s="84"/>
      <c r="ABS20" s="84"/>
      <c r="ABT20" s="84"/>
      <c r="ABU20" s="84"/>
      <c r="ABV20" s="84"/>
      <c r="ABW20" s="84"/>
      <c r="ABX20" s="84"/>
      <c r="ABY20" s="84"/>
      <c r="ABZ20" s="84"/>
      <c r="ACA20" s="84"/>
      <c r="ACB20" s="84"/>
      <c r="ACC20" s="84"/>
      <c r="ACD20" s="84"/>
      <c r="ACE20" s="84"/>
      <c r="ACF20" s="84"/>
      <c r="ACG20" s="84"/>
      <c r="ACH20" s="84"/>
      <c r="ACI20" s="84"/>
      <c r="ACJ20" s="84"/>
      <c r="ACK20" s="84"/>
      <c r="ACL20" s="84"/>
      <c r="ACM20" s="84"/>
      <c r="ACN20" s="84"/>
      <c r="ACO20" s="84"/>
      <c r="ACP20" s="84"/>
      <c r="ACQ20" s="84"/>
      <c r="ACR20" s="84"/>
      <c r="ACS20" s="84"/>
      <c r="ACT20" s="84"/>
      <c r="ACU20" s="84"/>
      <c r="ACV20" s="84"/>
      <c r="ACW20" s="84"/>
      <c r="ACX20" s="84"/>
      <c r="ACY20" s="84"/>
      <c r="ACZ20" s="84"/>
      <c r="ADA20" s="84"/>
      <c r="ADB20" s="84"/>
      <c r="ADC20" s="84"/>
      <c r="ADD20" s="84"/>
      <c r="ADE20" s="84"/>
      <c r="ADF20" s="84"/>
      <c r="ADG20" s="84"/>
      <c r="ADH20" s="84"/>
      <c r="ADI20" s="84"/>
      <c r="ADJ20" s="84"/>
      <c r="ADK20" s="84"/>
      <c r="ADL20" s="84"/>
      <c r="ADM20" s="84"/>
      <c r="ADN20" s="84"/>
      <c r="ADO20" s="84"/>
      <c r="ADP20" s="84"/>
      <c r="ADQ20" s="84"/>
      <c r="ADR20" s="84"/>
      <c r="ADS20" s="84"/>
      <c r="ADT20" s="84"/>
      <c r="ADU20" s="84"/>
      <c r="ADV20" s="84"/>
      <c r="ADW20" s="84"/>
      <c r="ADX20" s="84"/>
      <c r="ADY20" s="84"/>
      <c r="ADZ20" s="84"/>
      <c r="AEA20" s="84"/>
      <c r="AEB20" s="84"/>
      <c r="AEC20" s="84"/>
      <c r="AED20" s="84"/>
      <c r="AEE20" s="84"/>
      <c r="AEF20" s="84"/>
      <c r="AEG20" s="84"/>
      <c r="AEH20" s="84"/>
      <c r="AEI20" s="84"/>
      <c r="AEJ20" s="84"/>
      <c r="AEK20" s="84"/>
      <c r="AEL20" s="84"/>
      <c r="AEM20" s="84"/>
      <c r="AEN20" s="84"/>
      <c r="AEO20" s="84"/>
      <c r="AEP20" s="84"/>
      <c r="AEQ20" s="84"/>
      <c r="AER20" s="84"/>
      <c r="AES20" s="84"/>
      <c r="AET20" s="84"/>
      <c r="AEU20" s="84"/>
      <c r="AEV20" s="84"/>
      <c r="AEW20" s="84"/>
      <c r="AEX20" s="84"/>
      <c r="AEY20" s="84"/>
      <c r="AEZ20" s="84"/>
      <c r="AFA20" s="84"/>
      <c r="AFB20" s="84"/>
      <c r="AFC20" s="84"/>
      <c r="AFD20" s="84"/>
      <c r="AFE20" s="84"/>
      <c r="AFF20" s="84"/>
      <c r="AFG20" s="84"/>
      <c r="AFH20" s="84"/>
      <c r="AFI20" s="84"/>
      <c r="AFJ20" s="84"/>
      <c r="AFK20" s="84"/>
      <c r="AFL20" s="84"/>
      <c r="AFM20" s="84"/>
      <c r="AFN20" s="84"/>
      <c r="AFO20" s="84"/>
      <c r="AFP20" s="84"/>
      <c r="AFQ20" s="84"/>
      <c r="AFR20" s="84"/>
      <c r="AFS20" s="84"/>
      <c r="AFT20" s="84"/>
      <c r="AFU20" s="84"/>
      <c r="AFV20" s="84"/>
      <c r="AFW20" s="84"/>
      <c r="AFX20" s="84"/>
      <c r="AFY20" s="84"/>
      <c r="AFZ20" s="84"/>
      <c r="AGA20" s="84"/>
      <c r="AGB20" s="84"/>
      <c r="AGC20" s="84"/>
      <c r="AGD20" s="84"/>
      <c r="AGE20" s="84"/>
      <c r="AGF20" s="84"/>
      <c r="AGG20" s="84"/>
      <c r="AGH20" s="84"/>
      <c r="AGI20" s="84"/>
      <c r="AGJ20" s="84"/>
      <c r="AGK20" s="84"/>
      <c r="AGL20" s="84"/>
      <c r="AGM20" s="84"/>
      <c r="AGN20" s="84"/>
      <c r="AGO20" s="84"/>
      <c r="AGP20" s="84"/>
      <c r="AGQ20" s="84"/>
      <c r="AGR20" s="84"/>
      <c r="AGS20" s="84"/>
      <c r="AGT20" s="84"/>
      <c r="AGU20" s="84"/>
      <c r="AGV20" s="84"/>
      <c r="AGW20" s="84"/>
      <c r="AGX20" s="84"/>
      <c r="AGY20" s="84"/>
      <c r="AGZ20" s="84"/>
      <c r="AHA20" s="84"/>
      <c r="AHB20" s="84"/>
      <c r="AHC20" s="84"/>
      <c r="AHD20" s="84"/>
      <c r="AHE20" s="84"/>
      <c r="AHF20" s="84"/>
      <c r="AHG20" s="84"/>
      <c r="AHH20" s="84"/>
      <c r="AHI20" s="84"/>
      <c r="AHJ20" s="84"/>
      <c r="AHK20" s="84"/>
      <c r="AHL20" s="84"/>
      <c r="AHM20" s="84"/>
      <c r="AHN20" s="84"/>
      <c r="AHO20" s="84"/>
      <c r="AHP20" s="84"/>
      <c r="AHQ20" s="84"/>
      <c r="AHR20" s="84"/>
      <c r="AHS20" s="84"/>
      <c r="AHT20" s="84"/>
      <c r="AHU20" s="84"/>
      <c r="AHV20" s="84"/>
      <c r="AHW20" s="84"/>
      <c r="AHX20" s="84"/>
      <c r="AHY20" s="84"/>
      <c r="AHZ20" s="84"/>
      <c r="AIA20" s="84"/>
      <c r="AIB20" s="84"/>
      <c r="AIC20" s="84"/>
      <c r="AID20" s="84"/>
      <c r="AIE20" s="84"/>
      <c r="AIF20" s="84"/>
      <c r="AIG20" s="84"/>
      <c r="AIH20" s="84"/>
      <c r="AII20" s="84"/>
      <c r="AIJ20" s="84"/>
      <c r="AIK20" s="84"/>
      <c r="AIL20" s="84"/>
      <c r="AIM20" s="84"/>
      <c r="AIN20" s="84"/>
      <c r="AIO20" s="84"/>
      <c r="AIP20" s="84"/>
      <c r="AIQ20" s="84"/>
      <c r="AIR20" s="84"/>
      <c r="AIS20" s="84"/>
      <c r="AIT20" s="84"/>
      <c r="AIU20" s="84"/>
      <c r="AIV20" s="84"/>
      <c r="AIW20" s="84"/>
      <c r="AIX20" s="84"/>
      <c r="AIY20" s="84"/>
      <c r="AIZ20" s="84"/>
      <c r="AJA20" s="84"/>
      <c r="AJB20" s="84"/>
      <c r="AJC20" s="84"/>
      <c r="AJD20" s="84"/>
      <c r="AJE20" s="84"/>
      <c r="AJF20" s="84"/>
      <c r="AJG20" s="84"/>
      <c r="AJH20" s="84"/>
      <c r="AJI20" s="84"/>
      <c r="AJJ20" s="84"/>
      <c r="AJK20" s="84"/>
      <c r="AJL20" s="84"/>
      <c r="AJM20" s="84"/>
      <c r="AJN20" s="84"/>
      <c r="AJO20" s="84"/>
      <c r="AJP20" s="84"/>
      <c r="AJQ20" s="84"/>
      <c r="AJR20" s="84"/>
      <c r="AJS20" s="84"/>
      <c r="AJT20" s="84"/>
      <c r="AJU20" s="84"/>
      <c r="AJV20" s="84"/>
      <c r="AJW20" s="84"/>
      <c r="AJX20" s="84"/>
      <c r="AJY20" s="84"/>
      <c r="AJZ20" s="84"/>
      <c r="AKA20" s="84"/>
      <c r="AKB20" s="84"/>
      <c r="AKC20" s="84"/>
      <c r="AKD20" s="84"/>
      <c r="AKE20" s="84"/>
      <c r="AKF20" s="84"/>
      <c r="AKG20" s="84"/>
      <c r="AKH20" s="84"/>
      <c r="AKI20" s="84"/>
      <c r="AKJ20" s="84"/>
      <c r="AKK20" s="84"/>
      <c r="AKL20" s="84"/>
      <c r="AKM20" s="84"/>
      <c r="AKN20" s="84"/>
      <c r="AKO20" s="84"/>
      <c r="AKP20" s="84"/>
      <c r="AKQ20" s="84"/>
      <c r="AKR20" s="84"/>
      <c r="AKS20" s="84"/>
      <c r="AKT20" s="84"/>
      <c r="AKU20" s="84"/>
      <c r="AKV20" s="84"/>
      <c r="AKW20" s="84"/>
      <c r="AKX20" s="84"/>
      <c r="AKY20" s="84"/>
      <c r="AKZ20" s="84"/>
      <c r="ALA20" s="84"/>
      <c r="ALB20" s="84"/>
      <c r="ALC20" s="84"/>
      <c r="ALD20" s="84"/>
      <c r="ALE20" s="84"/>
      <c r="ALF20" s="84"/>
      <c r="ALG20" s="84"/>
      <c r="ALH20" s="84"/>
      <c r="ALI20" s="84"/>
      <c r="ALJ20" s="84"/>
      <c r="ALK20" s="84"/>
      <c r="ALL20" s="84"/>
      <c r="ALM20" s="84"/>
      <c r="ALN20" s="84"/>
      <c r="ALO20" s="84"/>
      <c r="ALP20" s="84"/>
      <c r="ALQ20" s="84"/>
      <c r="ALR20" s="84"/>
      <c r="ALS20" s="84"/>
      <c r="ALT20" s="84"/>
      <c r="ALU20" s="84"/>
      <c r="ALV20" s="84"/>
      <c r="ALW20" s="84"/>
      <c r="ALX20" s="84"/>
      <c r="ALY20" s="84"/>
      <c r="ALZ20" s="84"/>
      <c r="AMA20" s="84"/>
      <c r="AMB20" s="84"/>
      <c r="AMC20" s="84"/>
      <c r="AMD20" s="84"/>
      <c r="AME20" s="84"/>
      <c r="AMF20" s="84"/>
      <c r="AMG20" s="84"/>
      <c r="AMH20" s="84"/>
      <c r="AMI20" s="84"/>
      <c r="AMJ20" s="84"/>
      <c r="AMK20" s="84"/>
      <c r="AML20" s="84"/>
      <c r="AMM20" s="84"/>
      <c r="AMN20" s="84"/>
      <c r="AMO20" s="84"/>
      <c r="AMP20" s="84"/>
      <c r="AMQ20" s="84"/>
      <c r="AMR20" s="84"/>
      <c r="AMS20" s="84"/>
      <c r="AMT20" s="84"/>
      <c r="AMU20" s="84"/>
      <c r="AMV20" s="84"/>
      <c r="AMW20" s="84"/>
      <c r="AMX20" s="84"/>
      <c r="AMY20" s="84"/>
      <c r="AMZ20" s="84"/>
      <c r="ANA20" s="84"/>
      <c r="ANB20" s="84"/>
      <c r="ANC20" s="84"/>
      <c r="AND20" s="84"/>
      <c r="ANE20" s="84"/>
      <c r="ANF20" s="84"/>
      <c r="ANG20" s="84"/>
      <c r="ANH20" s="84"/>
      <c r="ANI20" s="84"/>
      <c r="ANJ20" s="84"/>
      <c r="ANK20" s="84"/>
      <c r="ANL20" s="84"/>
      <c r="ANM20" s="84"/>
      <c r="ANN20" s="84"/>
      <c r="ANO20" s="84"/>
      <c r="ANP20" s="84"/>
      <c r="ANQ20" s="84"/>
      <c r="ANR20" s="84"/>
      <c r="ANS20" s="84"/>
      <c r="ANT20" s="84"/>
      <c r="ANU20" s="84"/>
      <c r="ANV20" s="84"/>
      <c r="ANW20" s="84"/>
      <c r="ANX20" s="84"/>
      <c r="ANY20" s="84"/>
      <c r="ANZ20" s="84"/>
      <c r="AOA20" s="84"/>
      <c r="AOB20" s="84"/>
      <c r="AOC20" s="84"/>
      <c r="AOD20" s="84"/>
      <c r="AOE20" s="84"/>
      <c r="AOF20" s="84"/>
      <c r="AOG20" s="84"/>
      <c r="AOH20" s="84"/>
      <c r="AOI20" s="84"/>
      <c r="AOJ20" s="84"/>
      <c r="AOK20" s="84"/>
      <c r="AOL20" s="84"/>
      <c r="AOM20" s="84"/>
      <c r="AON20" s="84"/>
      <c r="AOO20" s="84"/>
      <c r="AOP20" s="84"/>
      <c r="AOQ20" s="84"/>
      <c r="AOR20" s="84"/>
      <c r="AOS20" s="84"/>
      <c r="AOT20" s="84"/>
      <c r="AOU20" s="84"/>
      <c r="AOV20" s="84"/>
      <c r="AOW20" s="84"/>
      <c r="AOX20" s="84"/>
      <c r="AOY20" s="84"/>
      <c r="AOZ20" s="84"/>
      <c r="APA20" s="84"/>
      <c r="APB20" s="84"/>
      <c r="APC20" s="84"/>
      <c r="APD20" s="84"/>
      <c r="APE20" s="84"/>
      <c r="APF20" s="84"/>
      <c r="APG20" s="84"/>
      <c r="APH20" s="84"/>
      <c r="API20" s="84"/>
      <c r="APJ20" s="84"/>
      <c r="APK20" s="84"/>
      <c r="APL20" s="84"/>
      <c r="APM20" s="84"/>
      <c r="APN20" s="84"/>
      <c r="APO20" s="84"/>
      <c r="APP20" s="84"/>
      <c r="APQ20" s="84"/>
      <c r="APR20" s="84"/>
      <c r="APS20" s="84"/>
      <c r="APT20" s="84"/>
      <c r="APU20" s="84"/>
      <c r="APV20" s="84"/>
      <c r="APW20" s="84"/>
      <c r="APX20" s="84"/>
      <c r="APY20" s="84"/>
      <c r="APZ20" s="84"/>
      <c r="AQA20" s="84"/>
      <c r="AQB20" s="84"/>
      <c r="AQC20" s="84"/>
      <c r="AQD20" s="84"/>
      <c r="AQE20" s="84"/>
      <c r="AQF20" s="84"/>
      <c r="AQG20" s="84"/>
      <c r="AQH20" s="84"/>
      <c r="AQI20" s="84"/>
      <c r="AQJ20" s="84"/>
      <c r="AQK20" s="84"/>
      <c r="AQL20" s="84"/>
      <c r="AQM20" s="84"/>
      <c r="AQN20" s="84"/>
      <c r="AQO20" s="84"/>
      <c r="AQP20" s="84"/>
      <c r="AQQ20" s="84"/>
      <c r="AQR20" s="84"/>
      <c r="AQS20" s="84"/>
      <c r="AQT20" s="84"/>
      <c r="AQU20" s="84"/>
      <c r="AQV20" s="84"/>
      <c r="AQW20" s="84"/>
      <c r="AQX20" s="84"/>
      <c r="AQY20" s="84"/>
      <c r="AQZ20" s="84"/>
      <c r="ARA20" s="84"/>
      <c r="ARB20" s="84"/>
      <c r="ARC20" s="84"/>
      <c r="ARD20" s="84"/>
      <c r="ARE20" s="84"/>
      <c r="ARF20" s="84"/>
      <c r="ARG20" s="84"/>
      <c r="ARH20" s="84"/>
      <c r="ARI20" s="84"/>
      <c r="ARJ20" s="84"/>
      <c r="ARK20" s="84"/>
      <c r="ARL20" s="84"/>
      <c r="ARM20" s="84"/>
      <c r="ARN20" s="84"/>
      <c r="ARO20" s="84"/>
      <c r="ARP20" s="84"/>
      <c r="ARQ20" s="84"/>
      <c r="ARR20" s="84"/>
      <c r="ARS20" s="84"/>
      <c r="ART20" s="84"/>
      <c r="ARU20" s="84"/>
      <c r="ARV20" s="84"/>
      <c r="ARW20" s="84"/>
      <c r="ARX20" s="84"/>
      <c r="ARY20" s="84"/>
      <c r="ARZ20" s="84"/>
      <c r="ASA20" s="84"/>
      <c r="ASB20" s="84"/>
      <c r="ASC20" s="84"/>
      <c r="ASD20" s="84"/>
      <c r="ASE20" s="84"/>
      <c r="ASF20" s="84"/>
      <c r="ASG20" s="84"/>
      <c r="ASH20" s="84"/>
      <c r="ASI20" s="84"/>
      <c r="ASJ20" s="84"/>
      <c r="ASK20" s="84"/>
      <c r="ASL20" s="84"/>
      <c r="ASM20" s="84"/>
      <c r="ASN20" s="84"/>
      <c r="ASO20" s="84"/>
      <c r="ASP20" s="84"/>
      <c r="ASQ20" s="84"/>
      <c r="ASR20" s="84"/>
      <c r="ASS20" s="84"/>
      <c r="AST20" s="84"/>
      <c r="ASU20" s="84"/>
      <c r="ASV20" s="84"/>
      <c r="ASW20" s="84"/>
      <c r="ASX20" s="84"/>
      <c r="ASY20" s="84"/>
      <c r="ASZ20" s="84"/>
      <c r="ATA20" s="84"/>
      <c r="ATB20" s="84"/>
      <c r="ATC20" s="84"/>
      <c r="ATD20" s="84"/>
      <c r="ATE20" s="84"/>
      <c r="ATF20" s="84"/>
      <c r="ATG20" s="84"/>
      <c r="ATH20" s="84"/>
      <c r="ATI20" s="84"/>
      <c r="ATJ20" s="84"/>
      <c r="ATK20" s="84"/>
      <c r="ATL20" s="84"/>
      <c r="ATM20" s="84"/>
      <c r="ATN20" s="84"/>
      <c r="ATO20" s="84"/>
      <c r="ATP20" s="84"/>
      <c r="ATQ20" s="84"/>
      <c r="ATR20" s="84"/>
      <c r="ATS20" s="84"/>
      <c r="ATT20" s="84"/>
      <c r="ATU20" s="84"/>
      <c r="ATV20" s="84"/>
      <c r="ATW20" s="84"/>
      <c r="ATX20" s="84"/>
      <c r="ATY20" s="84"/>
      <c r="ATZ20" s="84"/>
      <c r="AUA20" s="84"/>
      <c r="AUB20" s="84"/>
      <c r="AUC20" s="84"/>
      <c r="AUD20" s="84"/>
      <c r="AUE20" s="84"/>
      <c r="AUF20" s="84"/>
      <c r="AUG20" s="84"/>
      <c r="AUH20" s="84"/>
      <c r="AUI20" s="84"/>
      <c r="AUJ20" s="84"/>
      <c r="AUK20" s="84"/>
      <c r="AUL20" s="84"/>
      <c r="AUM20" s="84"/>
      <c r="AUN20" s="84"/>
      <c r="AUO20" s="84"/>
      <c r="AUP20" s="84"/>
      <c r="AUQ20" s="84"/>
      <c r="AUR20" s="84"/>
      <c r="AUS20" s="84"/>
      <c r="AUT20" s="84"/>
      <c r="AUU20" s="84"/>
      <c r="AUV20" s="84"/>
      <c r="AUW20" s="84"/>
      <c r="AUX20" s="84"/>
      <c r="AUY20" s="84"/>
      <c r="AUZ20" s="84"/>
      <c r="AVA20" s="84"/>
      <c r="AVB20" s="84"/>
      <c r="AVC20" s="84"/>
      <c r="AVD20" s="84"/>
      <c r="AVE20" s="84"/>
      <c r="AVF20" s="84"/>
      <c r="AVG20" s="84"/>
      <c r="AVH20" s="84"/>
      <c r="AVI20" s="84"/>
      <c r="AVJ20" s="84"/>
      <c r="AVK20" s="84"/>
      <c r="AVL20" s="84"/>
      <c r="AVM20" s="84"/>
      <c r="AVN20" s="84"/>
      <c r="AVO20" s="84"/>
      <c r="AVP20" s="84"/>
      <c r="AVQ20" s="84"/>
      <c r="AVR20" s="84"/>
      <c r="AVS20" s="84"/>
      <c r="AVT20" s="84"/>
      <c r="AVU20" s="84"/>
      <c r="AVV20" s="84"/>
      <c r="AVW20" s="84"/>
      <c r="AVX20" s="84"/>
      <c r="AVY20" s="84"/>
      <c r="AVZ20" s="84"/>
      <c r="AWA20" s="84"/>
      <c r="AWB20" s="84"/>
      <c r="AWC20" s="84"/>
      <c r="AWD20" s="84"/>
      <c r="AWE20" s="84"/>
      <c r="AWF20" s="84"/>
      <c r="AWG20" s="84"/>
      <c r="AWH20" s="84"/>
      <c r="AWI20" s="84"/>
      <c r="AWJ20" s="84"/>
      <c r="AWK20" s="84"/>
      <c r="AWL20" s="84"/>
      <c r="AWM20" s="84"/>
      <c r="AWN20" s="84"/>
      <c r="AWO20" s="84"/>
      <c r="AWP20" s="84"/>
      <c r="AWQ20" s="84"/>
      <c r="AWR20" s="84"/>
      <c r="AWS20" s="84"/>
      <c r="AWT20" s="84"/>
      <c r="AWU20" s="84"/>
      <c r="AWV20" s="84"/>
      <c r="AWW20" s="84"/>
      <c r="AWX20" s="84"/>
      <c r="AWY20" s="84"/>
      <c r="AWZ20" s="84"/>
      <c r="AXA20" s="84"/>
      <c r="AXB20" s="84"/>
      <c r="AXC20" s="84"/>
      <c r="AXD20" s="84"/>
      <c r="AXE20" s="84"/>
      <c r="AXF20" s="84"/>
      <c r="AXG20" s="84"/>
      <c r="AXH20" s="84"/>
      <c r="AXI20" s="84"/>
      <c r="AXJ20" s="84"/>
      <c r="AXK20" s="84"/>
      <c r="AXL20" s="84"/>
      <c r="AXM20" s="84"/>
      <c r="AXN20" s="84"/>
      <c r="AXO20" s="84"/>
      <c r="AXP20" s="84"/>
      <c r="AXQ20" s="84"/>
      <c r="AXR20" s="84"/>
      <c r="AXS20" s="84"/>
      <c r="AXT20" s="84"/>
      <c r="AXU20" s="84"/>
      <c r="AXV20" s="84"/>
      <c r="AXW20" s="84"/>
      <c r="AXX20" s="84"/>
      <c r="AXY20" s="84"/>
      <c r="AXZ20" s="84"/>
      <c r="AYA20" s="84"/>
      <c r="AYB20" s="84"/>
      <c r="AYC20" s="84"/>
      <c r="AYD20" s="84"/>
      <c r="AYE20" s="84"/>
      <c r="AYF20" s="84"/>
      <c r="AYG20" s="84"/>
      <c r="AYH20" s="84"/>
      <c r="AYI20" s="84"/>
      <c r="AYJ20" s="84"/>
      <c r="AYK20" s="84"/>
      <c r="AYL20" s="84"/>
      <c r="AYM20" s="84"/>
      <c r="AYN20" s="84"/>
      <c r="AYO20" s="84"/>
      <c r="AYP20" s="84"/>
      <c r="AYQ20" s="84"/>
      <c r="AYR20" s="84"/>
      <c r="AYS20" s="84"/>
      <c r="AYT20" s="84"/>
      <c r="AYU20" s="84"/>
      <c r="AYV20" s="84"/>
      <c r="AYW20" s="84"/>
      <c r="AYX20" s="84"/>
      <c r="AYY20" s="84"/>
      <c r="AYZ20" s="84"/>
      <c r="AZA20" s="84"/>
      <c r="AZB20" s="84"/>
      <c r="AZC20" s="84"/>
      <c r="AZD20" s="84"/>
      <c r="AZE20" s="84"/>
      <c r="AZF20" s="84"/>
      <c r="AZG20" s="84"/>
      <c r="AZH20" s="84"/>
      <c r="AZI20" s="84"/>
      <c r="AZJ20" s="84"/>
      <c r="AZK20" s="84"/>
      <c r="AZL20" s="84"/>
      <c r="AZM20" s="84"/>
      <c r="AZN20" s="84"/>
      <c r="AZO20" s="84"/>
      <c r="AZP20" s="84"/>
      <c r="AZQ20" s="84"/>
      <c r="AZR20" s="84"/>
      <c r="AZS20" s="84"/>
      <c r="AZT20" s="84"/>
      <c r="AZU20" s="84"/>
      <c r="AZV20" s="84"/>
      <c r="AZW20" s="84"/>
      <c r="AZX20" s="84"/>
      <c r="AZY20" s="84"/>
      <c r="AZZ20" s="84"/>
      <c r="BAA20" s="84"/>
      <c r="BAB20" s="84"/>
      <c r="BAC20" s="84"/>
      <c r="BAD20" s="84"/>
      <c r="BAE20" s="84"/>
      <c r="BAF20" s="84"/>
      <c r="BAG20" s="84"/>
      <c r="BAH20" s="84"/>
      <c r="BAI20" s="84"/>
      <c r="BAJ20" s="84"/>
      <c r="BAK20" s="84"/>
      <c r="BAL20" s="84"/>
      <c r="BAM20" s="84"/>
      <c r="BAN20" s="84"/>
      <c r="BAO20" s="84"/>
      <c r="BAP20" s="84"/>
      <c r="BAQ20" s="84"/>
      <c r="BAR20" s="84"/>
      <c r="BAS20" s="84"/>
      <c r="BAT20" s="84"/>
      <c r="BAU20" s="84"/>
      <c r="BAV20" s="84"/>
      <c r="BAW20" s="84"/>
      <c r="BAX20" s="84"/>
      <c r="BAY20" s="84"/>
      <c r="BAZ20" s="84"/>
      <c r="BBA20" s="84"/>
      <c r="BBB20" s="84"/>
      <c r="BBC20" s="84"/>
      <c r="BBD20" s="84"/>
      <c r="BBE20" s="84"/>
      <c r="BBF20" s="84"/>
      <c r="BBG20" s="84"/>
      <c r="BBH20" s="84"/>
      <c r="BBI20" s="84"/>
      <c r="BBJ20" s="84"/>
      <c r="BBK20" s="84"/>
      <c r="BBL20" s="84"/>
      <c r="BBM20" s="84"/>
      <c r="BBN20" s="84"/>
      <c r="BBO20" s="84"/>
      <c r="BBP20" s="84"/>
      <c r="BBQ20" s="84"/>
      <c r="BBR20" s="84"/>
      <c r="BBS20" s="84"/>
      <c r="BBT20" s="84"/>
      <c r="BBU20" s="84"/>
      <c r="BBV20" s="84"/>
      <c r="BBW20" s="84"/>
      <c r="BBX20" s="84"/>
      <c r="BBY20" s="84"/>
      <c r="BBZ20" s="84"/>
      <c r="BCA20" s="84"/>
      <c r="BCB20" s="84"/>
      <c r="BCC20" s="84"/>
      <c r="BCD20" s="84"/>
      <c r="BCE20" s="84"/>
      <c r="BCF20" s="84"/>
      <c r="BCG20" s="84"/>
      <c r="BCH20" s="84"/>
      <c r="BCI20" s="84"/>
      <c r="BCJ20" s="84"/>
      <c r="BCK20" s="84"/>
      <c r="BCL20" s="84"/>
      <c r="BCM20" s="84"/>
      <c r="BCN20" s="84"/>
      <c r="BCO20" s="84"/>
      <c r="BCP20" s="84"/>
      <c r="BCQ20" s="84"/>
      <c r="BCR20" s="84"/>
      <c r="BCS20" s="84"/>
      <c r="BCT20" s="84"/>
      <c r="BCU20" s="84"/>
      <c r="BCV20" s="84"/>
      <c r="BCW20" s="84"/>
      <c r="BCX20" s="84"/>
      <c r="BCY20" s="84"/>
      <c r="BCZ20" s="84"/>
      <c r="BDA20" s="84"/>
      <c r="BDB20" s="84"/>
      <c r="BDC20" s="84"/>
      <c r="BDD20" s="84"/>
      <c r="BDE20" s="84"/>
      <c r="BDF20" s="84"/>
      <c r="BDG20" s="84"/>
      <c r="BDH20" s="84"/>
      <c r="BDI20" s="84"/>
      <c r="BDJ20" s="84"/>
      <c r="BDK20" s="84"/>
      <c r="BDL20" s="84"/>
      <c r="BDM20" s="84"/>
      <c r="BDN20" s="84"/>
      <c r="BDO20" s="84"/>
      <c r="BDP20" s="84"/>
      <c r="BDQ20" s="84"/>
      <c r="BDR20" s="84"/>
      <c r="BDS20" s="84"/>
      <c r="BDT20" s="84"/>
      <c r="BDU20" s="84"/>
      <c r="BDV20" s="84"/>
      <c r="BDW20" s="84"/>
      <c r="BDX20" s="84"/>
      <c r="BDY20" s="84"/>
      <c r="BDZ20" s="84"/>
      <c r="BEA20" s="84"/>
      <c r="BEB20" s="84"/>
      <c r="BEC20" s="84"/>
      <c r="BED20" s="84"/>
      <c r="BEE20" s="84"/>
      <c r="BEF20" s="84"/>
      <c r="BEG20" s="84"/>
      <c r="BEH20" s="84"/>
      <c r="BEI20" s="84"/>
      <c r="BEJ20" s="84"/>
      <c r="BEK20" s="84"/>
      <c r="BEL20" s="84"/>
      <c r="BEM20" s="84"/>
      <c r="BEN20" s="84"/>
      <c r="BEO20" s="84"/>
      <c r="BEP20" s="84"/>
      <c r="BEQ20" s="84"/>
      <c r="BER20" s="84"/>
      <c r="BES20" s="84"/>
      <c r="BET20" s="84"/>
      <c r="BEU20" s="84"/>
      <c r="BEV20" s="84"/>
      <c r="BEW20" s="84"/>
      <c r="BEX20" s="84"/>
      <c r="BEY20" s="84"/>
      <c r="BEZ20" s="84"/>
      <c r="BFA20" s="84"/>
      <c r="BFB20" s="84"/>
      <c r="BFC20" s="84"/>
      <c r="BFD20" s="84"/>
      <c r="BFE20" s="84"/>
      <c r="BFF20" s="84"/>
      <c r="BFG20" s="84"/>
      <c r="BFH20" s="84"/>
      <c r="BFI20" s="84"/>
      <c r="BFJ20" s="84"/>
      <c r="BFK20" s="84"/>
      <c r="BFL20" s="84"/>
      <c r="BFM20" s="84"/>
      <c r="BFN20" s="84"/>
      <c r="BFO20" s="84"/>
      <c r="BFP20" s="84"/>
      <c r="BFQ20" s="84"/>
      <c r="BFR20" s="84"/>
      <c r="BFS20" s="84"/>
      <c r="BFT20" s="84"/>
      <c r="BFU20" s="84"/>
      <c r="BFV20" s="84"/>
      <c r="BFW20" s="84"/>
      <c r="BFX20" s="84"/>
      <c r="BFY20" s="84"/>
      <c r="BFZ20" s="84"/>
      <c r="BGA20" s="84"/>
      <c r="BGB20" s="84"/>
      <c r="BGC20" s="84"/>
      <c r="BGD20" s="84"/>
      <c r="BGE20" s="84"/>
      <c r="BGF20" s="84"/>
      <c r="BGG20" s="84"/>
      <c r="BGH20" s="84"/>
      <c r="BGI20" s="84"/>
      <c r="BGJ20" s="84"/>
      <c r="BGK20" s="84"/>
      <c r="BGL20" s="84"/>
      <c r="BGM20" s="84"/>
      <c r="BGN20" s="84"/>
      <c r="BGO20" s="84"/>
      <c r="BGP20" s="84"/>
      <c r="BGQ20" s="84"/>
      <c r="BGR20" s="84"/>
      <c r="BGS20" s="84"/>
      <c r="BGT20" s="84"/>
      <c r="BGU20" s="84"/>
      <c r="BGV20" s="84"/>
      <c r="BGW20" s="84"/>
      <c r="BGX20" s="84"/>
      <c r="BGY20" s="84"/>
      <c r="BGZ20" s="84"/>
      <c r="BHA20" s="84"/>
      <c r="BHB20" s="84"/>
      <c r="BHC20" s="84"/>
      <c r="BHD20" s="84"/>
      <c r="BHE20" s="84"/>
      <c r="BHF20" s="84"/>
      <c r="BHG20" s="84"/>
      <c r="BHH20" s="84"/>
      <c r="BHI20" s="84"/>
      <c r="BHJ20" s="84"/>
      <c r="BHK20" s="84"/>
      <c r="BHL20" s="84"/>
      <c r="BHM20" s="84"/>
      <c r="BHN20" s="84"/>
      <c r="BHO20" s="84"/>
      <c r="BHP20" s="84"/>
      <c r="BHQ20" s="84"/>
      <c r="BHR20" s="84"/>
      <c r="BHS20" s="84"/>
      <c r="BHT20" s="84"/>
      <c r="BHU20" s="84"/>
      <c r="BHV20" s="84"/>
      <c r="BHW20" s="84"/>
      <c r="BHX20" s="84"/>
      <c r="BHY20" s="84"/>
      <c r="BHZ20" s="84"/>
      <c r="BIA20" s="84"/>
      <c r="BIB20" s="84"/>
      <c r="BIC20" s="84"/>
      <c r="BID20" s="84"/>
      <c r="BIE20" s="84"/>
      <c r="BIF20" s="84"/>
      <c r="BIG20" s="84"/>
      <c r="BIH20" s="84"/>
      <c r="BII20" s="84"/>
      <c r="BIJ20" s="84"/>
      <c r="BIK20" s="84"/>
      <c r="BIL20" s="84"/>
      <c r="BIM20" s="84"/>
      <c r="BIN20" s="84"/>
      <c r="BIO20" s="84"/>
      <c r="BIP20" s="84"/>
      <c r="BIQ20" s="84"/>
      <c r="BIR20" s="84"/>
      <c r="BIS20" s="84"/>
      <c r="BIT20" s="84"/>
      <c r="BIU20" s="84"/>
      <c r="BIV20" s="84"/>
      <c r="BIW20" s="84"/>
      <c r="BIX20" s="84"/>
      <c r="BIY20" s="84"/>
      <c r="BIZ20" s="84"/>
      <c r="BJA20" s="84"/>
      <c r="BJB20" s="84"/>
      <c r="BJC20" s="84"/>
      <c r="BJD20" s="84"/>
      <c r="BJE20" s="84"/>
      <c r="BJF20" s="84"/>
      <c r="BJG20" s="84"/>
      <c r="BJH20" s="84"/>
      <c r="BJI20" s="84"/>
      <c r="BJJ20" s="84"/>
      <c r="BJK20" s="84"/>
      <c r="BJL20" s="84"/>
      <c r="BJM20" s="84"/>
      <c r="BJN20" s="84"/>
      <c r="BJO20" s="84"/>
      <c r="BJP20" s="84"/>
      <c r="BJQ20" s="84"/>
      <c r="BJR20" s="84"/>
      <c r="BJS20" s="84"/>
      <c r="BJT20" s="84"/>
      <c r="BJU20" s="84"/>
      <c r="BJV20" s="84"/>
      <c r="BJW20" s="84"/>
      <c r="BJX20" s="84"/>
      <c r="BJY20" s="84"/>
      <c r="BJZ20" s="84"/>
      <c r="BKA20" s="84"/>
      <c r="BKB20" s="84"/>
      <c r="BKC20" s="84"/>
      <c r="BKD20" s="84"/>
      <c r="BKE20" s="84"/>
      <c r="BKF20" s="84"/>
      <c r="BKG20" s="84"/>
      <c r="BKH20" s="84"/>
      <c r="BKI20" s="84"/>
      <c r="BKJ20" s="84"/>
      <c r="BKK20" s="84"/>
      <c r="BKL20" s="84"/>
      <c r="BKM20" s="84"/>
      <c r="BKN20" s="84"/>
      <c r="BKO20" s="84"/>
      <c r="BKP20" s="84"/>
      <c r="BKQ20" s="84"/>
      <c r="BKR20" s="84"/>
      <c r="BKS20" s="84"/>
      <c r="BKT20" s="84"/>
      <c r="BKU20" s="84"/>
      <c r="BKV20" s="84"/>
      <c r="BKW20" s="84"/>
      <c r="BKX20" s="84"/>
      <c r="BKY20" s="84"/>
      <c r="BKZ20" s="84"/>
      <c r="BLA20" s="84"/>
      <c r="BLB20" s="84"/>
      <c r="BLC20" s="84"/>
      <c r="BLD20" s="84"/>
      <c r="BLE20" s="84"/>
      <c r="BLF20" s="84"/>
      <c r="BLG20" s="84"/>
      <c r="BLH20" s="84"/>
      <c r="BLI20" s="84"/>
      <c r="BLJ20" s="84"/>
      <c r="BLK20" s="84"/>
      <c r="BLL20" s="84"/>
      <c r="BLM20" s="84"/>
      <c r="BLN20" s="84"/>
      <c r="BLO20" s="84"/>
      <c r="BLP20" s="84"/>
      <c r="BLQ20" s="84"/>
      <c r="BLR20" s="84"/>
      <c r="BLS20" s="84"/>
      <c r="BLT20" s="84"/>
      <c r="BLU20" s="84"/>
      <c r="BLV20" s="84"/>
      <c r="BLW20" s="84"/>
      <c r="BLX20" s="84"/>
      <c r="BLY20" s="84"/>
      <c r="BLZ20" s="84"/>
      <c r="BMA20" s="84"/>
      <c r="BMB20" s="84"/>
      <c r="BMC20" s="84"/>
      <c r="BMD20" s="84"/>
      <c r="BME20" s="84"/>
      <c r="BMF20" s="84"/>
      <c r="BMG20" s="84"/>
      <c r="BMH20" s="84"/>
      <c r="BMI20" s="84"/>
      <c r="BMJ20" s="84"/>
      <c r="BMK20" s="84"/>
      <c r="BML20" s="84"/>
      <c r="BMM20" s="84"/>
      <c r="BMN20" s="84"/>
      <c r="BMO20" s="84"/>
      <c r="BMP20" s="84"/>
      <c r="BMQ20" s="84"/>
      <c r="BMR20" s="84"/>
      <c r="BMS20" s="84"/>
      <c r="BMT20" s="84"/>
      <c r="BMU20" s="84"/>
      <c r="BMV20" s="84"/>
      <c r="BMW20" s="84"/>
      <c r="BMX20" s="84"/>
      <c r="BMY20" s="84"/>
      <c r="BMZ20" s="84"/>
      <c r="BNA20" s="84"/>
      <c r="BNB20" s="84"/>
      <c r="BNC20" s="84"/>
      <c r="BND20" s="84"/>
      <c r="BNE20" s="84"/>
      <c r="BNF20" s="84"/>
      <c r="BNG20" s="84"/>
      <c r="BNH20" s="84"/>
      <c r="BNI20" s="84"/>
      <c r="BNJ20" s="84"/>
      <c r="BNK20" s="84"/>
      <c r="BNL20" s="84"/>
      <c r="BNM20" s="84"/>
      <c r="BNN20" s="84"/>
      <c r="BNO20" s="84"/>
      <c r="BNP20" s="84"/>
      <c r="BNQ20" s="84"/>
      <c r="BNR20" s="84"/>
      <c r="BNS20" s="84"/>
      <c r="BNT20" s="84"/>
      <c r="BNU20" s="84"/>
      <c r="BNV20" s="84"/>
      <c r="BNW20" s="84"/>
      <c r="BNX20" s="84"/>
      <c r="BNY20" s="84"/>
      <c r="BNZ20" s="84"/>
      <c r="BOA20" s="84"/>
      <c r="BOB20" s="84"/>
      <c r="BOC20" s="84"/>
      <c r="BOD20" s="84"/>
      <c r="BOE20" s="84"/>
      <c r="BOF20" s="84"/>
      <c r="BOG20" s="84"/>
      <c r="BOH20" s="84"/>
      <c r="BOI20" s="84"/>
      <c r="BOJ20" s="84"/>
      <c r="BOK20" s="84"/>
      <c r="BOL20" s="84"/>
      <c r="BOM20" s="84"/>
      <c r="BON20" s="84"/>
      <c r="BOO20" s="84"/>
      <c r="BOP20" s="84"/>
      <c r="BOQ20" s="84"/>
      <c r="BOR20" s="84"/>
      <c r="BOS20" s="84"/>
      <c r="BOT20" s="84"/>
      <c r="BOU20" s="84"/>
      <c r="BOV20" s="84"/>
      <c r="BOW20" s="84"/>
      <c r="BOX20" s="84"/>
      <c r="BOY20" s="84"/>
      <c r="BOZ20" s="84"/>
      <c r="BPA20" s="84"/>
      <c r="BPB20" s="84"/>
      <c r="BPC20" s="84"/>
      <c r="BPD20" s="84"/>
      <c r="BPE20" s="84"/>
      <c r="BPF20" s="84"/>
      <c r="BPG20" s="84"/>
      <c r="BPH20" s="84"/>
      <c r="BPI20" s="84"/>
      <c r="BPJ20" s="84"/>
      <c r="BPK20" s="84"/>
      <c r="BPL20" s="84"/>
      <c r="BPM20" s="84"/>
      <c r="BPN20" s="84"/>
      <c r="BPO20" s="84"/>
      <c r="BPP20" s="84"/>
      <c r="BPQ20" s="84"/>
      <c r="BPR20" s="84"/>
      <c r="BPS20" s="84"/>
      <c r="BPT20" s="84"/>
      <c r="BPU20" s="84"/>
      <c r="BPV20" s="84"/>
      <c r="BPW20" s="84"/>
      <c r="BPX20" s="84"/>
      <c r="BPY20" s="84"/>
      <c r="BPZ20" s="84"/>
      <c r="BQA20" s="84"/>
      <c r="BQB20" s="84"/>
      <c r="BQC20" s="84"/>
      <c r="BQD20" s="84"/>
      <c r="BQE20" s="84"/>
      <c r="BQF20" s="84"/>
      <c r="BQG20" s="84"/>
      <c r="BQH20" s="84"/>
      <c r="BQI20" s="84"/>
      <c r="BQJ20" s="84"/>
      <c r="BQK20" s="84"/>
      <c r="BQL20" s="84"/>
      <c r="BQM20" s="84"/>
      <c r="BQN20" s="84"/>
      <c r="BQO20" s="84"/>
      <c r="BQP20" s="84"/>
      <c r="BQQ20" s="84"/>
      <c r="BQR20" s="84"/>
      <c r="BQS20" s="84"/>
      <c r="BQT20" s="84"/>
      <c r="BQU20" s="84"/>
      <c r="BQV20" s="84"/>
      <c r="BQW20" s="84"/>
      <c r="BQX20" s="84"/>
      <c r="BQY20" s="84"/>
      <c r="BQZ20" s="84"/>
      <c r="BRA20" s="84"/>
      <c r="BRB20" s="84"/>
      <c r="BRC20" s="84"/>
      <c r="BRD20" s="84"/>
      <c r="BRE20" s="84"/>
      <c r="BRF20" s="84"/>
      <c r="BRG20" s="84"/>
      <c r="BRH20" s="84"/>
      <c r="BRI20" s="84"/>
      <c r="BRJ20" s="84"/>
      <c r="BRK20" s="84"/>
      <c r="BRL20" s="84"/>
      <c r="BRM20" s="84"/>
      <c r="BRN20" s="84"/>
      <c r="BRO20" s="84"/>
      <c r="BRP20" s="84"/>
      <c r="BRQ20" s="84"/>
      <c r="BRR20" s="84"/>
      <c r="BRS20" s="84"/>
      <c r="BRT20" s="84"/>
      <c r="BRU20" s="84"/>
      <c r="BRV20" s="84"/>
      <c r="BRW20" s="84"/>
      <c r="BRX20" s="84"/>
      <c r="BRY20" s="84"/>
      <c r="BRZ20" s="84"/>
      <c r="BSA20" s="84"/>
      <c r="BSB20" s="84"/>
      <c r="BSC20" s="84"/>
      <c r="BSD20" s="84"/>
      <c r="BSE20" s="84"/>
      <c r="BSF20" s="84"/>
      <c r="BSG20" s="84"/>
      <c r="BSH20" s="84"/>
      <c r="BSI20" s="84"/>
      <c r="BSJ20" s="84"/>
      <c r="BSK20" s="84"/>
      <c r="BSL20" s="84"/>
      <c r="BSM20" s="84"/>
      <c r="BSN20" s="84"/>
      <c r="BSO20" s="84"/>
      <c r="BSP20" s="84"/>
      <c r="BSQ20" s="84"/>
      <c r="BSR20" s="84"/>
      <c r="BSS20" s="84"/>
      <c r="BST20" s="84"/>
      <c r="BSU20" s="84"/>
      <c r="BSV20" s="84"/>
      <c r="BSW20" s="84"/>
      <c r="BSX20" s="84"/>
      <c r="BSY20" s="84"/>
      <c r="BSZ20" s="84"/>
      <c r="BTA20" s="84"/>
      <c r="BTB20" s="84"/>
      <c r="BTC20" s="84"/>
      <c r="BTD20" s="84"/>
      <c r="BTE20" s="84"/>
      <c r="BTF20" s="84"/>
      <c r="BTG20" s="84"/>
      <c r="BTH20" s="84"/>
      <c r="BTI20" s="84"/>
      <c r="BTJ20" s="84"/>
      <c r="BTK20" s="84"/>
      <c r="BTL20" s="84"/>
      <c r="BTM20" s="84"/>
      <c r="BTN20" s="84"/>
      <c r="BTO20" s="84"/>
      <c r="BTP20" s="84"/>
      <c r="BTQ20" s="84"/>
      <c r="BTR20" s="84"/>
      <c r="BTS20" s="84"/>
      <c r="BTT20" s="84"/>
      <c r="BTU20" s="84"/>
      <c r="BTV20" s="84"/>
      <c r="BTW20" s="84"/>
      <c r="BTX20" s="84"/>
      <c r="BTY20" s="84"/>
      <c r="BTZ20" s="84"/>
      <c r="BUA20" s="84"/>
      <c r="BUB20" s="84"/>
      <c r="BUC20" s="84"/>
      <c r="BUD20" s="84"/>
      <c r="BUE20" s="84"/>
      <c r="BUF20" s="84"/>
      <c r="BUG20" s="84"/>
      <c r="BUH20" s="84"/>
      <c r="BUI20" s="84"/>
      <c r="BUJ20" s="84"/>
      <c r="BUK20" s="84"/>
      <c r="BUL20" s="84"/>
      <c r="BUM20" s="84"/>
      <c r="BUN20" s="84"/>
      <c r="BUO20" s="84"/>
      <c r="BUP20" s="84"/>
      <c r="BUQ20" s="84"/>
      <c r="BUR20" s="84"/>
      <c r="BUS20" s="84"/>
      <c r="BUT20" s="84"/>
      <c r="BUU20" s="84"/>
      <c r="BUV20" s="84"/>
      <c r="BUW20" s="84"/>
      <c r="BUX20" s="84"/>
      <c r="BUY20" s="84"/>
      <c r="BUZ20" s="84"/>
      <c r="BVA20" s="84"/>
      <c r="BVB20" s="84"/>
      <c r="BVC20" s="84"/>
      <c r="BVD20" s="84"/>
      <c r="BVE20" s="84"/>
      <c r="BVF20" s="84"/>
      <c r="BVG20" s="84"/>
      <c r="BVH20" s="84"/>
      <c r="BVI20" s="84"/>
      <c r="BVJ20" s="84"/>
      <c r="BVK20" s="84"/>
      <c r="BVL20" s="84"/>
      <c r="BVM20" s="84"/>
      <c r="BVN20" s="84"/>
      <c r="BVO20" s="84"/>
      <c r="BVP20" s="84"/>
      <c r="BVQ20" s="84"/>
      <c r="BVR20" s="84"/>
      <c r="BVS20" s="84"/>
      <c r="BVT20" s="84"/>
      <c r="BVU20" s="84"/>
      <c r="BVV20" s="84"/>
      <c r="BVW20" s="84"/>
      <c r="BVX20" s="84"/>
      <c r="BVY20" s="84"/>
      <c r="BVZ20" s="84"/>
      <c r="BWA20" s="84"/>
      <c r="BWB20" s="84"/>
      <c r="BWC20" s="84"/>
      <c r="BWD20" s="84"/>
      <c r="BWE20" s="84"/>
      <c r="BWF20" s="84"/>
      <c r="BWG20" s="84"/>
      <c r="BWH20" s="84"/>
      <c r="BWI20" s="84"/>
      <c r="BWJ20" s="84"/>
      <c r="BWK20" s="84"/>
      <c r="BWL20" s="84"/>
      <c r="BWM20" s="84"/>
      <c r="BWN20" s="84"/>
      <c r="BWO20" s="84"/>
      <c r="BWP20" s="84"/>
      <c r="BWQ20" s="84"/>
      <c r="BWR20" s="84"/>
      <c r="BWS20" s="84"/>
      <c r="BWT20" s="84"/>
      <c r="BWU20" s="84"/>
      <c r="BWV20" s="84"/>
      <c r="BWW20" s="84"/>
      <c r="BWX20" s="84"/>
      <c r="BWY20" s="84"/>
      <c r="BWZ20" s="84"/>
      <c r="BXA20" s="84"/>
      <c r="BXB20" s="84"/>
      <c r="BXC20" s="84"/>
      <c r="BXD20" s="84"/>
      <c r="BXE20" s="84"/>
      <c r="BXF20" s="84"/>
      <c r="BXG20" s="84"/>
      <c r="BXH20" s="84"/>
      <c r="BXI20" s="84"/>
      <c r="BXJ20" s="84"/>
      <c r="BXK20" s="84"/>
      <c r="BXL20" s="84"/>
      <c r="BXM20" s="84"/>
      <c r="BXN20" s="84"/>
      <c r="BXO20" s="84"/>
      <c r="BXP20" s="84"/>
      <c r="BXQ20" s="84"/>
      <c r="BXR20" s="84"/>
      <c r="BXS20" s="84"/>
      <c r="BXT20" s="84"/>
      <c r="BXU20" s="84"/>
      <c r="BXV20" s="84"/>
      <c r="BXW20" s="84"/>
      <c r="BXX20" s="84"/>
      <c r="BXY20" s="84"/>
      <c r="BXZ20" s="84"/>
      <c r="BYA20" s="84"/>
      <c r="BYB20" s="84"/>
      <c r="BYC20" s="84"/>
      <c r="BYD20" s="84"/>
      <c r="BYE20" s="84"/>
      <c r="BYF20" s="84"/>
      <c r="BYG20" s="84"/>
      <c r="BYH20" s="84"/>
      <c r="BYI20" s="84"/>
      <c r="BYJ20" s="84"/>
      <c r="BYK20" s="84"/>
      <c r="BYL20" s="84"/>
      <c r="BYM20" s="84"/>
      <c r="BYN20" s="84"/>
      <c r="BYO20" s="84"/>
      <c r="BYP20" s="84"/>
      <c r="BYQ20" s="84"/>
      <c r="BYR20" s="84"/>
      <c r="BYS20" s="84"/>
      <c r="BYT20" s="84"/>
      <c r="BYU20" s="84"/>
      <c r="BYV20" s="84"/>
      <c r="BYW20" s="84"/>
      <c r="BYX20" s="84"/>
      <c r="BYY20" s="84"/>
      <c r="BYZ20" s="84"/>
      <c r="BZA20" s="84"/>
      <c r="BZB20" s="84"/>
      <c r="BZC20" s="84"/>
      <c r="BZD20" s="84"/>
      <c r="BZE20" s="84"/>
      <c r="BZF20" s="84"/>
      <c r="BZG20" s="84"/>
      <c r="BZH20" s="84"/>
      <c r="BZI20" s="84"/>
      <c r="BZJ20" s="84"/>
      <c r="BZK20" s="84"/>
      <c r="BZL20" s="84"/>
      <c r="BZM20" s="84"/>
      <c r="BZN20" s="84"/>
      <c r="BZO20" s="84"/>
      <c r="BZP20" s="84"/>
      <c r="BZQ20" s="84"/>
      <c r="BZR20" s="84"/>
      <c r="BZS20" s="84"/>
      <c r="BZT20" s="84"/>
      <c r="BZU20" s="84"/>
      <c r="BZV20" s="84"/>
      <c r="BZW20" s="84"/>
      <c r="BZX20" s="84"/>
      <c r="BZY20" s="84"/>
      <c r="BZZ20" s="84"/>
      <c r="CAA20" s="84"/>
      <c r="CAB20" s="84"/>
      <c r="CAC20" s="84"/>
      <c r="CAD20" s="84"/>
      <c r="CAE20" s="84"/>
      <c r="CAF20" s="84"/>
      <c r="CAG20" s="84"/>
      <c r="CAH20" s="84"/>
      <c r="CAI20" s="84"/>
      <c r="CAJ20" s="84"/>
      <c r="CAK20" s="84"/>
      <c r="CAL20" s="84"/>
      <c r="CAM20" s="84"/>
      <c r="CAN20" s="84"/>
      <c r="CAO20" s="84"/>
      <c r="CAP20" s="84"/>
      <c r="CAQ20" s="84"/>
      <c r="CAR20" s="84"/>
      <c r="CAS20" s="84"/>
      <c r="CAT20" s="84"/>
      <c r="CAU20" s="84"/>
      <c r="CAV20" s="84"/>
      <c r="CAW20" s="84"/>
      <c r="CAX20" s="84"/>
      <c r="CAY20" s="84"/>
      <c r="CAZ20" s="84"/>
      <c r="CBA20" s="84"/>
      <c r="CBB20" s="84"/>
      <c r="CBC20" s="84"/>
      <c r="CBD20" s="84"/>
      <c r="CBE20" s="84"/>
      <c r="CBF20" s="84"/>
      <c r="CBG20" s="84"/>
      <c r="CBH20" s="84"/>
      <c r="CBI20" s="84"/>
      <c r="CBJ20" s="84"/>
      <c r="CBK20" s="84"/>
      <c r="CBL20" s="84"/>
      <c r="CBM20" s="84"/>
      <c r="CBN20" s="84"/>
      <c r="CBO20" s="84"/>
      <c r="CBP20" s="84"/>
      <c r="CBQ20" s="84"/>
      <c r="CBR20" s="84"/>
      <c r="CBS20" s="84"/>
      <c r="CBT20" s="84"/>
      <c r="CBU20" s="84"/>
      <c r="CBV20" s="84"/>
      <c r="CBW20" s="84"/>
      <c r="CBX20" s="84"/>
      <c r="CBY20" s="84"/>
      <c r="CBZ20" s="84"/>
      <c r="CCA20" s="84"/>
      <c r="CCB20" s="84"/>
      <c r="CCC20" s="84"/>
      <c r="CCD20" s="84"/>
      <c r="CCE20" s="84"/>
      <c r="CCF20" s="84"/>
      <c r="CCG20" s="84"/>
      <c r="CCH20" s="84"/>
      <c r="CCI20" s="84"/>
      <c r="CCJ20" s="84"/>
      <c r="CCK20" s="84"/>
      <c r="CCL20" s="84"/>
      <c r="CCM20" s="84"/>
      <c r="CCN20" s="84"/>
      <c r="CCO20" s="84"/>
      <c r="CCP20" s="84"/>
      <c r="CCQ20" s="84"/>
      <c r="CCR20" s="84"/>
      <c r="CCS20" s="84"/>
      <c r="CCT20" s="84"/>
      <c r="CCU20" s="84"/>
      <c r="CCV20" s="84"/>
      <c r="CCW20" s="84"/>
      <c r="CCX20" s="84"/>
      <c r="CCY20" s="84"/>
      <c r="CCZ20" s="84"/>
      <c r="CDA20" s="84"/>
      <c r="CDB20" s="84"/>
      <c r="CDC20" s="84"/>
      <c r="CDD20" s="84"/>
      <c r="CDE20" s="84"/>
      <c r="CDF20" s="84"/>
      <c r="CDG20" s="84"/>
      <c r="CDH20" s="84"/>
      <c r="CDI20" s="84"/>
      <c r="CDJ20" s="84"/>
      <c r="CDK20" s="84"/>
      <c r="CDL20" s="84"/>
      <c r="CDM20" s="84"/>
      <c r="CDN20" s="84"/>
      <c r="CDO20" s="84"/>
      <c r="CDP20" s="84"/>
      <c r="CDQ20" s="84"/>
      <c r="CDR20" s="84"/>
      <c r="CDS20" s="84"/>
      <c r="CDT20" s="84"/>
      <c r="CDU20" s="84"/>
      <c r="CDV20" s="84"/>
      <c r="CDW20" s="84"/>
      <c r="CDX20" s="84"/>
      <c r="CDY20" s="84"/>
      <c r="CDZ20" s="84"/>
      <c r="CEA20" s="84"/>
      <c r="CEB20" s="84"/>
      <c r="CEC20" s="84"/>
      <c r="CED20" s="84"/>
      <c r="CEE20" s="84"/>
      <c r="CEF20" s="84"/>
      <c r="CEG20" s="84"/>
      <c r="CEH20" s="84"/>
      <c r="CEI20" s="84"/>
      <c r="CEJ20" s="84"/>
      <c r="CEK20" s="84"/>
      <c r="CEL20" s="84"/>
      <c r="CEM20" s="84"/>
      <c r="CEN20" s="84"/>
      <c r="CEO20" s="84"/>
      <c r="CEP20" s="84"/>
      <c r="CEQ20" s="84"/>
      <c r="CER20" s="84"/>
      <c r="CES20" s="84"/>
      <c r="CET20" s="84"/>
      <c r="CEU20" s="84"/>
      <c r="CEV20" s="84"/>
      <c r="CEW20" s="84"/>
      <c r="CEX20" s="84"/>
      <c r="CEY20" s="84"/>
      <c r="CEZ20" s="84"/>
      <c r="CFA20" s="84"/>
      <c r="CFB20" s="84"/>
      <c r="CFC20" s="84"/>
      <c r="CFD20" s="84"/>
      <c r="CFE20" s="84"/>
      <c r="CFF20" s="84"/>
      <c r="CFG20" s="84"/>
      <c r="CFH20" s="84"/>
      <c r="CFI20" s="84"/>
      <c r="CFJ20" s="84"/>
      <c r="CFK20" s="84"/>
      <c r="CFL20" s="84"/>
      <c r="CFM20" s="84"/>
      <c r="CFN20" s="84"/>
      <c r="CFO20" s="84"/>
      <c r="CFP20" s="84"/>
      <c r="CFQ20" s="84"/>
      <c r="CFR20" s="84"/>
      <c r="CFS20" s="84"/>
      <c r="CFT20" s="84"/>
      <c r="CFU20" s="84"/>
      <c r="CFV20" s="84"/>
      <c r="CFW20" s="84"/>
      <c r="CFX20" s="84"/>
      <c r="CFY20" s="84"/>
      <c r="CFZ20" s="84"/>
      <c r="CGA20" s="84"/>
      <c r="CGB20" s="84"/>
      <c r="CGC20" s="84"/>
      <c r="CGD20" s="84"/>
      <c r="CGE20" s="84"/>
      <c r="CGF20" s="84"/>
      <c r="CGG20" s="84"/>
      <c r="CGH20" s="84"/>
      <c r="CGI20" s="84"/>
      <c r="CGJ20" s="84"/>
      <c r="CGK20" s="84"/>
      <c r="CGL20" s="84"/>
      <c r="CGM20" s="84"/>
      <c r="CGN20" s="84"/>
      <c r="CGO20" s="84"/>
      <c r="CGP20" s="84"/>
      <c r="CGQ20" s="84"/>
      <c r="CGR20" s="84"/>
      <c r="CGS20" s="84"/>
      <c r="CGT20" s="84"/>
      <c r="CGU20" s="84"/>
      <c r="CGV20" s="84"/>
      <c r="CGW20" s="84"/>
      <c r="CGX20" s="84"/>
      <c r="CGY20" s="84"/>
      <c r="CGZ20" s="84"/>
      <c r="CHA20" s="84"/>
      <c r="CHB20" s="84"/>
      <c r="CHC20" s="84"/>
      <c r="CHD20" s="84"/>
      <c r="CHE20" s="84"/>
      <c r="CHF20" s="84"/>
      <c r="CHG20" s="84"/>
      <c r="CHH20" s="84"/>
      <c r="CHI20" s="84"/>
      <c r="CHJ20" s="84"/>
      <c r="CHK20" s="84"/>
      <c r="CHL20" s="84"/>
      <c r="CHM20" s="84"/>
      <c r="CHN20" s="84"/>
      <c r="CHO20" s="84"/>
      <c r="CHP20" s="84"/>
      <c r="CHQ20" s="84"/>
      <c r="CHR20" s="84"/>
      <c r="CHS20" s="84"/>
      <c r="CHT20" s="84"/>
      <c r="CHU20" s="84"/>
      <c r="CHV20" s="84"/>
      <c r="CHW20" s="84"/>
      <c r="CHX20" s="84"/>
      <c r="CHY20" s="84"/>
      <c r="CHZ20" s="84"/>
      <c r="CIA20" s="84"/>
      <c r="CIB20" s="84"/>
      <c r="CIC20" s="84"/>
      <c r="CID20" s="84"/>
      <c r="CIE20" s="84"/>
      <c r="CIF20" s="84"/>
      <c r="CIG20" s="84"/>
      <c r="CIH20" s="84"/>
      <c r="CII20" s="84"/>
      <c r="CIJ20" s="84"/>
      <c r="CIK20" s="84"/>
      <c r="CIL20" s="84"/>
      <c r="CIM20" s="84"/>
      <c r="CIN20" s="84"/>
      <c r="CIO20" s="84"/>
      <c r="CIP20" s="84"/>
      <c r="CIQ20" s="84"/>
      <c r="CIR20" s="84"/>
      <c r="CIS20" s="84"/>
      <c r="CIT20" s="84"/>
      <c r="CIU20" s="84"/>
      <c r="CIV20" s="84"/>
      <c r="CIW20" s="84"/>
      <c r="CIX20" s="84"/>
      <c r="CIY20" s="84"/>
      <c r="CIZ20" s="84"/>
      <c r="CJA20" s="84"/>
      <c r="CJB20" s="84"/>
      <c r="CJC20" s="84"/>
      <c r="CJD20" s="84"/>
      <c r="CJE20" s="84"/>
      <c r="CJF20" s="84"/>
      <c r="CJG20" s="84"/>
      <c r="CJH20" s="84"/>
      <c r="CJI20" s="84"/>
      <c r="CJJ20" s="84"/>
      <c r="CJK20" s="84"/>
      <c r="CJL20" s="84"/>
      <c r="CJM20" s="84"/>
      <c r="CJN20" s="84"/>
      <c r="CJO20" s="84"/>
      <c r="CJP20" s="84"/>
      <c r="CJQ20" s="84"/>
      <c r="CJR20" s="84"/>
      <c r="CJS20" s="84"/>
      <c r="CJT20" s="84"/>
      <c r="CJU20" s="84"/>
      <c r="CJV20" s="84"/>
      <c r="CJW20" s="84"/>
      <c r="CJX20" s="84"/>
      <c r="CJY20" s="84"/>
      <c r="CJZ20" s="84"/>
      <c r="CKA20" s="84"/>
      <c r="CKB20" s="84"/>
      <c r="CKC20" s="84"/>
      <c r="CKD20" s="84"/>
      <c r="CKE20" s="84"/>
      <c r="CKF20" s="84"/>
      <c r="CKG20" s="84"/>
      <c r="CKH20" s="84"/>
      <c r="CKI20" s="84"/>
      <c r="CKJ20" s="84"/>
      <c r="CKK20" s="84"/>
      <c r="CKL20" s="84"/>
      <c r="CKM20" s="84"/>
      <c r="CKN20" s="84"/>
      <c r="CKO20" s="84"/>
      <c r="CKP20" s="84"/>
      <c r="CKQ20" s="84"/>
      <c r="CKR20" s="84"/>
      <c r="CKS20" s="84"/>
      <c r="CKT20" s="84"/>
      <c r="CKU20" s="84"/>
      <c r="CKV20" s="84"/>
      <c r="CKW20" s="84"/>
      <c r="CKX20" s="84"/>
      <c r="CKY20" s="84"/>
      <c r="CKZ20" s="84"/>
      <c r="CLA20" s="84"/>
      <c r="CLB20" s="84"/>
      <c r="CLC20" s="84"/>
      <c r="CLD20" s="84"/>
      <c r="CLE20" s="84"/>
      <c r="CLF20" s="84"/>
      <c r="CLG20" s="84"/>
      <c r="CLH20" s="84"/>
      <c r="CLI20" s="84"/>
      <c r="CLJ20" s="84"/>
      <c r="CLK20" s="84"/>
      <c r="CLL20" s="84"/>
      <c r="CLM20" s="84"/>
      <c r="CLN20" s="84"/>
      <c r="CLO20" s="84"/>
      <c r="CLP20" s="84"/>
      <c r="CLQ20" s="84"/>
      <c r="CLR20" s="84"/>
      <c r="CLS20" s="84"/>
      <c r="CLT20" s="84"/>
      <c r="CLU20" s="84"/>
      <c r="CLV20" s="84"/>
      <c r="CLW20" s="84"/>
      <c r="CLX20" s="84"/>
      <c r="CLY20" s="84"/>
      <c r="CLZ20" s="84"/>
      <c r="CMA20" s="84"/>
      <c r="CMB20" s="84"/>
      <c r="CMC20" s="84"/>
      <c r="CMD20" s="84"/>
      <c r="CME20" s="84"/>
      <c r="CMF20" s="84"/>
      <c r="CMG20" s="84"/>
      <c r="CMH20" s="84"/>
      <c r="CMI20" s="84"/>
      <c r="CMJ20" s="84"/>
      <c r="CMK20" s="84"/>
      <c r="CML20" s="84"/>
      <c r="CMM20" s="84"/>
      <c r="CMN20" s="84"/>
      <c r="CMO20" s="84"/>
      <c r="CMP20" s="84"/>
      <c r="CMQ20" s="84"/>
      <c r="CMR20" s="84"/>
      <c r="CMS20" s="84"/>
      <c r="CMT20" s="84"/>
      <c r="CMU20" s="84"/>
      <c r="CMV20" s="84"/>
      <c r="CMW20" s="84"/>
      <c r="CMX20" s="84"/>
      <c r="CMY20" s="84"/>
      <c r="CMZ20" s="84"/>
      <c r="CNA20" s="84"/>
      <c r="CNB20" s="84"/>
      <c r="CNC20" s="84"/>
      <c r="CND20" s="84"/>
      <c r="CNE20" s="84"/>
      <c r="CNF20" s="84"/>
      <c r="CNG20" s="84"/>
      <c r="CNH20" s="84"/>
      <c r="CNI20" s="84"/>
      <c r="CNJ20" s="84"/>
      <c r="CNK20" s="84"/>
      <c r="CNL20" s="84"/>
      <c r="CNM20" s="84"/>
      <c r="CNN20" s="84"/>
      <c r="CNO20" s="84"/>
      <c r="CNP20" s="84"/>
      <c r="CNQ20" s="84"/>
      <c r="CNR20" s="84"/>
      <c r="CNS20" s="84"/>
      <c r="CNT20" s="84"/>
      <c r="CNU20" s="84"/>
      <c r="CNV20" s="84"/>
      <c r="CNW20" s="84"/>
      <c r="CNX20" s="84"/>
      <c r="CNY20" s="84"/>
      <c r="CNZ20" s="84"/>
      <c r="COA20" s="84"/>
      <c r="COB20" s="84"/>
      <c r="COC20" s="84"/>
      <c r="COD20" s="84"/>
      <c r="COE20" s="84"/>
      <c r="COF20" s="84"/>
      <c r="COG20" s="84"/>
      <c r="COH20" s="84"/>
      <c r="COI20" s="84"/>
      <c r="COJ20" s="84"/>
      <c r="COK20" s="84"/>
      <c r="COL20" s="84"/>
      <c r="COM20" s="84"/>
      <c r="CON20" s="84"/>
      <c r="COO20" s="84"/>
      <c r="COP20" s="84"/>
      <c r="COQ20" s="84"/>
      <c r="COR20" s="84"/>
      <c r="COS20" s="84"/>
      <c r="COT20" s="84"/>
      <c r="COU20" s="84"/>
      <c r="COV20" s="84"/>
      <c r="COW20" s="84"/>
      <c r="COX20" s="84"/>
      <c r="COY20" s="84"/>
      <c r="COZ20" s="84"/>
      <c r="CPA20" s="84"/>
      <c r="CPB20" s="84"/>
      <c r="CPC20" s="84"/>
      <c r="CPD20" s="84"/>
      <c r="CPE20" s="84"/>
      <c r="CPF20" s="84"/>
      <c r="CPG20" s="84"/>
      <c r="CPH20" s="84"/>
      <c r="CPI20" s="84"/>
      <c r="CPJ20" s="84"/>
      <c r="CPK20" s="84"/>
      <c r="CPL20" s="84"/>
      <c r="CPM20" s="84"/>
      <c r="CPN20" s="84"/>
      <c r="CPO20" s="84"/>
      <c r="CPP20" s="84"/>
      <c r="CPQ20" s="84"/>
      <c r="CPR20" s="84"/>
      <c r="CPS20" s="84"/>
      <c r="CPT20" s="84"/>
      <c r="CPU20" s="84"/>
      <c r="CPV20" s="84"/>
      <c r="CPW20" s="84"/>
      <c r="CPX20" s="84"/>
      <c r="CPY20" s="84"/>
      <c r="CPZ20" s="84"/>
      <c r="CQA20" s="84"/>
      <c r="CQB20" s="84"/>
      <c r="CQC20" s="84"/>
      <c r="CQD20" s="84"/>
      <c r="CQE20" s="84"/>
      <c r="CQF20" s="84"/>
      <c r="CQG20" s="84"/>
      <c r="CQH20" s="84"/>
      <c r="CQI20" s="84"/>
      <c r="CQJ20" s="84"/>
      <c r="CQK20" s="84"/>
      <c r="CQL20" s="84"/>
      <c r="CQM20" s="84"/>
      <c r="CQN20" s="84"/>
      <c r="CQO20" s="84"/>
      <c r="CQP20" s="84"/>
      <c r="CQQ20" s="84"/>
      <c r="CQR20" s="84"/>
      <c r="CQS20" s="84"/>
      <c r="CQT20" s="84"/>
      <c r="CQU20" s="84"/>
      <c r="CQV20" s="84"/>
      <c r="CQW20" s="84"/>
      <c r="CQX20" s="84"/>
      <c r="CQY20" s="84"/>
      <c r="CQZ20" s="84"/>
      <c r="CRA20" s="84"/>
      <c r="CRB20" s="84"/>
      <c r="CRC20" s="84"/>
      <c r="CRD20" s="84"/>
      <c r="CRE20" s="84"/>
      <c r="CRF20" s="84"/>
      <c r="CRG20" s="84"/>
      <c r="CRH20" s="84"/>
      <c r="CRI20" s="84"/>
      <c r="CRJ20" s="84"/>
      <c r="CRK20" s="84"/>
      <c r="CRL20" s="84"/>
      <c r="CRM20" s="84"/>
      <c r="CRN20" s="84"/>
      <c r="CRO20" s="84"/>
      <c r="CRP20" s="84"/>
      <c r="CRQ20" s="84"/>
      <c r="CRR20" s="84"/>
      <c r="CRS20" s="84"/>
      <c r="CRT20" s="84"/>
      <c r="CRU20" s="84"/>
      <c r="CRV20" s="84"/>
      <c r="CRW20" s="84"/>
      <c r="CRX20" s="84"/>
      <c r="CRY20" s="84"/>
      <c r="CRZ20" s="84"/>
      <c r="CSA20" s="84"/>
      <c r="CSB20" s="84"/>
      <c r="CSC20" s="84"/>
      <c r="CSD20" s="84"/>
      <c r="CSE20" s="84"/>
      <c r="CSF20" s="84"/>
      <c r="CSG20" s="84"/>
      <c r="CSH20" s="84"/>
      <c r="CSI20" s="84"/>
      <c r="CSJ20" s="84"/>
      <c r="CSK20" s="84"/>
      <c r="CSL20" s="84"/>
      <c r="CSM20" s="84"/>
      <c r="CSN20" s="84"/>
      <c r="CSO20" s="84"/>
      <c r="CSP20" s="84"/>
      <c r="CSQ20" s="84"/>
      <c r="CSR20" s="84"/>
      <c r="CSS20" s="84"/>
      <c r="CST20" s="84"/>
      <c r="CSU20" s="84"/>
      <c r="CSV20" s="84"/>
      <c r="CSW20" s="84"/>
      <c r="CSX20" s="84"/>
      <c r="CSY20" s="84"/>
      <c r="CSZ20" s="84"/>
      <c r="CTA20" s="84"/>
      <c r="CTB20" s="84"/>
      <c r="CTC20" s="84"/>
      <c r="CTD20" s="84"/>
      <c r="CTE20" s="84"/>
      <c r="CTF20" s="84"/>
      <c r="CTG20" s="84"/>
      <c r="CTH20" s="84"/>
      <c r="CTI20" s="84"/>
      <c r="CTJ20" s="84"/>
      <c r="CTK20" s="84"/>
      <c r="CTL20" s="84"/>
      <c r="CTM20" s="84"/>
      <c r="CTN20" s="84"/>
      <c r="CTO20" s="84"/>
      <c r="CTP20" s="84"/>
      <c r="CTQ20" s="84"/>
      <c r="CTR20" s="84"/>
      <c r="CTS20" s="84"/>
      <c r="CTT20" s="84"/>
      <c r="CTU20" s="84"/>
      <c r="CTV20" s="84"/>
      <c r="CTW20" s="84"/>
      <c r="CTX20" s="84"/>
      <c r="CTY20" s="84"/>
      <c r="CTZ20" s="84"/>
      <c r="CUA20" s="84"/>
      <c r="CUB20" s="84"/>
      <c r="CUC20" s="84"/>
      <c r="CUD20" s="84"/>
      <c r="CUE20" s="84"/>
      <c r="CUF20" s="84"/>
      <c r="CUG20" s="84"/>
      <c r="CUH20" s="84"/>
      <c r="CUI20" s="84"/>
      <c r="CUJ20" s="84"/>
      <c r="CUK20" s="84"/>
      <c r="CUL20" s="84"/>
      <c r="CUM20" s="84"/>
      <c r="CUN20" s="84"/>
      <c r="CUO20" s="84"/>
      <c r="CUP20" s="84"/>
      <c r="CUQ20" s="84"/>
      <c r="CUR20" s="84"/>
      <c r="CUS20" s="84"/>
      <c r="CUT20" s="84"/>
      <c r="CUU20" s="84"/>
      <c r="CUV20" s="84"/>
      <c r="CUW20" s="84"/>
      <c r="CUX20" s="84"/>
      <c r="CUY20" s="84"/>
      <c r="CUZ20" s="84"/>
      <c r="CVA20" s="84"/>
      <c r="CVB20" s="84"/>
      <c r="CVC20" s="84"/>
      <c r="CVD20" s="84"/>
      <c r="CVE20" s="84"/>
      <c r="CVF20" s="84"/>
      <c r="CVG20" s="84"/>
      <c r="CVH20" s="84"/>
      <c r="CVI20" s="84"/>
      <c r="CVJ20" s="84"/>
      <c r="CVK20" s="84"/>
      <c r="CVL20" s="84"/>
      <c r="CVM20" s="84"/>
      <c r="CVN20" s="84"/>
      <c r="CVO20" s="84"/>
      <c r="CVP20" s="84"/>
      <c r="CVQ20" s="84"/>
      <c r="CVR20" s="84"/>
      <c r="CVS20" s="84"/>
      <c r="CVT20" s="84"/>
      <c r="CVU20" s="84"/>
      <c r="CVV20" s="84"/>
      <c r="CVW20" s="84"/>
      <c r="CVX20" s="84"/>
      <c r="CVY20" s="84"/>
      <c r="CVZ20" s="84"/>
      <c r="CWA20" s="84"/>
      <c r="CWB20" s="84"/>
      <c r="CWC20" s="84"/>
      <c r="CWD20" s="84"/>
      <c r="CWE20" s="84"/>
      <c r="CWF20" s="84"/>
      <c r="CWG20" s="84"/>
      <c r="CWH20" s="84"/>
      <c r="CWI20" s="84"/>
      <c r="CWJ20" s="84"/>
      <c r="CWK20" s="84"/>
      <c r="CWL20" s="84"/>
      <c r="CWM20" s="84"/>
      <c r="CWN20" s="84"/>
      <c r="CWO20" s="84"/>
      <c r="CWP20" s="84"/>
      <c r="CWQ20" s="84"/>
      <c r="CWR20" s="84"/>
      <c r="CWS20" s="84"/>
      <c r="CWT20" s="84"/>
      <c r="CWU20" s="84"/>
      <c r="CWV20" s="84"/>
      <c r="CWW20" s="84"/>
      <c r="CWX20" s="84"/>
      <c r="CWY20" s="84"/>
      <c r="CWZ20" s="84"/>
      <c r="CXA20" s="84"/>
      <c r="CXB20" s="84"/>
      <c r="CXC20" s="84"/>
      <c r="CXD20" s="84"/>
      <c r="CXE20" s="84"/>
      <c r="CXF20" s="84"/>
      <c r="CXG20" s="84"/>
      <c r="CXH20" s="84"/>
      <c r="CXI20" s="84"/>
      <c r="CXJ20" s="84"/>
      <c r="CXK20" s="84"/>
      <c r="CXL20" s="84"/>
      <c r="CXM20" s="84"/>
      <c r="CXN20" s="84"/>
      <c r="CXO20" s="84"/>
      <c r="CXP20" s="84"/>
      <c r="CXQ20" s="84"/>
      <c r="CXR20" s="84"/>
      <c r="CXS20" s="84"/>
      <c r="CXT20" s="84"/>
      <c r="CXU20" s="84"/>
      <c r="CXV20" s="84"/>
      <c r="CXW20" s="84"/>
      <c r="CXX20" s="84"/>
      <c r="CXY20" s="84"/>
      <c r="CXZ20" s="84"/>
      <c r="CYA20" s="84"/>
      <c r="CYB20" s="84"/>
      <c r="CYC20" s="84"/>
      <c r="CYD20" s="84"/>
      <c r="CYE20" s="84"/>
      <c r="CYF20" s="84"/>
      <c r="CYG20" s="84"/>
      <c r="CYH20" s="84"/>
      <c r="CYI20" s="84"/>
      <c r="CYJ20" s="84"/>
      <c r="CYK20" s="84"/>
      <c r="CYL20" s="84"/>
      <c r="CYM20" s="84"/>
      <c r="CYN20" s="84"/>
      <c r="CYO20" s="84"/>
      <c r="CYP20" s="84"/>
      <c r="CYQ20" s="84"/>
      <c r="CYR20" s="84"/>
      <c r="CYS20" s="84"/>
      <c r="CYT20" s="84"/>
      <c r="CYU20" s="84"/>
      <c r="CYV20" s="84"/>
      <c r="CYW20" s="84"/>
      <c r="CYX20" s="84"/>
      <c r="CYY20" s="84"/>
      <c r="CYZ20" s="84"/>
      <c r="CZA20" s="84"/>
      <c r="CZB20" s="84"/>
      <c r="CZC20" s="84"/>
      <c r="CZD20" s="84"/>
      <c r="CZE20" s="84"/>
      <c r="CZF20" s="84"/>
      <c r="CZG20" s="84"/>
      <c r="CZH20" s="84"/>
      <c r="CZI20" s="84"/>
      <c r="CZJ20" s="84"/>
      <c r="CZK20" s="84"/>
      <c r="CZL20" s="84"/>
      <c r="CZM20" s="84"/>
      <c r="CZN20" s="84"/>
      <c r="CZO20" s="84"/>
      <c r="CZP20" s="84"/>
      <c r="CZQ20" s="84"/>
      <c r="CZR20" s="84"/>
      <c r="CZS20" s="84"/>
      <c r="CZT20" s="84"/>
      <c r="CZU20" s="84"/>
      <c r="CZV20" s="84"/>
      <c r="CZW20" s="84"/>
      <c r="CZX20" s="84"/>
      <c r="CZY20" s="84"/>
      <c r="CZZ20" s="84"/>
      <c r="DAA20" s="84"/>
      <c r="DAB20" s="84"/>
      <c r="DAC20" s="84"/>
      <c r="DAD20" s="84"/>
      <c r="DAE20" s="84"/>
      <c r="DAF20" s="84"/>
      <c r="DAG20" s="84"/>
      <c r="DAH20" s="84"/>
      <c r="DAI20" s="84"/>
      <c r="DAJ20" s="84"/>
      <c r="DAK20" s="84"/>
      <c r="DAL20" s="84"/>
      <c r="DAM20" s="84"/>
      <c r="DAN20" s="84"/>
      <c r="DAO20" s="84"/>
      <c r="DAP20" s="84"/>
      <c r="DAQ20" s="84"/>
      <c r="DAR20" s="84"/>
      <c r="DAS20" s="84"/>
      <c r="DAT20" s="84"/>
      <c r="DAU20" s="84"/>
      <c r="DAV20" s="84"/>
      <c r="DAW20" s="84"/>
      <c r="DAX20" s="84"/>
      <c r="DAY20" s="84"/>
      <c r="DAZ20" s="84"/>
      <c r="DBA20" s="84"/>
      <c r="DBB20" s="84"/>
      <c r="DBC20" s="84"/>
      <c r="DBD20" s="84"/>
      <c r="DBE20" s="84"/>
      <c r="DBF20" s="84"/>
      <c r="DBG20" s="84"/>
      <c r="DBH20" s="84"/>
      <c r="DBI20" s="84"/>
      <c r="DBJ20" s="84"/>
      <c r="DBK20" s="84"/>
      <c r="DBL20" s="84"/>
      <c r="DBM20" s="84"/>
      <c r="DBN20" s="84"/>
      <c r="DBO20" s="84"/>
      <c r="DBP20" s="84"/>
      <c r="DBQ20" s="84"/>
      <c r="DBR20" s="84"/>
      <c r="DBS20" s="84"/>
      <c r="DBT20" s="84"/>
      <c r="DBU20" s="84"/>
      <c r="DBV20" s="84"/>
      <c r="DBW20" s="84"/>
      <c r="DBX20" s="84"/>
      <c r="DBY20" s="84"/>
      <c r="DBZ20" s="84"/>
      <c r="DCA20" s="84"/>
      <c r="DCB20" s="84"/>
      <c r="DCC20" s="84"/>
      <c r="DCD20" s="84"/>
      <c r="DCE20" s="84"/>
      <c r="DCF20" s="84"/>
      <c r="DCG20" s="84"/>
      <c r="DCH20" s="84"/>
      <c r="DCI20" s="84"/>
      <c r="DCJ20" s="84"/>
      <c r="DCK20" s="84"/>
      <c r="DCL20" s="84"/>
      <c r="DCM20" s="84"/>
      <c r="DCN20" s="84"/>
      <c r="DCO20" s="84"/>
      <c r="DCP20" s="84"/>
      <c r="DCQ20" s="84"/>
      <c r="DCR20" s="84"/>
      <c r="DCS20" s="84"/>
      <c r="DCT20" s="84"/>
      <c r="DCU20" s="84"/>
      <c r="DCV20" s="84"/>
      <c r="DCW20" s="84"/>
      <c r="DCX20" s="84"/>
      <c r="DCY20" s="84"/>
      <c r="DCZ20" s="84"/>
      <c r="DDA20" s="84"/>
      <c r="DDB20" s="84"/>
      <c r="DDC20" s="84"/>
      <c r="DDD20" s="84"/>
      <c r="DDE20" s="84"/>
      <c r="DDF20" s="84"/>
      <c r="DDG20" s="84"/>
      <c r="DDH20" s="84"/>
      <c r="DDI20" s="84"/>
      <c r="DDJ20" s="84"/>
      <c r="DDK20" s="84"/>
      <c r="DDL20" s="84"/>
      <c r="DDM20" s="84"/>
      <c r="DDN20" s="84"/>
      <c r="DDO20" s="84"/>
      <c r="DDP20" s="84"/>
      <c r="DDQ20" s="84"/>
      <c r="DDR20" s="84"/>
      <c r="DDS20" s="84"/>
      <c r="DDT20" s="84"/>
      <c r="DDU20" s="84"/>
      <c r="DDV20" s="84"/>
      <c r="DDW20" s="84"/>
      <c r="DDX20" s="84"/>
      <c r="DDY20" s="84"/>
      <c r="DDZ20" s="84"/>
      <c r="DEA20" s="84"/>
      <c r="DEB20" s="84"/>
      <c r="DEC20" s="84"/>
      <c r="DED20" s="84"/>
      <c r="DEE20" s="84"/>
      <c r="DEF20" s="84"/>
      <c r="DEG20" s="84"/>
      <c r="DEH20" s="84"/>
      <c r="DEI20" s="84"/>
      <c r="DEJ20" s="84"/>
      <c r="DEK20" s="84"/>
      <c r="DEL20" s="84"/>
      <c r="DEM20" s="84"/>
      <c r="DEN20" s="84"/>
      <c r="DEO20" s="84"/>
      <c r="DEP20" s="84"/>
      <c r="DEQ20" s="84"/>
      <c r="DER20" s="84"/>
      <c r="DES20" s="84"/>
      <c r="DET20" s="84"/>
      <c r="DEU20" s="84"/>
      <c r="DEV20" s="84"/>
      <c r="DEW20" s="84"/>
      <c r="DEX20" s="84"/>
      <c r="DEY20" s="84"/>
      <c r="DEZ20" s="84"/>
      <c r="DFA20" s="84"/>
      <c r="DFB20" s="84"/>
      <c r="DFC20" s="84"/>
      <c r="DFD20" s="84"/>
      <c r="DFE20" s="84"/>
      <c r="DFF20" s="84"/>
      <c r="DFG20" s="84"/>
      <c r="DFH20" s="84"/>
      <c r="DFI20" s="84"/>
      <c r="DFJ20" s="84"/>
      <c r="DFK20" s="84"/>
      <c r="DFL20" s="84"/>
      <c r="DFM20" s="84"/>
      <c r="DFN20" s="84"/>
      <c r="DFO20" s="84"/>
      <c r="DFP20" s="84"/>
      <c r="DFQ20" s="84"/>
      <c r="DFR20" s="84"/>
      <c r="DFS20" s="84"/>
      <c r="DFT20" s="84"/>
      <c r="DFU20" s="84"/>
      <c r="DFV20" s="84"/>
      <c r="DFW20" s="84"/>
      <c r="DFX20" s="84"/>
      <c r="DFY20" s="84"/>
      <c r="DFZ20" s="84"/>
      <c r="DGA20" s="84"/>
      <c r="DGB20" s="84"/>
      <c r="DGC20" s="84"/>
      <c r="DGD20" s="84"/>
      <c r="DGE20" s="84"/>
      <c r="DGF20" s="84"/>
      <c r="DGG20" s="84"/>
      <c r="DGH20" s="84"/>
      <c r="DGI20" s="84"/>
      <c r="DGJ20" s="84"/>
      <c r="DGK20" s="84"/>
      <c r="DGL20" s="84"/>
      <c r="DGM20" s="84"/>
      <c r="DGN20" s="84"/>
      <c r="DGO20" s="84"/>
      <c r="DGP20" s="84"/>
      <c r="DGQ20" s="84"/>
      <c r="DGR20" s="84"/>
      <c r="DGS20" s="84"/>
      <c r="DGT20" s="84"/>
      <c r="DGU20" s="84"/>
      <c r="DGV20" s="84"/>
      <c r="DGW20" s="84"/>
      <c r="DGX20" s="84"/>
      <c r="DGY20" s="84"/>
      <c r="DGZ20" s="84"/>
      <c r="DHA20" s="84"/>
      <c r="DHB20" s="84"/>
      <c r="DHC20" s="84"/>
      <c r="DHD20" s="84"/>
      <c r="DHE20" s="84"/>
      <c r="DHF20" s="84"/>
      <c r="DHG20" s="84"/>
      <c r="DHH20" s="84"/>
      <c r="DHI20" s="84"/>
      <c r="DHJ20" s="84"/>
      <c r="DHK20" s="84"/>
      <c r="DHL20" s="84"/>
      <c r="DHM20" s="84"/>
      <c r="DHN20" s="84"/>
      <c r="DHO20" s="84"/>
      <c r="DHP20" s="84"/>
      <c r="DHQ20" s="84"/>
      <c r="DHR20" s="84"/>
      <c r="DHS20" s="84"/>
      <c r="DHT20" s="84"/>
      <c r="DHU20" s="84"/>
      <c r="DHV20" s="84"/>
      <c r="DHW20" s="84"/>
      <c r="DHX20" s="84"/>
      <c r="DHY20" s="84"/>
      <c r="DHZ20" s="84"/>
      <c r="DIA20" s="84"/>
      <c r="DIB20" s="84"/>
      <c r="DIC20" s="84"/>
      <c r="DID20" s="84"/>
      <c r="DIE20" s="84"/>
      <c r="DIF20" s="84"/>
      <c r="DIG20" s="84"/>
      <c r="DIH20" s="84"/>
      <c r="DII20" s="84"/>
      <c r="DIJ20" s="84"/>
      <c r="DIK20" s="84"/>
      <c r="DIL20" s="84"/>
      <c r="DIM20" s="84"/>
      <c r="DIN20" s="84"/>
      <c r="DIO20" s="84"/>
      <c r="DIP20" s="84"/>
      <c r="DIQ20" s="84"/>
      <c r="DIR20" s="84"/>
      <c r="DIS20" s="84"/>
      <c r="DIT20" s="84"/>
      <c r="DIU20" s="84"/>
      <c r="DIV20" s="84"/>
      <c r="DIW20" s="84"/>
      <c r="DIX20" s="84"/>
      <c r="DIY20" s="84"/>
      <c r="DIZ20" s="84"/>
      <c r="DJA20" s="84"/>
      <c r="DJB20" s="84"/>
      <c r="DJC20" s="84"/>
      <c r="DJD20" s="84"/>
      <c r="DJE20" s="84"/>
      <c r="DJF20" s="84"/>
      <c r="DJG20" s="84"/>
      <c r="DJH20" s="84"/>
      <c r="DJI20" s="84"/>
      <c r="DJJ20" s="84"/>
      <c r="DJK20" s="84"/>
      <c r="DJL20" s="84"/>
      <c r="DJM20" s="84"/>
      <c r="DJN20" s="84"/>
      <c r="DJO20" s="84"/>
      <c r="DJP20" s="84"/>
      <c r="DJQ20" s="84"/>
      <c r="DJR20" s="84"/>
      <c r="DJS20" s="84"/>
      <c r="DJT20" s="84"/>
      <c r="DJU20" s="84"/>
      <c r="DJV20" s="84"/>
      <c r="DJW20" s="84"/>
      <c r="DJX20" s="84"/>
      <c r="DJY20" s="84"/>
      <c r="DJZ20" s="84"/>
      <c r="DKA20" s="84"/>
      <c r="DKB20" s="84"/>
      <c r="DKC20" s="84"/>
      <c r="DKD20" s="84"/>
      <c r="DKE20" s="84"/>
      <c r="DKF20" s="84"/>
      <c r="DKG20" s="84"/>
      <c r="DKH20" s="84"/>
      <c r="DKI20" s="84"/>
      <c r="DKJ20" s="84"/>
      <c r="DKK20" s="84"/>
      <c r="DKL20" s="84"/>
      <c r="DKM20" s="84"/>
      <c r="DKN20" s="84"/>
      <c r="DKO20" s="84"/>
      <c r="DKP20" s="84"/>
      <c r="DKQ20" s="84"/>
      <c r="DKR20" s="84"/>
      <c r="DKS20" s="84"/>
      <c r="DKT20" s="84"/>
      <c r="DKU20" s="84"/>
      <c r="DKV20" s="84"/>
      <c r="DKW20" s="84"/>
      <c r="DKX20" s="84"/>
      <c r="DKY20" s="84"/>
      <c r="DKZ20" s="84"/>
      <c r="DLA20" s="84"/>
      <c r="DLB20" s="84"/>
      <c r="DLC20" s="84"/>
      <c r="DLD20" s="84"/>
      <c r="DLE20" s="84"/>
      <c r="DLF20" s="84"/>
      <c r="DLG20" s="84"/>
      <c r="DLH20" s="84"/>
      <c r="DLI20" s="84"/>
      <c r="DLJ20" s="84"/>
      <c r="DLK20" s="84"/>
      <c r="DLL20" s="84"/>
      <c r="DLM20" s="84"/>
      <c r="DLN20" s="84"/>
      <c r="DLO20" s="84"/>
      <c r="DLP20" s="84"/>
      <c r="DLQ20" s="84"/>
      <c r="DLR20" s="84"/>
      <c r="DLS20" s="84"/>
      <c r="DLT20" s="84"/>
      <c r="DLU20" s="84"/>
      <c r="DLV20" s="84"/>
      <c r="DLW20" s="84"/>
      <c r="DLX20" s="84"/>
      <c r="DLY20" s="84"/>
      <c r="DLZ20" s="84"/>
      <c r="DMA20" s="84"/>
      <c r="DMB20" s="84"/>
      <c r="DMC20" s="84"/>
      <c r="DMD20" s="84"/>
      <c r="DME20" s="84"/>
      <c r="DMF20" s="84"/>
      <c r="DMG20" s="84"/>
      <c r="DMH20" s="84"/>
      <c r="DMI20" s="84"/>
      <c r="DMJ20" s="84"/>
      <c r="DMK20" s="84"/>
      <c r="DML20" s="84"/>
      <c r="DMM20" s="84"/>
      <c r="DMN20" s="84"/>
      <c r="DMO20" s="84"/>
      <c r="DMP20" s="84"/>
      <c r="DMQ20" s="84"/>
      <c r="DMR20" s="84"/>
      <c r="DMS20" s="84"/>
      <c r="DMT20" s="84"/>
      <c r="DMU20" s="84"/>
      <c r="DMV20" s="84"/>
      <c r="DMW20" s="84"/>
      <c r="DMX20" s="84"/>
      <c r="DMY20" s="84"/>
      <c r="DMZ20" s="84"/>
      <c r="DNA20" s="84"/>
      <c r="DNB20" s="84"/>
      <c r="DNC20" s="84"/>
      <c r="DND20" s="84"/>
      <c r="DNE20" s="84"/>
      <c r="DNF20" s="84"/>
      <c r="DNG20" s="84"/>
      <c r="DNH20" s="84"/>
      <c r="DNI20" s="84"/>
      <c r="DNJ20" s="84"/>
      <c r="DNK20" s="84"/>
      <c r="DNL20" s="84"/>
      <c r="DNM20" s="84"/>
      <c r="DNN20" s="84"/>
      <c r="DNO20" s="84"/>
      <c r="DNP20" s="84"/>
      <c r="DNQ20" s="84"/>
      <c r="DNR20" s="84"/>
      <c r="DNS20" s="84"/>
      <c r="DNT20" s="84"/>
      <c r="DNU20" s="84"/>
      <c r="DNV20" s="84"/>
      <c r="DNW20" s="84"/>
      <c r="DNX20" s="84"/>
      <c r="DNY20" s="84"/>
      <c r="DNZ20" s="84"/>
      <c r="DOA20" s="84"/>
      <c r="DOB20" s="84"/>
      <c r="DOC20" s="84"/>
      <c r="DOD20" s="84"/>
      <c r="DOE20" s="84"/>
      <c r="DOF20" s="84"/>
      <c r="DOG20" s="84"/>
      <c r="DOH20" s="84"/>
      <c r="DOI20" s="84"/>
      <c r="DOJ20" s="84"/>
      <c r="DOK20" s="84"/>
      <c r="DOL20" s="84"/>
      <c r="DOM20" s="84"/>
      <c r="DON20" s="84"/>
      <c r="DOO20" s="84"/>
      <c r="DOP20" s="84"/>
      <c r="DOQ20" s="84"/>
      <c r="DOR20" s="84"/>
      <c r="DOS20" s="84"/>
      <c r="DOT20" s="84"/>
      <c r="DOU20" s="84"/>
      <c r="DOV20" s="84"/>
      <c r="DOW20" s="84"/>
      <c r="DOX20" s="84"/>
      <c r="DOY20" s="84"/>
      <c r="DOZ20" s="84"/>
      <c r="DPA20" s="84"/>
      <c r="DPB20" s="84"/>
      <c r="DPC20" s="84"/>
      <c r="DPD20" s="84"/>
      <c r="DPE20" s="84"/>
      <c r="DPF20" s="84"/>
      <c r="DPG20" s="84"/>
      <c r="DPH20" s="84"/>
      <c r="DPI20" s="84"/>
      <c r="DPJ20" s="84"/>
      <c r="DPK20" s="84"/>
      <c r="DPL20" s="84"/>
      <c r="DPM20" s="84"/>
      <c r="DPN20" s="84"/>
      <c r="DPO20" s="84"/>
      <c r="DPP20" s="84"/>
      <c r="DPQ20" s="84"/>
      <c r="DPR20" s="84"/>
      <c r="DPS20" s="84"/>
      <c r="DPT20" s="84"/>
      <c r="DPU20" s="84"/>
      <c r="DPV20" s="84"/>
      <c r="DPW20" s="84"/>
      <c r="DPX20" s="84"/>
      <c r="DPY20" s="84"/>
      <c r="DPZ20" s="84"/>
      <c r="DQA20" s="84"/>
      <c r="DQB20" s="84"/>
      <c r="DQC20" s="84"/>
      <c r="DQD20" s="84"/>
      <c r="DQE20" s="84"/>
      <c r="DQF20" s="84"/>
      <c r="DQG20" s="84"/>
      <c r="DQH20" s="84"/>
      <c r="DQI20" s="84"/>
      <c r="DQJ20" s="84"/>
      <c r="DQK20" s="84"/>
      <c r="DQL20" s="84"/>
      <c r="DQM20" s="84"/>
      <c r="DQN20" s="84"/>
      <c r="DQO20" s="84"/>
      <c r="DQP20" s="84"/>
      <c r="DQQ20" s="84"/>
      <c r="DQR20" s="84"/>
      <c r="DQS20" s="84"/>
      <c r="DQT20" s="84"/>
      <c r="DQU20" s="84"/>
      <c r="DQV20" s="84"/>
      <c r="DQW20" s="84"/>
      <c r="DQX20" s="84"/>
      <c r="DQY20" s="84"/>
      <c r="DQZ20" s="84"/>
      <c r="DRA20" s="84"/>
      <c r="DRB20" s="84"/>
      <c r="DRC20" s="84"/>
      <c r="DRD20" s="84"/>
      <c r="DRE20" s="84"/>
      <c r="DRF20" s="84"/>
      <c r="DRG20" s="84"/>
      <c r="DRH20" s="84"/>
      <c r="DRI20" s="84"/>
      <c r="DRJ20" s="84"/>
      <c r="DRK20" s="84"/>
      <c r="DRL20" s="84"/>
      <c r="DRM20" s="84"/>
      <c r="DRN20" s="84"/>
      <c r="DRO20" s="84"/>
      <c r="DRP20" s="84"/>
      <c r="DRQ20" s="84"/>
      <c r="DRR20" s="84"/>
      <c r="DRS20" s="84"/>
      <c r="DRT20" s="84"/>
      <c r="DRU20" s="84"/>
      <c r="DRV20" s="84"/>
      <c r="DRW20" s="84"/>
      <c r="DRX20" s="84"/>
      <c r="DRY20" s="84"/>
      <c r="DRZ20" s="84"/>
      <c r="DSA20" s="84"/>
      <c r="DSB20" s="84"/>
      <c r="DSC20" s="84"/>
      <c r="DSD20" s="84"/>
      <c r="DSE20" s="84"/>
      <c r="DSF20" s="84"/>
      <c r="DSG20" s="84"/>
      <c r="DSH20" s="84"/>
      <c r="DSI20" s="84"/>
      <c r="DSJ20" s="84"/>
      <c r="DSK20" s="84"/>
      <c r="DSL20" s="84"/>
      <c r="DSM20" s="84"/>
      <c r="DSN20" s="84"/>
      <c r="DSO20" s="84"/>
      <c r="DSP20" s="84"/>
      <c r="DSQ20" s="84"/>
      <c r="DSR20" s="84"/>
      <c r="DSS20" s="84"/>
      <c r="DST20" s="84"/>
      <c r="DSU20" s="84"/>
      <c r="DSV20" s="84"/>
      <c r="DSW20" s="84"/>
      <c r="DSX20" s="84"/>
      <c r="DSY20" s="84"/>
      <c r="DSZ20" s="84"/>
      <c r="DTA20" s="84"/>
      <c r="DTB20" s="84"/>
      <c r="DTC20" s="84"/>
      <c r="DTD20" s="84"/>
      <c r="DTE20" s="84"/>
      <c r="DTF20" s="84"/>
      <c r="DTG20" s="84"/>
      <c r="DTH20" s="84"/>
      <c r="DTI20" s="84"/>
      <c r="DTJ20" s="84"/>
      <c r="DTK20" s="84"/>
      <c r="DTL20" s="84"/>
      <c r="DTM20" s="84"/>
      <c r="DTN20" s="84"/>
      <c r="DTO20" s="84"/>
      <c r="DTP20" s="84"/>
      <c r="DTQ20" s="84"/>
      <c r="DTR20" s="84"/>
      <c r="DTS20" s="84"/>
      <c r="DTT20" s="84"/>
      <c r="DTU20" s="84"/>
      <c r="DTV20" s="84"/>
      <c r="DTW20" s="84"/>
      <c r="DTX20" s="84"/>
      <c r="DTY20" s="84"/>
      <c r="DTZ20" s="84"/>
      <c r="DUA20" s="84"/>
      <c r="DUB20" s="84"/>
      <c r="DUC20" s="84"/>
      <c r="DUD20" s="84"/>
      <c r="DUE20" s="84"/>
      <c r="DUF20" s="84"/>
      <c r="DUG20" s="84"/>
      <c r="DUH20" s="84"/>
      <c r="DUI20" s="84"/>
      <c r="DUJ20" s="84"/>
      <c r="DUK20" s="84"/>
      <c r="DUL20" s="84"/>
      <c r="DUM20" s="84"/>
      <c r="DUN20" s="84"/>
      <c r="DUO20" s="84"/>
      <c r="DUP20" s="84"/>
      <c r="DUQ20" s="84"/>
      <c r="DUR20" s="84"/>
      <c r="DUS20" s="84"/>
      <c r="DUT20" s="84"/>
      <c r="DUU20" s="84"/>
      <c r="DUV20" s="84"/>
      <c r="DUW20" s="84"/>
      <c r="DUX20" s="84"/>
      <c r="DUY20" s="84"/>
      <c r="DUZ20" s="84"/>
      <c r="DVA20" s="84"/>
      <c r="DVB20" s="84"/>
      <c r="DVC20" s="84"/>
      <c r="DVD20" s="84"/>
      <c r="DVE20" s="84"/>
      <c r="DVF20" s="84"/>
      <c r="DVG20" s="84"/>
      <c r="DVH20" s="84"/>
      <c r="DVI20" s="84"/>
      <c r="DVJ20" s="84"/>
      <c r="DVK20" s="84"/>
      <c r="DVL20" s="84"/>
      <c r="DVM20" s="84"/>
      <c r="DVN20" s="84"/>
      <c r="DVO20" s="84"/>
      <c r="DVP20" s="84"/>
      <c r="DVQ20" s="84"/>
      <c r="DVR20" s="84"/>
      <c r="DVS20" s="84"/>
      <c r="DVT20" s="84"/>
      <c r="DVU20" s="84"/>
      <c r="DVV20" s="84"/>
      <c r="DVW20" s="84"/>
      <c r="DVX20" s="84"/>
      <c r="DVY20" s="84"/>
      <c r="DVZ20" s="84"/>
      <c r="DWA20" s="84"/>
      <c r="DWB20" s="84"/>
      <c r="DWC20" s="84"/>
      <c r="DWD20" s="84"/>
      <c r="DWE20" s="84"/>
      <c r="DWF20" s="84"/>
      <c r="DWG20" s="84"/>
      <c r="DWH20" s="84"/>
      <c r="DWI20" s="84"/>
      <c r="DWJ20" s="84"/>
      <c r="DWK20" s="84"/>
      <c r="DWL20" s="84"/>
      <c r="DWM20" s="84"/>
      <c r="DWN20" s="84"/>
      <c r="DWO20" s="84"/>
      <c r="DWP20" s="84"/>
      <c r="DWQ20" s="84"/>
      <c r="DWR20" s="84"/>
      <c r="DWS20" s="84"/>
      <c r="DWT20" s="84"/>
      <c r="DWU20" s="84"/>
      <c r="DWV20" s="84"/>
      <c r="DWW20" s="84"/>
      <c r="DWX20" s="84"/>
      <c r="DWY20" s="84"/>
      <c r="DWZ20" s="84"/>
      <c r="DXA20" s="84"/>
      <c r="DXB20" s="84"/>
      <c r="DXC20" s="84"/>
      <c r="DXD20" s="84"/>
      <c r="DXE20" s="84"/>
      <c r="DXF20" s="84"/>
      <c r="DXG20" s="84"/>
      <c r="DXH20" s="84"/>
      <c r="DXI20" s="84"/>
      <c r="DXJ20" s="84"/>
      <c r="DXK20" s="84"/>
      <c r="DXL20" s="84"/>
      <c r="DXM20" s="84"/>
      <c r="DXN20" s="84"/>
      <c r="DXO20" s="84"/>
      <c r="DXP20" s="84"/>
      <c r="DXQ20" s="84"/>
      <c r="DXR20" s="84"/>
      <c r="DXS20" s="84"/>
      <c r="DXT20" s="84"/>
      <c r="DXU20" s="84"/>
      <c r="DXV20" s="84"/>
      <c r="DXW20" s="84"/>
      <c r="DXX20" s="84"/>
      <c r="DXY20" s="84"/>
      <c r="DXZ20" s="84"/>
      <c r="DYA20" s="84"/>
      <c r="DYB20" s="84"/>
      <c r="DYC20" s="84"/>
      <c r="DYD20" s="84"/>
      <c r="DYE20" s="84"/>
      <c r="DYF20" s="84"/>
      <c r="DYG20" s="84"/>
      <c r="DYH20" s="84"/>
      <c r="DYI20" s="84"/>
      <c r="DYJ20" s="84"/>
      <c r="DYK20" s="84"/>
      <c r="DYL20" s="84"/>
      <c r="DYM20" s="84"/>
      <c r="DYN20" s="84"/>
      <c r="DYO20" s="84"/>
      <c r="DYP20" s="84"/>
      <c r="DYQ20" s="84"/>
      <c r="DYR20" s="84"/>
      <c r="DYS20" s="84"/>
      <c r="DYT20" s="84"/>
      <c r="DYU20" s="84"/>
      <c r="DYV20" s="84"/>
      <c r="DYW20" s="84"/>
      <c r="DYX20" s="84"/>
      <c r="DYY20" s="84"/>
      <c r="DYZ20" s="84"/>
      <c r="DZA20" s="84"/>
      <c r="DZB20" s="84"/>
      <c r="DZC20" s="84"/>
      <c r="DZD20" s="84"/>
      <c r="DZE20" s="84"/>
      <c r="DZF20" s="84"/>
      <c r="DZG20" s="84"/>
      <c r="DZH20" s="84"/>
      <c r="DZI20" s="84"/>
      <c r="DZJ20" s="84"/>
      <c r="DZK20" s="84"/>
      <c r="DZL20" s="84"/>
      <c r="DZM20" s="84"/>
      <c r="DZN20" s="84"/>
      <c r="DZO20" s="84"/>
      <c r="DZP20" s="84"/>
      <c r="DZQ20" s="84"/>
      <c r="DZR20" s="84"/>
      <c r="DZS20" s="84"/>
      <c r="DZT20" s="84"/>
      <c r="DZU20" s="84"/>
      <c r="DZV20" s="84"/>
      <c r="DZW20" s="84"/>
      <c r="DZX20" s="84"/>
      <c r="DZY20" s="84"/>
      <c r="DZZ20" s="84"/>
      <c r="EAA20" s="84"/>
      <c r="EAB20" s="84"/>
      <c r="EAC20" s="84"/>
      <c r="EAD20" s="84"/>
      <c r="EAE20" s="84"/>
      <c r="EAF20" s="84"/>
      <c r="EAG20" s="84"/>
      <c r="EAH20" s="84"/>
      <c r="EAI20" s="84"/>
      <c r="EAJ20" s="84"/>
      <c r="EAK20" s="84"/>
      <c r="EAL20" s="84"/>
      <c r="EAM20" s="84"/>
      <c r="EAN20" s="84"/>
      <c r="EAO20" s="84"/>
      <c r="EAP20" s="84"/>
      <c r="EAQ20" s="84"/>
      <c r="EAR20" s="84"/>
      <c r="EAS20" s="84"/>
      <c r="EAT20" s="84"/>
      <c r="EAU20" s="84"/>
      <c r="EAV20" s="84"/>
      <c r="EAW20" s="84"/>
      <c r="EAX20" s="84"/>
      <c r="EAY20" s="84"/>
      <c r="EAZ20" s="84"/>
      <c r="EBA20" s="84"/>
      <c r="EBB20" s="84"/>
      <c r="EBC20" s="84"/>
      <c r="EBD20" s="84"/>
      <c r="EBE20" s="84"/>
      <c r="EBF20" s="84"/>
      <c r="EBG20" s="84"/>
      <c r="EBH20" s="84"/>
      <c r="EBI20" s="84"/>
      <c r="EBJ20" s="84"/>
      <c r="EBK20" s="84"/>
      <c r="EBL20" s="84"/>
      <c r="EBM20" s="84"/>
      <c r="EBN20" s="84"/>
      <c r="EBO20" s="84"/>
      <c r="EBP20" s="84"/>
      <c r="EBQ20" s="84"/>
      <c r="EBR20" s="84"/>
      <c r="EBS20" s="84"/>
      <c r="EBT20" s="84"/>
      <c r="EBU20" s="84"/>
      <c r="EBV20" s="84"/>
      <c r="EBW20" s="84"/>
      <c r="EBX20" s="84"/>
      <c r="EBY20" s="84"/>
      <c r="EBZ20" s="84"/>
      <c r="ECA20" s="84"/>
      <c r="ECB20" s="84"/>
      <c r="ECC20" s="84"/>
      <c r="ECD20" s="84"/>
      <c r="ECE20" s="84"/>
      <c r="ECF20" s="84"/>
      <c r="ECG20" s="84"/>
      <c r="ECH20" s="84"/>
      <c r="ECI20" s="84"/>
      <c r="ECJ20" s="84"/>
      <c r="ECK20" s="84"/>
      <c r="ECL20" s="84"/>
      <c r="ECM20" s="84"/>
      <c r="ECN20" s="84"/>
      <c r="ECO20" s="84"/>
      <c r="ECP20" s="84"/>
      <c r="ECQ20" s="84"/>
      <c r="ECR20" s="84"/>
      <c r="ECS20" s="84"/>
      <c r="ECT20" s="84"/>
      <c r="ECU20" s="84"/>
      <c r="ECV20" s="84"/>
      <c r="ECW20" s="84"/>
      <c r="ECX20" s="84"/>
      <c r="ECY20" s="84"/>
      <c r="ECZ20" s="84"/>
      <c r="EDA20" s="84"/>
      <c r="EDB20" s="84"/>
      <c r="EDC20" s="84"/>
      <c r="EDD20" s="84"/>
      <c r="EDE20" s="84"/>
      <c r="EDF20" s="84"/>
      <c r="EDG20" s="84"/>
      <c r="EDH20" s="84"/>
      <c r="EDI20" s="84"/>
      <c r="EDJ20" s="84"/>
      <c r="EDK20" s="84"/>
      <c r="EDL20" s="84"/>
      <c r="EDM20" s="84"/>
      <c r="EDN20" s="84"/>
      <c r="EDO20" s="84"/>
      <c r="EDP20" s="84"/>
      <c r="EDQ20" s="84"/>
      <c r="EDR20" s="84"/>
      <c r="EDS20" s="84"/>
      <c r="EDT20" s="84"/>
      <c r="EDU20" s="84"/>
      <c r="EDV20" s="84"/>
      <c r="EDW20" s="84"/>
      <c r="EDX20" s="84"/>
      <c r="EDY20" s="84"/>
      <c r="EDZ20" s="84"/>
      <c r="EEA20" s="84"/>
      <c r="EEB20" s="84"/>
      <c r="EEC20" s="84"/>
      <c r="EED20" s="84"/>
      <c r="EEE20" s="84"/>
      <c r="EEF20" s="84"/>
      <c r="EEG20" s="84"/>
      <c r="EEH20" s="84"/>
      <c r="EEI20" s="84"/>
      <c r="EEJ20" s="84"/>
      <c r="EEK20" s="84"/>
      <c r="EEL20" s="84"/>
      <c r="EEM20" s="84"/>
      <c r="EEN20" s="84"/>
      <c r="EEO20" s="84"/>
      <c r="EEP20" s="84"/>
      <c r="EEQ20" s="84"/>
      <c r="EER20" s="84"/>
      <c r="EES20" s="84"/>
      <c r="EET20" s="84"/>
      <c r="EEU20" s="84"/>
      <c r="EEV20" s="84"/>
      <c r="EEW20" s="84"/>
      <c r="EEX20" s="84"/>
      <c r="EEY20" s="84"/>
      <c r="EEZ20" s="84"/>
      <c r="EFA20" s="84"/>
      <c r="EFB20" s="84"/>
      <c r="EFC20" s="84"/>
      <c r="EFD20" s="84"/>
      <c r="EFE20" s="84"/>
      <c r="EFF20" s="84"/>
      <c r="EFG20" s="84"/>
      <c r="EFH20" s="84"/>
      <c r="EFI20" s="84"/>
      <c r="EFJ20" s="84"/>
      <c r="EFK20" s="84"/>
      <c r="EFL20" s="84"/>
      <c r="EFM20" s="84"/>
      <c r="EFN20" s="84"/>
      <c r="EFO20" s="84"/>
      <c r="EFP20" s="84"/>
      <c r="EFQ20" s="84"/>
      <c r="EFR20" s="84"/>
      <c r="EFS20" s="84"/>
      <c r="EFT20" s="84"/>
      <c r="EFU20" s="84"/>
      <c r="EFV20" s="84"/>
      <c r="EFW20" s="84"/>
      <c r="EFX20" s="84"/>
      <c r="EFY20" s="84"/>
      <c r="EFZ20" s="84"/>
      <c r="EGA20" s="84"/>
      <c r="EGB20" s="84"/>
      <c r="EGC20" s="84"/>
      <c r="EGD20" s="84"/>
      <c r="EGE20" s="84"/>
      <c r="EGF20" s="84"/>
      <c r="EGG20" s="84"/>
      <c r="EGH20" s="84"/>
      <c r="EGI20" s="84"/>
      <c r="EGJ20" s="84"/>
      <c r="EGK20" s="84"/>
      <c r="EGL20" s="84"/>
      <c r="EGM20" s="84"/>
      <c r="EGN20" s="84"/>
      <c r="EGO20" s="84"/>
      <c r="EGP20" s="84"/>
      <c r="EGQ20" s="84"/>
      <c r="EGR20" s="84"/>
      <c r="EGS20" s="84"/>
      <c r="EGT20" s="84"/>
      <c r="EGU20" s="84"/>
      <c r="EGV20" s="84"/>
      <c r="EGW20" s="84"/>
      <c r="EGX20" s="84"/>
      <c r="EGY20" s="84"/>
      <c r="EGZ20" s="84"/>
      <c r="EHA20" s="84"/>
      <c r="EHB20" s="84"/>
      <c r="EHC20" s="84"/>
      <c r="EHD20" s="84"/>
      <c r="EHE20" s="84"/>
      <c r="EHF20" s="84"/>
      <c r="EHG20" s="84"/>
      <c r="EHH20" s="84"/>
      <c r="EHI20" s="84"/>
      <c r="EHJ20" s="84"/>
      <c r="EHK20" s="84"/>
      <c r="EHL20" s="84"/>
      <c r="EHM20" s="84"/>
      <c r="EHN20" s="84"/>
      <c r="EHO20" s="84"/>
      <c r="EHP20" s="84"/>
      <c r="EHQ20" s="84"/>
      <c r="EHR20" s="84"/>
      <c r="EHS20" s="84"/>
      <c r="EHT20" s="84"/>
      <c r="EHU20" s="84"/>
      <c r="EHV20" s="84"/>
      <c r="EHW20" s="84"/>
      <c r="EHX20" s="84"/>
      <c r="EHY20" s="84"/>
      <c r="EHZ20" s="84"/>
      <c r="EIA20" s="84"/>
      <c r="EIB20" s="84"/>
      <c r="EIC20" s="84"/>
      <c r="EID20" s="84"/>
      <c r="EIE20" s="84"/>
      <c r="EIF20" s="84"/>
      <c r="EIG20" s="84"/>
      <c r="EIH20" s="84"/>
      <c r="EII20" s="84"/>
      <c r="EIJ20" s="84"/>
      <c r="EIK20" s="84"/>
      <c r="EIL20" s="84"/>
      <c r="EIM20" s="84"/>
      <c r="EIN20" s="84"/>
      <c r="EIO20" s="84"/>
      <c r="EIP20" s="84"/>
      <c r="EIQ20" s="84"/>
      <c r="EIR20" s="84"/>
      <c r="EIS20" s="84"/>
      <c r="EIT20" s="84"/>
      <c r="EIU20" s="84"/>
      <c r="EIV20" s="84"/>
      <c r="EIW20" s="84"/>
      <c r="EIX20" s="84"/>
      <c r="EIY20" s="84"/>
      <c r="EIZ20" s="84"/>
      <c r="EJA20" s="84"/>
      <c r="EJB20" s="84"/>
      <c r="EJC20" s="84"/>
      <c r="EJD20" s="84"/>
      <c r="EJE20" s="84"/>
      <c r="EJF20" s="84"/>
      <c r="EJG20" s="84"/>
      <c r="EJH20" s="84"/>
      <c r="EJI20" s="84"/>
      <c r="EJJ20" s="84"/>
      <c r="EJK20" s="84"/>
      <c r="EJL20" s="84"/>
      <c r="EJM20" s="84"/>
      <c r="EJN20" s="84"/>
      <c r="EJO20" s="84"/>
      <c r="EJP20" s="84"/>
      <c r="EJQ20" s="84"/>
      <c r="EJR20" s="84"/>
      <c r="EJS20" s="84"/>
      <c r="EJT20" s="84"/>
      <c r="EJU20" s="84"/>
      <c r="EJV20" s="84"/>
      <c r="EJW20" s="84"/>
      <c r="EJX20" s="84"/>
      <c r="EJY20" s="84"/>
      <c r="EJZ20" s="84"/>
      <c r="EKA20" s="84"/>
      <c r="EKB20" s="84"/>
      <c r="EKC20" s="84"/>
      <c r="EKD20" s="84"/>
      <c r="EKE20" s="84"/>
      <c r="EKF20" s="84"/>
      <c r="EKG20" s="84"/>
      <c r="EKH20" s="84"/>
      <c r="EKI20" s="84"/>
      <c r="EKJ20" s="84"/>
      <c r="EKK20" s="84"/>
      <c r="EKL20" s="84"/>
      <c r="EKM20" s="84"/>
      <c r="EKN20" s="84"/>
      <c r="EKO20" s="84"/>
      <c r="EKP20" s="84"/>
      <c r="EKQ20" s="84"/>
      <c r="EKR20" s="84"/>
      <c r="EKS20" s="84"/>
      <c r="EKT20" s="84"/>
      <c r="EKU20" s="84"/>
      <c r="EKV20" s="84"/>
      <c r="EKW20" s="84"/>
      <c r="EKX20" s="84"/>
      <c r="EKY20" s="84"/>
      <c r="EKZ20" s="84"/>
      <c r="ELA20" s="84"/>
      <c r="ELB20" s="84"/>
      <c r="ELC20" s="84"/>
      <c r="ELD20" s="84"/>
      <c r="ELE20" s="84"/>
      <c r="ELF20" s="84"/>
      <c r="ELG20" s="84"/>
      <c r="ELH20" s="84"/>
      <c r="ELI20" s="84"/>
      <c r="ELJ20" s="84"/>
      <c r="ELK20" s="84"/>
      <c r="ELL20" s="84"/>
      <c r="ELM20" s="84"/>
      <c r="ELN20" s="84"/>
      <c r="ELO20" s="84"/>
      <c r="ELP20" s="84"/>
      <c r="ELQ20" s="84"/>
      <c r="ELR20" s="84"/>
      <c r="ELS20" s="84"/>
      <c r="ELT20" s="84"/>
      <c r="ELU20" s="84"/>
      <c r="ELV20" s="84"/>
      <c r="ELW20" s="84"/>
      <c r="ELX20" s="84"/>
      <c r="ELY20" s="84"/>
      <c r="ELZ20" s="84"/>
      <c r="EMA20" s="84"/>
      <c r="EMB20" s="84"/>
      <c r="EMC20" s="84"/>
      <c r="EMD20" s="84"/>
      <c r="EME20" s="84"/>
      <c r="EMF20" s="84"/>
      <c r="EMG20" s="84"/>
      <c r="EMH20" s="84"/>
      <c r="EMI20" s="84"/>
      <c r="EMJ20" s="84"/>
      <c r="EMK20" s="84"/>
      <c r="EML20" s="84"/>
      <c r="EMM20" s="84"/>
      <c r="EMN20" s="84"/>
      <c r="EMO20" s="84"/>
      <c r="EMP20" s="84"/>
      <c r="EMQ20" s="84"/>
      <c r="EMR20" s="84"/>
      <c r="EMS20" s="84"/>
      <c r="EMT20" s="84"/>
      <c r="EMU20" s="84"/>
      <c r="EMV20" s="84"/>
      <c r="EMW20" s="84"/>
      <c r="EMX20" s="84"/>
      <c r="EMY20" s="84"/>
      <c r="EMZ20" s="84"/>
      <c r="ENA20" s="84"/>
      <c r="ENB20" s="84"/>
      <c r="ENC20" s="84"/>
      <c r="END20" s="84"/>
      <c r="ENE20" s="84"/>
      <c r="ENF20" s="84"/>
      <c r="ENG20" s="84"/>
      <c r="ENH20" s="84"/>
      <c r="ENI20" s="84"/>
      <c r="ENJ20" s="84"/>
      <c r="ENK20" s="84"/>
      <c r="ENL20" s="84"/>
      <c r="ENM20" s="84"/>
      <c r="ENN20" s="84"/>
      <c r="ENO20" s="84"/>
      <c r="ENP20" s="84"/>
      <c r="ENQ20" s="84"/>
      <c r="ENR20" s="84"/>
      <c r="ENS20" s="84"/>
      <c r="ENT20" s="84"/>
      <c r="ENU20" s="84"/>
      <c r="ENV20" s="84"/>
      <c r="ENW20" s="84"/>
      <c r="ENX20" s="84"/>
      <c r="ENY20" s="84"/>
      <c r="ENZ20" s="84"/>
      <c r="EOA20" s="84"/>
      <c r="EOB20" s="84"/>
      <c r="EOC20" s="84"/>
      <c r="EOD20" s="84"/>
      <c r="EOE20" s="84"/>
      <c r="EOF20" s="84"/>
      <c r="EOG20" s="84"/>
      <c r="EOH20" s="84"/>
      <c r="EOI20" s="84"/>
      <c r="EOJ20" s="84"/>
      <c r="EOK20" s="84"/>
      <c r="EOL20" s="84"/>
      <c r="EOM20" s="84"/>
      <c r="EON20" s="84"/>
      <c r="EOO20" s="84"/>
      <c r="EOP20" s="84"/>
      <c r="EOQ20" s="84"/>
      <c r="EOR20" s="84"/>
      <c r="EOS20" s="84"/>
      <c r="EOT20" s="84"/>
      <c r="EOU20" s="84"/>
      <c r="EOV20" s="84"/>
      <c r="EOW20" s="84"/>
      <c r="EOX20" s="84"/>
      <c r="EOY20" s="84"/>
      <c r="EOZ20" s="84"/>
      <c r="EPA20" s="84"/>
      <c r="EPB20" s="84"/>
      <c r="EPC20" s="84"/>
      <c r="EPD20" s="84"/>
      <c r="EPE20" s="84"/>
      <c r="EPF20" s="84"/>
      <c r="EPG20" s="84"/>
      <c r="EPH20" s="84"/>
      <c r="EPI20" s="84"/>
      <c r="EPJ20" s="84"/>
      <c r="EPK20" s="84"/>
      <c r="EPL20" s="84"/>
      <c r="EPM20" s="84"/>
      <c r="EPN20" s="84"/>
      <c r="EPO20" s="84"/>
      <c r="EPP20" s="84"/>
      <c r="EPQ20" s="84"/>
      <c r="EPR20" s="84"/>
      <c r="EPS20" s="84"/>
      <c r="EPT20" s="84"/>
      <c r="EPU20" s="84"/>
      <c r="EPV20" s="84"/>
      <c r="EPW20" s="84"/>
      <c r="EPX20" s="84"/>
      <c r="EPY20" s="84"/>
      <c r="EPZ20" s="84"/>
      <c r="EQA20" s="84"/>
      <c r="EQB20" s="84"/>
      <c r="EQC20" s="84"/>
      <c r="EQD20" s="84"/>
      <c r="EQE20" s="84"/>
      <c r="EQF20" s="84"/>
      <c r="EQG20" s="84"/>
      <c r="EQH20" s="84"/>
      <c r="EQI20" s="84"/>
      <c r="EQJ20" s="84"/>
      <c r="EQK20" s="84"/>
      <c r="EQL20" s="84"/>
      <c r="EQM20" s="84"/>
      <c r="EQN20" s="84"/>
      <c r="EQO20" s="84"/>
      <c r="EQP20" s="84"/>
      <c r="EQQ20" s="84"/>
      <c r="EQR20" s="84"/>
      <c r="EQS20" s="84"/>
      <c r="EQT20" s="84"/>
      <c r="EQU20" s="84"/>
      <c r="EQV20" s="84"/>
      <c r="EQW20" s="84"/>
      <c r="EQX20" s="84"/>
      <c r="EQY20" s="84"/>
      <c r="EQZ20" s="84"/>
      <c r="ERA20" s="84"/>
      <c r="ERB20" s="84"/>
      <c r="ERC20" s="84"/>
      <c r="ERD20" s="84"/>
      <c r="ERE20" s="84"/>
      <c r="ERF20" s="84"/>
      <c r="ERG20" s="84"/>
      <c r="ERH20" s="84"/>
      <c r="ERI20" s="84"/>
      <c r="ERJ20" s="84"/>
      <c r="ERK20" s="84"/>
      <c r="ERL20" s="84"/>
      <c r="ERM20" s="84"/>
      <c r="ERN20" s="84"/>
      <c r="ERO20" s="84"/>
      <c r="ERP20" s="84"/>
      <c r="ERQ20" s="84"/>
      <c r="ERR20" s="84"/>
      <c r="ERS20" s="84"/>
      <c r="ERT20" s="84"/>
      <c r="ERU20" s="84"/>
      <c r="ERV20" s="84"/>
      <c r="ERW20" s="84"/>
      <c r="ERX20" s="84"/>
      <c r="ERY20" s="84"/>
      <c r="ERZ20" s="84"/>
      <c r="ESA20" s="84"/>
      <c r="ESB20" s="84"/>
      <c r="ESC20" s="84"/>
      <c r="ESD20" s="84"/>
      <c r="ESE20" s="84"/>
      <c r="ESF20" s="84"/>
      <c r="ESG20" s="84"/>
      <c r="ESH20" s="84"/>
      <c r="ESI20" s="84"/>
      <c r="ESJ20" s="84"/>
      <c r="ESK20" s="84"/>
      <c r="ESL20" s="84"/>
      <c r="ESM20" s="84"/>
      <c r="ESN20" s="84"/>
      <c r="ESO20" s="84"/>
      <c r="ESP20" s="84"/>
      <c r="ESQ20" s="84"/>
      <c r="ESR20" s="84"/>
      <c r="ESS20" s="84"/>
      <c r="EST20" s="84"/>
      <c r="ESU20" s="84"/>
      <c r="ESV20" s="84"/>
      <c r="ESW20" s="84"/>
      <c r="ESX20" s="84"/>
      <c r="ESY20" s="84"/>
      <c r="ESZ20" s="84"/>
      <c r="ETA20" s="84"/>
      <c r="ETB20" s="84"/>
      <c r="ETC20" s="84"/>
      <c r="ETD20" s="84"/>
      <c r="ETE20" s="84"/>
      <c r="ETF20" s="84"/>
      <c r="ETG20" s="84"/>
      <c r="ETH20" s="84"/>
      <c r="ETI20" s="84"/>
      <c r="ETJ20" s="84"/>
      <c r="ETK20" s="84"/>
      <c r="ETL20" s="84"/>
      <c r="ETM20" s="84"/>
      <c r="ETN20" s="84"/>
      <c r="ETO20" s="84"/>
      <c r="ETP20" s="84"/>
      <c r="ETQ20" s="84"/>
      <c r="ETR20" s="84"/>
      <c r="ETS20" s="84"/>
      <c r="ETT20" s="84"/>
      <c r="ETU20" s="84"/>
      <c r="ETV20" s="84"/>
      <c r="ETW20" s="84"/>
      <c r="ETX20" s="84"/>
      <c r="ETY20" s="84"/>
      <c r="ETZ20" s="84"/>
      <c r="EUA20" s="84"/>
      <c r="EUB20" s="84"/>
      <c r="EUC20" s="84"/>
      <c r="EUD20" s="84"/>
      <c r="EUE20" s="84"/>
      <c r="EUF20" s="84"/>
      <c r="EUG20" s="84"/>
      <c r="EUH20" s="84"/>
      <c r="EUI20" s="84"/>
      <c r="EUJ20" s="84"/>
      <c r="EUK20" s="84"/>
      <c r="EUL20" s="84"/>
      <c r="EUM20" s="84"/>
      <c r="EUN20" s="84"/>
      <c r="EUO20" s="84"/>
      <c r="EUP20" s="84"/>
      <c r="EUQ20" s="84"/>
      <c r="EUR20" s="84"/>
      <c r="EUS20" s="84"/>
      <c r="EUT20" s="84"/>
      <c r="EUU20" s="84"/>
      <c r="EUV20" s="84"/>
      <c r="EUW20" s="84"/>
      <c r="EUX20" s="84"/>
      <c r="EUY20" s="84"/>
      <c r="EUZ20" s="84"/>
      <c r="EVA20" s="84"/>
      <c r="EVB20" s="84"/>
      <c r="EVC20" s="84"/>
      <c r="EVD20" s="84"/>
      <c r="EVE20" s="84"/>
      <c r="EVF20" s="84"/>
      <c r="EVG20" s="84"/>
      <c r="EVH20" s="84"/>
      <c r="EVI20" s="84"/>
      <c r="EVJ20" s="84"/>
      <c r="EVK20" s="84"/>
      <c r="EVL20" s="84"/>
      <c r="EVM20" s="84"/>
      <c r="EVN20" s="84"/>
      <c r="EVO20" s="84"/>
      <c r="EVP20" s="84"/>
      <c r="EVQ20" s="84"/>
      <c r="EVR20" s="84"/>
      <c r="EVS20" s="84"/>
      <c r="EVT20" s="84"/>
      <c r="EVU20" s="84"/>
      <c r="EVV20" s="84"/>
      <c r="EVW20" s="84"/>
      <c r="EVX20" s="84"/>
      <c r="EVY20" s="84"/>
      <c r="EVZ20" s="84"/>
      <c r="EWA20" s="84"/>
      <c r="EWB20" s="84"/>
      <c r="EWC20" s="84"/>
      <c r="EWD20" s="84"/>
      <c r="EWE20" s="84"/>
      <c r="EWF20" s="84"/>
      <c r="EWG20" s="84"/>
      <c r="EWH20" s="84"/>
      <c r="EWI20" s="84"/>
      <c r="EWJ20" s="84"/>
      <c r="EWK20" s="84"/>
      <c r="EWL20" s="84"/>
      <c r="EWM20" s="84"/>
      <c r="EWN20" s="84"/>
      <c r="EWO20" s="84"/>
      <c r="EWP20" s="84"/>
      <c r="EWQ20" s="84"/>
      <c r="EWR20" s="84"/>
      <c r="EWS20" s="84"/>
      <c r="EWT20" s="84"/>
      <c r="EWU20" s="84"/>
      <c r="EWV20" s="84"/>
      <c r="EWW20" s="84"/>
      <c r="EWX20" s="84"/>
      <c r="EWY20" s="84"/>
      <c r="EWZ20" s="84"/>
      <c r="EXA20" s="84"/>
      <c r="EXB20" s="84"/>
      <c r="EXC20" s="84"/>
      <c r="EXD20" s="84"/>
      <c r="EXE20" s="84"/>
      <c r="EXF20" s="84"/>
      <c r="EXG20" s="84"/>
      <c r="EXH20" s="84"/>
      <c r="EXI20" s="84"/>
      <c r="EXJ20" s="84"/>
      <c r="EXK20" s="84"/>
      <c r="EXL20" s="84"/>
      <c r="EXM20" s="84"/>
      <c r="EXN20" s="84"/>
      <c r="EXO20" s="84"/>
      <c r="EXP20" s="84"/>
      <c r="EXQ20" s="84"/>
      <c r="EXR20" s="84"/>
      <c r="EXS20" s="84"/>
      <c r="EXT20" s="84"/>
      <c r="EXU20" s="84"/>
      <c r="EXV20" s="84"/>
      <c r="EXW20" s="84"/>
      <c r="EXX20" s="84"/>
      <c r="EXY20" s="84"/>
      <c r="EXZ20" s="84"/>
      <c r="EYA20" s="84"/>
      <c r="EYB20" s="84"/>
      <c r="EYC20" s="84"/>
      <c r="EYD20" s="84"/>
      <c r="EYE20" s="84"/>
      <c r="EYF20" s="84"/>
      <c r="EYG20" s="84"/>
      <c r="EYH20" s="84"/>
      <c r="EYI20" s="84"/>
      <c r="EYJ20" s="84"/>
      <c r="EYK20" s="84"/>
      <c r="EYL20" s="84"/>
      <c r="EYM20" s="84"/>
      <c r="EYN20" s="84"/>
      <c r="EYO20" s="84"/>
      <c r="EYP20" s="84"/>
      <c r="EYQ20" s="84"/>
      <c r="EYR20" s="84"/>
      <c r="EYS20" s="84"/>
      <c r="EYT20" s="84"/>
      <c r="EYU20" s="84"/>
      <c r="EYV20" s="84"/>
      <c r="EYW20" s="84"/>
      <c r="EYX20" s="84"/>
      <c r="EYY20" s="84"/>
      <c r="EYZ20" s="84"/>
      <c r="EZA20" s="84"/>
      <c r="EZB20" s="84"/>
      <c r="EZC20" s="84"/>
      <c r="EZD20" s="84"/>
      <c r="EZE20" s="84"/>
      <c r="EZF20" s="84"/>
      <c r="EZG20" s="84"/>
      <c r="EZH20" s="84"/>
      <c r="EZI20" s="84"/>
      <c r="EZJ20" s="84"/>
      <c r="EZK20" s="84"/>
      <c r="EZL20" s="84"/>
      <c r="EZM20" s="84"/>
      <c r="EZN20" s="84"/>
      <c r="EZO20" s="84"/>
      <c r="EZP20" s="84"/>
      <c r="EZQ20" s="84"/>
      <c r="EZR20" s="84"/>
      <c r="EZS20" s="84"/>
      <c r="EZT20" s="84"/>
      <c r="EZU20" s="84"/>
      <c r="EZV20" s="84"/>
      <c r="EZW20" s="84"/>
      <c r="EZX20" s="84"/>
      <c r="EZY20" s="84"/>
      <c r="EZZ20" s="84"/>
      <c r="FAA20" s="84"/>
      <c r="FAB20" s="84"/>
      <c r="FAC20" s="84"/>
      <c r="FAD20" s="84"/>
      <c r="FAE20" s="84"/>
      <c r="FAF20" s="84"/>
      <c r="FAG20" s="84"/>
      <c r="FAH20" s="84"/>
      <c r="FAI20" s="84"/>
      <c r="FAJ20" s="84"/>
      <c r="FAK20" s="84"/>
      <c r="FAL20" s="84"/>
      <c r="FAM20" s="84"/>
      <c r="FAN20" s="84"/>
      <c r="FAO20" s="84"/>
      <c r="FAP20" s="84"/>
      <c r="FAQ20" s="84"/>
      <c r="FAR20" s="84"/>
      <c r="FAS20" s="84"/>
      <c r="FAT20" s="84"/>
      <c r="FAU20" s="84"/>
      <c r="FAV20" s="84"/>
      <c r="FAW20" s="84"/>
      <c r="FAX20" s="84"/>
      <c r="FAY20" s="84"/>
      <c r="FAZ20" s="84"/>
      <c r="FBA20" s="84"/>
      <c r="FBB20" s="84"/>
      <c r="FBC20" s="84"/>
      <c r="FBD20" s="84"/>
      <c r="FBE20" s="84"/>
      <c r="FBF20" s="84"/>
      <c r="FBG20" s="84"/>
      <c r="FBH20" s="84"/>
      <c r="FBI20" s="84"/>
      <c r="FBJ20" s="84"/>
      <c r="FBK20" s="84"/>
      <c r="FBL20" s="84"/>
      <c r="FBM20" s="84"/>
      <c r="FBN20" s="84"/>
      <c r="FBO20" s="84"/>
      <c r="FBP20" s="84"/>
      <c r="FBQ20" s="84"/>
      <c r="FBR20" s="84"/>
      <c r="FBS20" s="84"/>
      <c r="FBT20" s="84"/>
      <c r="FBU20" s="84"/>
      <c r="FBV20" s="84"/>
      <c r="FBW20" s="84"/>
      <c r="FBX20" s="84"/>
      <c r="FBY20" s="84"/>
      <c r="FBZ20" s="84"/>
      <c r="FCA20" s="84"/>
      <c r="FCB20" s="84"/>
      <c r="FCC20" s="84"/>
      <c r="FCD20" s="84"/>
      <c r="FCE20" s="84"/>
      <c r="FCF20" s="84"/>
      <c r="FCG20" s="84"/>
      <c r="FCH20" s="84"/>
      <c r="FCI20" s="84"/>
      <c r="FCJ20" s="84"/>
      <c r="FCK20" s="84"/>
      <c r="FCL20" s="84"/>
      <c r="FCM20" s="84"/>
      <c r="FCN20" s="84"/>
      <c r="FCO20" s="84"/>
      <c r="FCP20" s="84"/>
      <c r="FCQ20" s="84"/>
      <c r="FCR20" s="84"/>
      <c r="FCS20" s="84"/>
      <c r="FCT20" s="84"/>
      <c r="FCU20" s="84"/>
      <c r="FCV20" s="84"/>
      <c r="FCW20" s="84"/>
      <c r="FCX20" s="84"/>
      <c r="FCY20" s="84"/>
      <c r="FCZ20" s="84"/>
      <c r="FDA20" s="84"/>
      <c r="FDB20" s="84"/>
      <c r="FDC20" s="84"/>
      <c r="FDD20" s="84"/>
      <c r="FDE20" s="84"/>
      <c r="FDF20" s="84"/>
      <c r="FDG20" s="84"/>
      <c r="FDH20" s="84"/>
      <c r="FDI20" s="84"/>
      <c r="FDJ20" s="84"/>
      <c r="FDK20" s="84"/>
      <c r="FDL20" s="84"/>
      <c r="FDM20" s="84"/>
      <c r="FDN20" s="84"/>
      <c r="FDO20" s="84"/>
      <c r="FDP20" s="84"/>
      <c r="FDQ20" s="84"/>
      <c r="FDR20" s="84"/>
      <c r="FDS20" s="84"/>
      <c r="FDT20" s="84"/>
      <c r="FDU20" s="84"/>
      <c r="FDV20" s="84"/>
      <c r="FDW20" s="84"/>
      <c r="FDX20" s="84"/>
      <c r="FDY20" s="84"/>
      <c r="FDZ20" s="84"/>
      <c r="FEA20" s="84"/>
      <c r="FEB20" s="84"/>
      <c r="FEC20" s="84"/>
      <c r="FED20" s="84"/>
      <c r="FEE20" s="84"/>
      <c r="FEF20" s="84"/>
      <c r="FEG20" s="84"/>
      <c r="FEH20" s="84"/>
      <c r="FEI20" s="84"/>
      <c r="FEJ20" s="84"/>
      <c r="FEK20" s="84"/>
      <c r="FEL20" s="84"/>
      <c r="FEM20" s="84"/>
      <c r="FEN20" s="84"/>
      <c r="FEO20" s="84"/>
      <c r="FEP20" s="84"/>
      <c r="FEQ20" s="84"/>
      <c r="FER20" s="84"/>
      <c r="FES20" s="84"/>
      <c r="FET20" s="84"/>
      <c r="FEU20" s="84"/>
      <c r="FEV20" s="84"/>
      <c r="FEW20" s="84"/>
      <c r="FEX20" s="84"/>
      <c r="FEY20" s="84"/>
      <c r="FEZ20" s="84"/>
      <c r="FFA20" s="84"/>
      <c r="FFB20" s="84"/>
      <c r="FFC20" s="84"/>
      <c r="FFD20" s="84"/>
      <c r="FFE20" s="84"/>
      <c r="FFF20" s="84"/>
      <c r="FFG20" s="84"/>
      <c r="FFH20" s="84"/>
      <c r="FFI20" s="84"/>
      <c r="FFJ20" s="84"/>
      <c r="FFK20" s="84"/>
      <c r="FFL20" s="84"/>
      <c r="FFM20" s="84"/>
      <c r="FFN20" s="84"/>
      <c r="FFO20" s="84"/>
      <c r="FFP20" s="84"/>
      <c r="FFQ20" s="84"/>
      <c r="FFR20" s="84"/>
      <c r="FFS20" s="84"/>
      <c r="FFT20" s="84"/>
      <c r="FFU20" s="84"/>
      <c r="FFV20" s="84"/>
      <c r="FFW20" s="84"/>
      <c r="FFX20" s="84"/>
      <c r="FFY20" s="84"/>
      <c r="FFZ20" s="84"/>
      <c r="FGA20" s="84"/>
      <c r="FGB20" s="84"/>
      <c r="FGC20" s="84"/>
      <c r="FGD20" s="84"/>
      <c r="FGE20" s="84"/>
      <c r="FGF20" s="84"/>
      <c r="FGG20" s="84"/>
      <c r="FGH20" s="84"/>
      <c r="FGI20" s="84"/>
      <c r="FGJ20" s="84"/>
      <c r="FGK20" s="84"/>
      <c r="FGL20" s="84"/>
      <c r="FGM20" s="84"/>
      <c r="FGN20" s="84"/>
      <c r="FGO20" s="84"/>
      <c r="FGP20" s="84"/>
      <c r="FGQ20" s="84"/>
      <c r="FGR20" s="84"/>
      <c r="FGS20" s="84"/>
      <c r="FGT20" s="84"/>
      <c r="FGU20" s="84"/>
      <c r="FGV20" s="84"/>
      <c r="FGW20" s="84"/>
      <c r="FGX20" s="84"/>
      <c r="FGY20" s="84"/>
      <c r="FGZ20" s="84"/>
      <c r="FHA20" s="84"/>
      <c r="FHB20" s="84"/>
      <c r="FHC20" s="84"/>
      <c r="FHD20" s="84"/>
      <c r="FHE20" s="84"/>
      <c r="FHF20" s="84"/>
      <c r="FHG20" s="84"/>
      <c r="FHH20" s="84"/>
      <c r="FHI20" s="84"/>
      <c r="FHJ20" s="84"/>
      <c r="FHK20" s="84"/>
      <c r="FHL20" s="84"/>
      <c r="FHM20" s="84"/>
      <c r="FHN20" s="84"/>
      <c r="FHO20" s="84"/>
      <c r="FHP20" s="84"/>
      <c r="FHQ20" s="84"/>
      <c r="FHR20" s="84"/>
      <c r="FHS20" s="84"/>
      <c r="FHT20" s="84"/>
      <c r="FHU20" s="84"/>
      <c r="FHV20" s="84"/>
      <c r="FHW20" s="84"/>
      <c r="FHX20" s="84"/>
      <c r="FHY20" s="84"/>
      <c r="FHZ20" s="84"/>
      <c r="FIA20" s="84"/>
      <c r="FIB20" s="84"/>
      <c r="FIC20" s="84"/>
      <c r="FID20" s="84"/>
      <c r="FIE20" s="84"/>
      <c r="FIF20" s="84"/>
      <c r="FIG20" s="84"/>
      <c r="FIH20" s="84"/>
      <c r="FII20" s="84"/>
      <c r="FIJ20" s="84"/>
      <c r="FIK20" s="84"/>
      <c r="FIL20" s="84"/>
      <c r="FIM20" s="84"/>
      <c r="FIN20" s="84"/>
      <c r="FIO20" s="84"/>
      <c r="FIP20" s="84"/>
      <c r="FIQ20" s="84"/>
      <c r="FIR20" s="84"/>
      <c r="FIS20" s="84"/>
      <c r="FIT20" s="84"/>
      <c r="FIU20" s="84"/>
      <c r="FIV20" s="84"/>
      <c r="FIW20" s="84"/>
      <c r="FIX20" s="84"/>
      <c r="FIY20" s="84"/>
      <c r="FIZ20" s="84"/>
      <c r="FJA20" s="84"/>
      <c r="FJB20" s="84"/>
      <c r="FJC20" s="84"/>
      <c r="FJD20" s="84"/>
      <c r="FJE20" s="84"/>
      <c r="FJF20" s="84"/>
      <c r="FJG20" s="84"/>
      <c r="FJH20" s="84"/>
      <c r="FJI20" s="84"/>
      <c r="FJJ20" s="84"/>
      <c r="FJK20" s="84"/>
      <c r="FJL20" s="84"/>
      <c r="FJM20" s="84"/>
      <c r="FJN20" s="84"/>
      <c r="FJO20" s="84"/>
      <c r="FJP20" s="84"/>
      <c r="FJQ20" s="84"/>
      <c r="FJR20" s="84"/>
      <c r="FJS20" s="84"/>
      <c r="FJT20" s="84"/>
      <c r="FJU20" s="84"/>
      <c r="FJV20" s="84"/>
      <c r="FJW20" s="84"/>
      <c r="FJX20" s="84"/>
      <c r="FJY20" s="84"/>
      <c r="FJZ20" s="84"/>
      <c r="FKA20" s="84"/>
      <c r="FKB20" s="84"/>
      <c r="FKC20" s="84"/>
      <c r="FKD20" s="84"/>
      <c r="FKE20" s="84"/>
      <c r="FKF20" s="84"/>
      <c r="FKG20" s="84"/>
      <c r="FKH20" s="84"/>
      <c r="FKI20" s="84"/>
      <c r="FKJ20" s="84"/>
      <c r="FKK20" s="84"/>
      <c r="FKL20" s="84"/>
      <c r="FKM20" s="84"/>
      <c r="FKN20" s="84"/>
      <c r="FKO20" s="84"/>
      <c r="FKP20" s="84"/>
      <c r="FKQ20" s="84"/>
      <c r="FKR20" s="84"/>
      <c r="FKS20" s="84"/>
      <c r="FKT20" s="84"/>
      <c r="FKU20" s="84"/>
      <c r="FKV20" s="84"/>
      <c r="FKW20" s="84"/>
      <c r="FKX20" s="84"/>
      <c r="FKY20" s="84"/>
      <c r="FKZ20" s="84"/>
      <c r="FLA20" s="84"/>
      <c r="FLB20" s="84"/>
      <c r="FLC20" s="84"/>
      <c r="FLD20" s="84"/>
      <c r="FLE20" s="84"/>
      <c r="FLF20" s="84"/>
      <c r="FLG20" s="84"/>
      <c r="FLH20" s="84"/>
      <c r="FLI20" s="84"/>
      <c r="FLJ20" s="84"/>
      <c r="FLK20" s="84"/>
      <c r="FLL20" s="84"/>
      <c r="FLM20" s="84"/>
      <c r="FLN20" s="84"/>
      <c r="FLO20" s="84"/>
      <c r="FLP20" s="84"/>
      <c r="FLQ20" s="84"/>
      <c r="FLR20" s="84"/>
      <c r="FLS20" s="84"/>
      <c r="FLT20" s="84"/>
      <c r="FLU20" s="84"/>
      <c r="FLV20" s="84"/>
      <c r="FLW20" s="84"/>
      <c r="FLX20" s="84"/>
      <c r="FLY20" s="84"/>
      <c r="FLZ20" s="84"/>
      <c r="FMA20" s="84"/>
      <c r="FMB20" s="84"/>
      <c r="FMC20" s="84"/>
      <c r="FMD20" s="84"/>
      <c r="FME20" s="84"/>
      <c r="FMF20" s="84"/>
      <c r="FMG20" s="84"/>
      <c r="FMH20" s="84"/>
      <c r="FMI20" s="84"/>
      <c r="FMJ20" s="84"/>
      <c r="FMK20" s="84"/>
      <c r="FML20" s="84"/>
      <c r="FMM20" s="84"/>
      <c r="FMN20" s="84"/>
      <c r="FMO20" s="84"/>
      <c r="FMP20" s="84"/>
      <c r="FMQ20" s="84"/>
      <c r="FMR20" s="84"/>
      <c r="FMS20" s="84"/>
      <c r="FMT20" s="84"/>
      <c r="FMU20" s="84"/>
      <c r="FMV20" s="84"/>
      <c r="FMW20" s="84"/>
      <c r="FMX20" s="84"/>
      <c r="FMY20" s="84"/>
      <c r="FMZ20" s="84"/>
      <c r="FNA20" s="84"/>
      <c r="FNB20" s="84"/>
      <c r="FNC20" s="84"/>
      <c r="FND20" s="84"/>
      <c r="FNE20" s="84"/>
      <c r="FNF20" s="84"/>
      <c r="FNG20" s="84"/>
      <c r="FNH20" s="84"/>
      <c r="FNI20" s="84"/>
      <c r="FNJ20" s="84"/>
      <c r="FNK20" s="84"/>
      <c r="FNL20" s="84"/>
      <c r="FNM20" s="84"/>
      <c r="FNN20" s="84"/>
      <c r="FNO20" s="84"/>
      <c r="FNP20" s="84"/>
      <c r="FNQ20" s="84"/>
      <c r="FNR20" s="84"/>
      <c r="FNS20" s="84"/>
      <c r="FNT20" s="84"/>
      <c r="FNU20" s="84"/>
      <c r="FNV20" s="84"/>
      <c r="FNW20" s="84"/>
      <c r="FNX20" s="84"/>
      <c r="FNY20" s="84"/>
      <c r="FNZ20" s="84"/>
      <c r="FOA20" s="84"/>
      <c r="FOB20" s="84"/>
      <c r="FOC20" s="84"/>
      <c r="FOD20" s="84"/>
      <c r="FOE20" s="84"/>
      <c r="FOF20" s="84"/>
      <c r="FOG20" s="84"/>
      <c r="FOH20" s="84"/>
      <c r="FOI20" s="84"/>
      <c r="FOJ20" s="84"/>
      <c r="FOK20" s="84"/>
      <c r="FOL20" s="84"/>
      <c r="FOM20" s="84"/>
      <c r="FON20" s="84"/>
      <c r="FOO20" s="84"/>
      <c r="FOP20" s="84"/>
      <c r="FOQ20" s="84"/>
      <c r="FOR20" s="84"/>
      <c r="FOS20" s="84"/>
      <c r="FOT20" s="84"/>
      <c r="FOU20" s="84"/>
      <c r="FOV20" s="84"/>
      <c r="FOW20" s="84"/>
      <c r="FOX20" s="84"/>
      <c r="FOY20" s="84"/>
      <c r="FOZ20" s="84"/>
      <c r="FPA20" s="84"/>
      <c r="FPB20" s="84"/>
      <c r="FPC20" s="84"/>
      <c r="FPD20" s="84"/>
      <c r="FPE20" s="84"/>
      <c r="FPF20" s="84"/>
      <c r="FPG20" s="84"/>
      <c r="FPH20" s="84"/>
      <c r="FPI20" s="84"/>
      <c r="FPJ20" s="84"/>
      <c r="FPK20" s="84"/>
      <c r="FPL20" s="84"/>
      <c r="FPM20" s="84"/>
      <c r="FPN20" s="84"/>
      <c r="FPO20" s="84"/>
      <c r="FPP20" s="84"/>
      <c r="FPQ20" s="84"/>
      <c r="FPR20" s="84"/>
      <c r="FPS20" s="84"/>
      <c r="FPT20" s="84"/>
      <c r="FPU20" s="84"/>
      <c r="FPV20" s="84"/>
      <c r="FPW20" s="84"/>
      <c r="FPX20" s="84"/>
      <c r="FPY20" s="84"/>
      <c r="FPZ20" s="84"/>
      <c r="FQA20" s="84"/>
      <c r="FQB20" s="84"/>
      <c r="FQC20" s="84"/>
      <c r="FQD20" s="84"/>
      <c r="FQE20" s="84"/>
      <c r="FQF20" s="84"/>
      <c r="FQG20" s="84"/>
      <c r="FQH20" s="84"/>
      <c r="FQI20" s="84"/>
      <c r="FQJ20" s="84"/>
      <c r="FQK20" s="84"/>
      <c r="FQL20" s="84"/>
      <c r="FQM20" s="84"/>
      <c r="FQN20" s="84"/>
      <c r="FQO20" s="84"/>
      <c r="FQP20" s="84"/>
      <c r="FQQ20" s="84"/>
      <c r="FQR20" s="84"/>
      <c r="FQS20" s="84"/>
      <c r="FQT20" s="84"/>
      <c r="FQU20" s="84"/>
      <c r="FQV20" s="84"/>
      <c r="FQW20" s="84"/>
      <c r="FQX20" s="84"/>
      <c r="FQY20" s="84"/>
      <c r="FQZ20" s="84"/>
      <c r="FRA20" s="84"/>
      <c r="FRB20" s="84"/>
      <c r="FRC20" s="84"/>
      <c r="FRD20" s="84"/>
      <c r="FRE20" s="84"/>
      <c r="FRF20" s="84"/>
      <c r="FRG20" s="84"/>
      <c r="FRH20" s="84"/>
      <c r="FRI20" s="84"/>
      <c r="FRJ20" s="84"/>
      <c r="FRK20" s="84"/>
      <c r="FRL20" s="84"/>
      <c r="FRM20" s="84"/>
      <c r="FRN20" s="84"/>
      <c r="FRO20" s="84"/>
      <c r="FRP20" s="84"/>
      <c r="FRQ20" s="84"/>
      <c r="FRR20" s="84"/>
      <c r="FRS20" s="84"/>
      <c r="FRT20" s="84"/>
      <c r="FRU20" s="84"/>
      <c r="FRV20" s="84"/>
      <c r="FRW20" s="84"/>
      <c r="FRX20" s="84"/>
      <c r="FRY20" s="84"/>
      <c r="FRZ20" s="84"/>
      <c r="FSA20" s="84"/>
      <c r="FSB20" s="84"/>
      <c r="FSC20" s="84"/>
      <c r="FSD20" s="84"/>
      <c r="FSE20" s="84"/>
      <c r="FSF20" s="84"/>
      <c r="FSG20" s="84"/>
      <c r="FSH20" s="84"/>
      <c r="FSI20" s="84"/>
      <c r="FSJ20" s="84"/>
      <c r="FSK20" s="84"/>
      <c r="FSL20" s="84"/>
      <c r="FSM20" s="84"/>
      <c r="FSN20" s="84"/>
      <c r="FSO20" s="84"/>
      <c r="FSP20" s="84"/>
      <c r="FSQ20" s="84"/>
      <c r="FSR20" s="84"/>
      <c r="FSS20" s="84"/>
      <c r="FST20" s="84"/>
      <c r="FSU20" s="84"/>
      <c r="FSV20" s="84"/>
      <c r="FSW20" s="84"/>
      <c r="FSX20" s="84"/>
      <c r="FSY20" s="84"/>
      <c r="FSZ20" s="84"/>
      <c r="FTA20" s="84"/>
      <c r="FTB20" s="84"/>
      <c r="FTC20" s="84"/>
      <c r="FTD20" s="84"/>
      <c r="FTE20" s="84"/>
      <c r="FTF20" s="84"/>
      <c r="FTG20" s="84"/>
      <c r="FTH20" s="84"/>
      <c r="FTI20" s="84"/>
      <c r="FTJ20" s="84"/>
      <c r="FTK20" s="84"/>
      <c r="FTL20" s="84"/>
      <c r="FTM20" s="84"/>
      <c r="FTN20" s="84"/>
      <c r="FTO20" s="84"/>
      <c r="FTP20" s="84"/>
      <c r="FTQ20" s="84"/>
      <c r="FTR20" s="84"/>
      <c r="FTS20" s="84"/>
      <c r="FTT20" s="84"/>
      <c r="FTU20" s="84"/>
      <c r="FTV20" s="84"/>
      <c r="FTW20" s="84"/>
      <c r="FTX20" s="84"/>
      <c r="FTY20" s="84"/>
      <c r="FTZ20" s="84"/>
      <c r="FUA20" s="84"/>
      <c r="FUB20" s="84"/>
      <c r="FUC20" s="84"/>
      <c r="FUD20" s="84"/>
      <c r="FUE20" s="84"/>
      <c r="FUF20" s="84"/>
      <c r="FUG20" s="84"/>
      <c r="FUH20" s="84"/>
      <c r="FUI20" s="84"/>
      <c r="FUJ20" s="84"/>
      <c r="FUK20" s="84"/>
      <c r="FUL20" s="84"/>
      <c r="FUM20" s="84"/>
      <c r="FUN20" s="84"/>
      <c r="FUO20" s="84"/>
      <c r="FUP20" s="84"/>
      <c r="FUQ20" s="84"/>
      <c r="FUR20" s="84"/>
      <c r="FUS20" s="84"/>
      <c r="FUT20" s="84"/>
      <c r="FUU20" s="84"/>
      <c r="FUV20" s="84"/>
      <c r="FUW20" s="84"/>
      <c r="FUX20" s="84"/>
      <c r="FUY20" s="84"/>
      <c r="FUZ20" s="84"/>
      <c r="FVA20" s="84"/>
      <c r="FVB20" s="84"/>
      <c r="FVC20" s="84"/>
      <c r="FVD20" s="84"/>
      <c r="FVE20" s="84"/>
      <c r="FVF20" s="84"/>
      <c r="FVG20" s="84"/>
      <c r="FVH20" s="84"/>
      <c r="FVI20" s="84"/>
      <c r="FVJ20" s="84"/>
      <c r="FVK20" s="84"/>
      <c r="FVL20" s="84"/>
      <c r="FVM20" s="84"/>
      <c r="FVN20" s="84"/>
      <c r="FVO20" s="84"/>
      <c r="FVP20" s="84"/>
      <c r="FVQ20" s="84"/>
      <c r="FVR20" s="84"/>
      <c r="FVS20" s="84"/>
      <c r="FVT20" s="84"/>
      <c r="FVU20" s="84"/>
      <c r="FVV20" s="84"/>
      <c r="FVW20" s="84"/>
      <c r="FVX20" s="84"/>
      <c r="FVY20" s="84"/>
      <c r="FVZ20" s="84"/>
      <c r="FWA20" s="84"/>
      <c r="FWB20" s="84"/>
      <c r="FWC20" s="84"/>
      <c r="FWD20" s="84"/>
      <c r="FWE20" s="84"/>
      <c r="FWF20" s="84"/>
      <c r="FWG20" s="84"/>
      <c r="FWH20" s="84"/>
      <c r="FWI20" s="84"/>
      <c r="FWJ20" s="84"/>
      <c r="FWK20" s="84"/>
      <c r="FWL20" s="84"/>
      <c r="FWM20" s="84"/>
      <c r="FWN20" s="84"/>
      <c r="FWO20" s="84"/>
      <c r="FWP20" s="84"/>
      <c r="FWQ20" s="84"/>
      <c r="FWR20" s="84"/>
      <c r="FWS20" s="84"/>
      <c r="FWT20" s="84"/>
      <c r="FWU20" s="84"/>
      <c r="FWV20" s="84"/>
      <c r="FWW20" s="84"/>
      <c r="FWX20" s="84"/>
      <c r="FWY20" s="84"/>
      <c r="FWZ20" s="84"/>
      <c r="FXA20" s="84"/>
      <c r="FXB20" s="84"/>
      <c r="FXC20" s="84"/>
      <c r="FXD20" s="84"/>
      <c r="FXE20" s="84"/>
      <c r="FXF20" s="84"/>
      <c r="FXG20" s="84"/>
      <c r="FXH20" s="84"/>
      <c r="FXI20" s="84"/>
      <c r="FXJ20" s="84"/>
      <c r="FXK20" s="84"/>
      <c r="FXL20" s="84"/>
      <c r="FXM20" s="84"/>
      <c r="FXN20" s="84"/>
      <c r="FXO20" s="84"/>
      <c r="FXP20" s="84"/>
      <c r="FXQ20" s="84"/>
      <c r="FXR20" s="84"/>
      <c r="FXS20" s="84"/>
      <c r="FXT20" s="84"/>
      <c r="FXU20" s="84"/>
      <c r="FXV20" s="84"/>
      <c r="FXW20" s="84"/>
      <c r="FXX20" s="84"/>
      <c r="FXY20" s="84"/>
      <c r="FXZ20" s="84"/>
      <c r="FYA20" s="84"/>
      <c r="FYB20" s="84"/>
      <c r="FYC20" s="84"/>
      <c r="FYD20" s="84"/>
      <c r="FYE20" s="84"/>
      <c r="FYF20" s="84"/>
      <c r="FYG20" s="84"/>
      <c r="FYH20" s="84"/>
      <c r="FYI20" s="84"/>
      <c r="FYJ20" s="84"/>
      <c r="FYK20" s="84"/>
      <c r="FYL20" s="84"/>
      <c r="FYM20" s="84"/>
      <c r="FYN20" s="84"/>
      <c r="FYO20" s="84"/>
      <c r="FYP20" s="84"/>
      <c r="FYQ20" s="84"/>
      <c r="FYR20" s="84"/>
      <c r="FYS20" s="84"/>
      <c r="FYT20" s="84"/>
      <c r="FYU20" s="84"/>
      <c r="FYV20" s="84"/>
      <c r="FYW20" s="84"/>
      <c r="FYX20" s="84"/>
      <c r="FYY20" s="84"/>
      <c r="FYZ20" s="84"/>
      <c r="FZA20" s="84"/>
      <c r="FZB20" s="84"/>
      <c r="FZC20" s="84"/>
      <c r="FZD20" s="84"/>
      <c r="FZE20" s="84"/>
      <c r="FZF20" s="84"/>
      <c r="FZG20" s="84"/>
      <c r="FZH20" s="84"/>
      <c r="FZI20" s="84"/>
      <c r="FZJ20" s="84"/>
      <c r="FZK20" s="84"/>
      <c r="FZL20" s="84"/>
      <c r="FZM20" s="84"/>
      <c r="FZN20" s="84"/>
      <c r="FZO20" s="84"/>
      <c r="FZP20" s="84"/>
      <c r="FZQ20" s="84"/>
      <c r="FZR20" s="84"/>
      <c r="FZS20" s="84"/>
      <c r="FZT20" s="84"/>
      <c r="FZU20" s="84"/>
      <c r="FZV20" s="84"/>
      <c r="FZW20" s="84"/>
      <c r="FZX20" s="84"/>
      <c r="FZY20" s="84"/>
      <c r="FZZ20" s="84"/>
      <c r="GAA20" s="84"/>
      <c r="GAB20" s="84"/>
      <c r="GAC20" s="84"/>
      <c r="GAD20" s="84"/>
      <c r="GAE20" s="84"/>
      <c r="GAF20" s="84"/>
      <c r="GAG20" s="84"/>
      <c r="GAH20" s="84"/>
      <c r="GAI20" s="84"/>
      <c r="GAJ20" s="84"/>
      <c r="GAK20" s="84"/>
      <c r="GAL20" s="84"/>
      <c r="GAM20" s="84"/>
      <c r="GAN20" s="84"/>
      <c r="GAO20" s="84"/>
      <c r="GAP20" s="84"/>
      <c r="GAQ20" s="84"/>
      <c r="GAR20" s="84"/>
      <c r="GAS20" s="84"/>
      <c r="GAT20" s="84"/>
      <c r="GAU20" s="84"/>
      <c r="GAV20" s="84"/>
      <c r="GAW20" s="84"/>
      <c r="GAX20" s="84"/>
      <c r="GAY20" s="84"/>
      <c r="GAZ20" s="84"/>
      <c r="GBA20" s="84"/>
      <c r="GBB20" s="84"/>
      <c r="GBC20" s="84"/>
      <c r="GBD20" s="84"/>
      <c r="GBE20" s="84"/>
      <c r="GBF20" s="84"/>
      <c r="GBG20" s="84"/>
      <c r="GBH20" s="84"/>
      <c r="GBI20" s="84"/>
      <c r="GBJ20" s="84"/>
      <c r="GBK20" s="84"/>
      <c r="GBL20" s="84"/>
      <c r="GBM20" s="84"/>
      <c r="GBN20" s="84"/>
      <c r="GBO20" s="84"/>
      <c r="GBP20" s="84"/>
      <c r="GBQ20" s="84"/>
      <c r="GBR20" s="84"/>
      <c r="GBS20" s="84"/>
      <c r="GBT20" s="84"/>
      <c r="GBU20" s="84"/>
      <c r="GBV20" s="84"/>
      <c r="GBW20" s="84"/>
      <c r="GBX20" s="84"/>
      <c r="GBY20" s="84"/>
      <c r="GBZ20" s="84"/>
      <c r="GCA20" s="84"/>
      <c r="GCB20" s="84"/>
      <c r="GCC20" s="84"/>
      <c r="GCD20" s="84"/>
      <c r="GCE20" s="84"/>
      <c r="GCF20" s="84"/>
      <c r="GCG20" s="84"/>
      <c r="GCH20" s="84"/>
      <c r="GCI20" s="84"/>
      <c r="GCJ20" s="84"/>
      <c r="GCK20" s="84"/>
      <c r="GCL20" s="84"/>
      <c r="GCM20" s="84"/>
      <c r="GCN20" s="84"/>
      <c r="GCO20" s="84"/>
      <c r="GCP20" s="84"/>
      <c r="GCQ20" s="84"/>
      <c r="GCR20" s="84"/>
      <c r="GCS20" s="84"/>
      <c r="GCT20" s="84"/>
      <c r="GCU20" s="84"/>
      <c r="GCV20" s="84"/>
      <c r="GCW20" s="84"/>
      <c r="GCX20" s="84"/>
      <c r="GCY20" s="84"/>
      <c r="GCZ20" s="84"/>
      <c r="GDA20" s="84"/>
      <c r="GDB20" s="84"/>
      <c r="GDC20" s="84"/>
      <c r="GDD20" s="84"/>
      <c r="GDE20" s="84"/>
      <c r="GDF20" s="84"/>
      <c r="GDG20" s="84"/>
      <c r="GDH20" s="84"/>
      <c r="GDI20" s="84"/>
      <c r="GDJ20" s="84"/>
      <c r="GDK20" s="84"/>
      <c r="GDL20" s="84"/>
      <c r="GDM20" s="84"/>
      <c r="GDN20" s="84"/>
      <c r="GDO20" s="84"/>
      <c r="GDP20" s="84"/>
      <c r="GDQ20" s="84"/>
      <c r="GDR20" s="84"/>
      <c r="GDS20" s="84"/>
      <c r="GDT20" s="84"/>
      <c r="GDU20" s="84"/>
      <c r="GDV20" s="84"/>
      <c r="GDW20" s="84"/>
      <c r="GDX20" s="84"/>
      <c r="GDY20" s="84"/>
      <c r="GDZ20" s="84"/>
      <c r="GEA20" s="84"/>
      <c r="GEB20" s="84"/>
      <c r="GEC20" s="84"/>
      <c r="GED20" s="84"/>
      <c r="GEE20" s="84"/>
      <c r="GEF20" s="84"/>
      <c r="GEG20" s="84"/>
      <c r="GEH20" s="84"/>
      <c r="GEI20" s="84"/>
      <c r="GEJ20" s="84"/>
      <c r="GEK20" s="84"/>
      <c r="GEL20" s="84"/>
      <c r="GEM20" s="84"/>
      <c r="GEN20" s="84"/>
      <c r="GEO20" s="84"/>
      <c r="GEP20" s="84"/>
      <c r="GEQ20" s="84"/>
      <c r="GER20" s="84"/>
      <c r="GES20" s="84"/>
      <c r="GET20" s="84"/>
      <c r="GEU20" s="84"/>
      <c r="GEV20" s="84"/>
      <c r="GEW20" s="84"/>
      <c r="GEX20" s="84"/>
      <c r="GEY20" s="84"/>
      <c r="GEZ20" s="84"/>
      <c r="GFA20" s="84"/>
      <c r="GFB20" s="84"/>
      <c r="GFC20" s="84"/>
      <c r="GFD20" s="84"/>
      <c r="GFE20" s="84"/>
      <c r="GFF20" s="84"/>
      <c r="GFG20" s="84"/>
      <c r="GFH20" s="84"/>
      <c r="GFI20" s="84"/>
      <c r="GFJ20" s="84"/>
      <c r="GFK20" s="84"/>
      <c r="GFL20" s="84"/>
      <c r="GFM20" s="84"/>
      <c r="GFN20" s="84"/>
      <c r="GFO20" s="84"/>
      <c r="GFP20" s="84"/>
      <c r="GFQ20" s="84"/>
      <c r="GFR20" s="84"/>
      <c r="GFS20" s="84"/>
      <c r="GFT20" s="84"/>
      <c r="GFU20" s="84"/>
      <c r="GFV20" s="84"/>
      <c r="GFW20" s="84"/>
      <c r="GFX20" s="84"/>
      <c r="GFY20" s="84"/>
      <c r="GFZ20" s="84"/>
      <c r="GGA20" s="84"/>
      <c r="GGB20" s="84"/>
      <c r="GGC20" s="84"/>
      <c r="GGD20" s="84"/>
      <c r="GGE20" s="84"/>
      <c r="GGF20" s="84"/>
      <c r="GGG20" s="84"/>
      <c r="GGH20" s="84"/>
      <c r="GGI20" s="84"/>
      <c r="GGJ20" s="84"/>
      <c r="GGK20" s="84"/>
      <c r="GGL20" s="84"/>
      <c r="GGM20" s="84"/>
      <c r="GGN20" s="84"/>
      <c r="GGO20" s="84"/>
      <c r="GGP20" s="84"/>
      <c r="GGQ20" s="84"/>
      <c r="GGR20" s="84"/>
      <c r="GGS20" s="84"/>
      <c r="GGT20" s="84"/>
      <c r="GGU20" s="84"/>
      <c r="GGV20" s="84"/>
      <c r="GGW20" s="84"/>
      <c r="GGX20" s="84"/>
      <c r="GGY20" s="84"/>
      <c r="GGZ20" s="84"/>
      <c r="GHA20" s="84"/>
      <c r="GHB20" s="84"/>
      <c r="GHC20" s="84"/>
      <c r="GHD20" s="84"/>
      <c r="GHE20" s="84"/>
      <c r="GHF20" s="84"/>
      <c r="GHG20" s="84"/>
      <c r="GHH20" s="84"/>
      <c r="GHI20" s="84"/>
      <c r="GHJ20" s="84"/>
      <c r="GHK20" s="84"/>
      <c r="GHL20" s="84"/>
      <c r="GHM20" s="84"/>
      <c r="GHN20" s="84"/>
      <c r="GHO20" s="84"/>
      <c r="GHP20" s="84"/>
      <c r="GHQ20" s="84"/>
      <c r="GHR20" s="84"/>
      <c r="GHS20" s="84"/>
      <c r="GHT20" s="84"/>
      <c r="GHU20" s="84"/>
      <c r="GHV20" s="84"/>
      <c r="GHW20" s="84"/>
      <c r="GHX20" s="84"/>
      <c r="GHY20" s="84"/>
      <c r="GHZ20" s="84"/>
      <c r="GIA20" s="84"/>
      <c r="GIB20" s="84"/>
      <c r="GIC20" s="84"/>
      <c r="GID20" s="84"/>
      <c r="GIE20" s="84"/>
      <c r="GIF20" s="84"/>
      <c r="GIG20" s="84"/>
      <c r="GIH20" s="84"/>
      <c r="GII20" s="84"/>
      <c r="GIJ20" s="84"/>
      <c r="GIK20" s="84"/>
      <c r="GIL20" s="84"/>
      <c r="GIM20" s="84"/>
      <c r="GIN20" s="84"/>
      <c r="GIO20" s="84"/>
      <c r="GIP20" s="84"/>
      <c r="GIQ20" s="84"/>
      <c r="GIR20" s="84"/>
      <c r="GIS20" s="84"/>
      <c r="GIT20" s="84"/>
      <c r="GIU20" s="84"/>
      <c r="GIV20" s="84"/>
      <c r="GIW20" s="84"/>
      <c r="GIX20" s="84"/>
      <c r="GIY20" s="84"/>
      <c r="GIZ20" s="84"/>
      <c r="GJA20" s="84"/>
      <c r="GJB20" s="84"/>
      <c r="GJC20" s="84"/>
      <c r="GJD20" s="84"/>
      <c r="GJE20" s="84"/>
      <c r="GJF20" s="84"/>
      <c r="GJG20" s="84"/>
      <c r="GJH20" s="84"/>
      <c r="GJI20" s="84"/>
      <c r="GJJ20" s="84"/>
      <c r="GJK20" s="84"/>
      <c r="GJL20" s="84"/>
      <c r="GJM20" s="84"/>
      <c r="GJN20" s="84"/>
      <c r="GJO20" s="84"/>
      <c r="GJP20" s="84"/>
      <c r="GJQ20" s="84"/>
      <c r="GJR20" s="84"/>
      <c r="GJS20" s="84"/>
      <c r="GJT20" s="84"/>
      <c r="GJU20" s="84"/>
      <c r="GJV20" s="84"/>
      <c r="GJW20" s="84"/>
      <c r="GJX20" s="84"/>
      <c r="GJY20" s="84"/>
      <c r="GJZ20" s="84"/>
      <c r="GKA20" s="84"/>
      <c r="GKB20" s="84"/>
      <c r="GKC20" s="84"/>
      <c r="GKD20" s="84"/>
      <c r="GKE20" s="84"/>
      <c r="GKF20" s="84"/>
      <c r="GKG20" s="84"/>
      <c r="GKH20" s="84"/>
      <c r="GKI20" s="84"/>
      <c r="GKJ20" s="84"/>
      <c r="GKK20" s="84"/>
      <c r="GKL20" s="84"/>
      <c r="GKM20" s="84"/>
      <c r="GKN20" s="84"/>
      <c r="GKO20" s="84"/>
      <c r="GKP20" s="84"/>
      <c r="GKQ20" s="84"/>
      <c r="GKR20" s="84"/>
      <c r="GKS20" s="84"/>
      <c r="GKT20" s="84"/>
      <c r="GKU20" s="84"/>
      <c r="GKV20" s="84"/>
      <c r="GKW20" s="84"/>
      <c r="GKX20" s="84"/>
      <c r="GKY20" s="84"/>
      <c r="GKZ20" s="84"/>
      <c r="GLA20" s="84"/>
      <c r="GLB20" s="84"/>
      <c r="GLC20" s="84"/>
      <c r="GLD20" s="84"/>
      <c r="GLE20" s="84"/>
      <c r="GLF20" s="84"/>
      <c r="GLG20" s="84"/>
      <c r="GLH20" s="84"/>
      <c r="GLI20" s="84"/>
      <c r="GLJ20" s="84"/>
      <c r="GLK20" s="84"/>
      <c r="GLL20" s="84"/>
      <c r="GLM20" s="84"/>
      <c r="GLN20" s="84"/>
      <c r="GLO20" s="84"/>
      <c r="GLP20" s="84"/>
      <c r="GLQ20" s="84"/>
      <c r="GLR20" s="84"/>
      <c r="GLS20" s="84"/>
      <c r="GLT20" s="84"/>
      <c r="GLU20" s="84"/>
      <c r="GLV20" s="84"/>
      <c r="GLW20" s="84"/>
      <c r="GLX20" s="84"/>
      <c r="GLY20" s="84"/>
      <c r="GLZ20" s="84"/>
      <c r="GMA20" s="84"/>
      <c r="GMB20" s="84"/>
      <c r="GMC20" s="84"/>
      <c r="GMD20" s="84"/>
      <c r="GME20" s="84"/>
      <c r="GMF20" s="84"/>
      <c r="GMG20" s="84"/>
      <c r="GMH20" s="84"/>
      <c r="GMI20" s="84"/>
      <c r="GMJ20" s="84"/>
      <c r="GMK20" s="84"/>
      <c r="GML20" s="84"/>
      <c r="GMM20" s="84"/>
      <c r="GMN20" s="84"/>
      <c r="GMO20" s="84"/>
      <c r="GMP20" s="84"/>
      <c r="GMQ20" s="84"/>
      <c r="GMR20" s="84"/>
      <c r="GMS20" s="84"/>
      <c r="GMT20" s="84"/>
      <c r="GMU20" s="84"/>
      <c r="GMV20" s="84"/>
      <c r="GMW20" s="84"/>
      <c r="GMX20" s="84"/>
      <c r="GMY20" s="84"/>
      <c r="GMZ20" s="84"/>
      <c r="GNA20" s="84"/>
      <c r="GNB20" s="84"/>
      <c r="GNC20" s="84"/>
      <c r="GND20" s="84"/>
      <c r="GNE20" s="84"/>
      <c r="GNF20" s="84"/>
      <c r="GNG20" s="84"/>
      <c r="GNH20" s="84"/>
      <c r="GNI20" s="84"/>
      <c r="GNJ20" s="84"/>
      <c r="GNK20" s="84"/>
      <c r="GNL20" s="84"/>
      <c r="GNM20" s="84"/>
      <c r="GNN20" s="84"/>
      <c r="GNO20" s="84"/>
      <c r="GNP20" s="84"/>
      <c r="GNQ20" s="84"/>
      <c r="GNR20" s="84"/>
      <c r="GNS20" s="84"/>
      <c r="GNT20" s="84"/>
      <c r="GNU20" s="84"/>
      <c r="GNV20" s="84"/>
      <c r="GNW20" s="84"/>
      <c r="GNX20" s="84"/>
      <c r="GNY20" s="84"/>
      <c r="GNZ20" s="84"/>
      <c r="GOA20" s="84"/>
      <c r="GOB20" s="84"/>
      <c r="GOC20" s="84"/>
      <c r="GOD20" s="84"/>
      <c r="GOE20" s="84"/>
      <c r="GOF20" s="84"/>
      <c r="GOG20" s="84"/>
      <c r="GOH20" s="84"/>
      <c r="GOI20" s="84"/>
      <c r="GOJ20" s="84"/>
      <c r="GOK20" s="84"/>
      <c r="GOL20" s="84"/>
      <c r="GOM20" s="84"/>
      <c r="GON20" s="84"/>
      <c r="GOO20" s="84"/>
      <c r="GOP20" s="84"/>
      <c r="GOQ20" s="84"/>
      <c r="GOR20" s="84"/>
      <c r="GOS20" s="84"/>
      <c r="GOT20" s="84"/>
      <c r="GOU20" s="84"/>
      <c r="GOV20" s="84"/>
      <c r="GOW20" s="84"/>
      <c r="GOX20" s="84"/>
      <c r="GOY20" s="84"/>
      <c r="GOZ20" s="84"/>
      <c r="GPA20" s="84"/>
      <c r="GPB20" s="84"/>
      <c r="GPC20" s="84"/>
      <c r="GPD20" s="84"/>
      <c r="GPE20" s="84"/>
      <c r="GPF20" s="84"/>
      <c r="GPG20" s="84"/>
      <c r="GPH20" s="84"/>
      <c r="GPI20" s="84"/>
      <c r="GPJ20" s="84"/>
      <c r="GPK20" s="84"/>
      <c r="GPL20" s="84"/>
      <c r="GPM20" s="84"/>
      <c r="GPN20" s="84"/>
      <c r="GPO20" s="84"/>
      <c r="GPP20" s="84"/>
      <c r="GPQ20" s="84"/>
      <c r="GPR20" s="84"/>
      <c r="GPS20" s="84"/>
      <c r="GPT20" s="84"/>
      <c r="GPU20" s="84"/>
      <c r="GPV20" s="84"/>
      <c r="GPW20" s="84"/>
      <c r="GPX20" s="84"/>
      <c r="GPY20" s="84"/>
      <c r="GPZ20" s="84"/>
      <c r="GQA20" s="84"/>
      <c r="GQB20" s="84"/>
      <c r="GQC20" s="84"/>
      <c r="GQD20" s="84"/>
      <c r="GQE20" s="84"/>
      <c r="GQF20" s="84"/>
      <c r="GQG20" s="84"/>
      <c r="GQH20" s="84"/>
      <c r="GQI20" s="84"/>
      <c r="GQJ20" s="84"/>
      <c r="GQK20" s="84"/>
      <c r="GQL20" s="84"/>
      <c r="GQM20" s="84"/>
      <c r="GQN20" s="84"/>
      <c r="GQO20" s="84"/>
      <c r="GQP20" s="84"/>
      <c r="GQQ20" s="84"/>
      <c r="GQR20" s="84"/>
      <c r="GQS20" s="84"/>
      <c r="GQT20" s="84"/>
      <c r="GQU20" s="84"/>
      <c r="GQV20" s="84"/>
      <c r="GQW20" s="84"/>
      <c r="GQX20" s="84"/>
      <c r="GQY20" s="84"/>
      <c r="GQZ20" s="84"/>
      <c r="GRA20" s="84"/>
      <c r="GRB20" s="84"/>
      <c r="GRC20" s="84"/>
      <c r="GRD20" s="84"/>
      <c r="GRE20" s="84"/>
      <c r="GRF20" s="84"/>
      <c r="GRG20" s="84"/>
      <c r="GRH20" s="84"/>
      <c r="GRI20" s="84"/>
      <c r="GRJ20" s="84"/>
      <c r="GRK20" s="84"/>
      <c r="GRL20" s="84"/>
      <c r="GRM20" s="84"/>
      <c r="GRN20" s="84"/>
      <c r="GRO20" s="84"/>
      <c r="GRP20" s="84"/>
      <c r="GRQ20" s="84"/>
      <c r="GRR20" s="84"/>
      <c r="GRS20" s="84"/>
      <c r="GRT20" s="84"/>
      <c r="GRU20" s="84"/>
      <c r="GRV20" s="84"/>
      <c r="GRW20" s="84"/>
      <c r="GRX20" s="84"/>
      <c r="GRY20" s="84"/>
      <c r="GRZ20" s="84"/>
      <c r="GSA20" s="84"/>
      <c r="GSB20" s="84"/>
      <c r="GSC20" s="84"/>
      <c r="GSD20" s="84"/>
      <c r="GSE20" s="84"/>
      <c r="GSF20" s="84"/>
      <c r="GSG20" s="84"/>
      <c r="GSH20" s="84"/>
      <c r="GSI20" s="84"/>
      <c r="GSJ20" s="84"/>
      <c r="GSK20" s="84"/>
      <c r="GSL20" s="84"/>
      <c r="GSM20" s="84"/>
      <c r="GSN20" s="84"/>
      <c r="GSO20" s="84"/>
      <c r="GSP20" s="84"/>
      <c r="GSQ20" s="84"/>
      <c r="GSR20" s="84"/>
      <c r="GSS20" s="84"/>
      <c r="GST20" s="84"/>
      <c r="GSU20" s="84"/>
      <c r="GSV20" s="84"/>
      <c r="GSW20" s="84"/>
      <c r="GSX20" s="84"/>
      <c r="GSY20" s="84"/>
      <c r="GSZ20" s="84"/>
      <c r="GTA20" s="84"/>
      <c r="GTB20" s="84"/>
      <c r="GTC20" s="84"/>
      <c r="GTD20" s="84"/>
      <c r="GTE20" s="84"/>
      <c r="GTF20" s="84"/>
      <c r="GTG20" s="84"/>
      <c r="GTH20" s="84"/>
      <c r="GTI20" s="84"/>
      <c r="GTJ20" s="84"/>
      <c r="GTK20" s="84"/>
      <c r="GTL20" s="84"/>
      <c r="GTM20" s="84"/>
      <c r="GTN20" s="84"/>
      <c r="GTO20" s="84"/>
      <c r="GTP20" s="84"/>
      <c r="GTQ20" s="84"/>
      <c r="GTR20" s="84"/>
      <c r="GTS20" s="84"/>
      <c r="GTT20" s="84"/>
      <c r="GTU20" s="84"/>
      <c r="GTV20" s="84"/>
      <c r="GTW20" s="84"/>
      <c r="GTX20" s="84"/>
      <c r="GTY20" s="84"/>
      <c r="GTZ20" s="84"/>
      <c r="GUA20" s="84"/>
      <c r="GUB20" s="84"/>
      <c r="GUC20" s="84"/>
      <c r="GUD20" s="84"/>
      <c r="GUE20" s="84"/>
      <c r="GUF20" s="84"/>
      <c r="GUG20" s="84"/>
      <c r="GUH20" s="84"/>
      <c r="GUI20" s="84"/>
      <c r="GUJ20" s="84"/>
      <c r="GUK20" s="84"/>
      <c r="GUL20" s="84"/>
      <c r="GUM20" s="84"/>
      <c r="GUN20" s="84"/>
      <c r="GUO20" s="84"/>
      <c r="GUP20" s="84"/>
      <c r="GUQ20" s="84"/>
      <c r="GUR20" s="84"/>
      <c r="GUS20" s="84"/>
      <c r="GUT20" s="84"/>
      <c r="GUU20" s="84"/>
      <c r="GUV20" s="84"/>
      <c r="GUW20" s="84"/>
      <c r="GUX20" s="84"/>
      <c r="GUY20" s="84"/>
      <c r="GUZ20" s="84"/>
      <c r="GVA20" s="84"/>
      <c r="GVB20" s="84"/>
      <c r="GVC20" s="84"/>
      <c r="GVD20" s="84"/>
      <c r="GVE20" s="84"/>
      <c r="GVF20" s="84"/>
      <c r="GVG20" s="84"/>
      <c r="GVH20" s="84"/>
      <c r="GVI20" s="84"/>
      <c r="GVJ20" s="84"/>
      <c r="GVK20" s="84"/>
      <c r="GVL20" s="84"/>
      <c r="GVM20" s="84"/>
      <c r="GVN20" s="84"/>
      <c r="GVO20" s="84"/>
      <c r="GVP20" s="84"/>
      <c r="GVQ20" s="84"/>
      <c r="GVR20" s="84"/>
      <c r="GVS20" s="84"/>
      <c r="GVT20" s="84"/>
      <c r="GVU20" s="84"/>
      <c r="GVV20" s="84"/>
      <c r="GVW20" s="84"/>
      <c r="GVX20" s="84"/>
      <c r="GVY20" s="84"/>
      <c r="GVZ20" s="84"/>
      <c r="GWA20" s="84"/>
      <c r="GWB20" s="84"/>
      <c r="GWC20" s="84"/>
      <c r="GWD20" s="84"/>
      <c r="GWE20" s="84"/>
      <c r="GWF20" s="84"/>
      <c r="GWG20" s="84"/>
      <c r="GWH20" s="84"/>
      <c r="GWI20" s="84"/>
      <c r="GWJ20" s="84"/>
      <c r="GWK20" s="84"/>
      <c r="GWL20" s="84"/>
      <c r="GWM20" s="84"/>
      <c r="GWN20" s="84"/>
      <c r="GWO20" s="84"/>
      <c r="GWP20" s="84"/>
      <c r="GWQ20" s="84"/>
      <c r="GWR20" s="84"/>
      <c r="GWS20" s="84"/>
      <c r="GWT20" s="84"/>
      <c r="GWU20" s="84"/>
      <c r="GWV20" s="84"/>
      <c r="GWW20" s="84"/>
      <c r="GWX20" s="84"/>
      <c r="GWY20" s="84"/>
      <c r="GWZ20" s="84"/>
      <c r="GXA20" s="84"/>
      <c r="GXB20" s="84"/>
      <c r="GXC20" s="84"/>
      <c r="GXD20" s="84"/>
      <c r="GXE20" s="84"/>
      <c r="GXF20" s="84"/>
      <c r="GXG20" s="84"/>
      <c r="GXH20" s="84"/>
      <c r="GXI20" s="84"/>
      <c r="GXJ20" s="84"/>
      <c r="GXK20" s="84"/>
      <c r="GXL20" s="84"/>
      <c r="GXM20" s="84"/>
      <c r="GXN20" s="84"/>
      <c r="GXO20" s="84"/>
      <c r="GXP20" s="84"/>
      <c r="GXQ20" s="84"/>
      <c r="GXR20" s="84"/>
      <c r="GXS20" s="84"/>
      <c r="GXT20" s="84"/>
      <c r="GXU20" s="84"/>
      <c r="GXV20" s="84"/>
      <c r="GXW20" s="84"/>
      <c r="GXX20" s="84"/>
      <c r="GXY20" s="84"/>
      <c r="GXZ20" s="84"/>
      <c r="GYA20" s="84"/>
      <c r="GYB20" s="84"/>
      <c r="GYC20" s="84"/>
      <c r="GYD20" s="84"/>
      <c r="GYE20" s="84"/>
      <c r="GYF20" s="84"/>
      <c r="GYG20" s="84"/>
      <c r="GYH20" s="84"/>
      <c r="GYI20" s="84"/>
      <c r="GYJ20" s="84"/>
      <c r="GYK20" s="84"/>
      <c r="GYL20" s="84"/>
      <c r="GYM20" s="84"/>
      <c r="GYN20" s="84"/>
      <c r="GYO20" s="84"/>
      <c r="GYP20" s="84"/>
      <c r="GYQ20" s="84"/>
      <c r="GYR20" s="84"/>
      <c r="GYS20" s="84"/>
      <c r="GYT20" s="84"/>
      <c r="GYU20" s="84"/>
      <c r="GYV20" s="84"/>
      <c r="GYW20" s="84"/>
      <c r="GYX20" s="84"/>
      <c r="GYY20" s="84"/>
      <c r="GYZ20" s="84"/>
      <c r="GZA20" s="84"/>
      <c r="GZB20" s="84"/>
      <c r="GZC20" s="84"/>
      <c r="GZD20" s="84"/>
      <c r="GZE20" s="84"/>
      <c r="GZF20" s="84"/>
      <c r="GZG20" s="84"/>
      <c r="GZH20" s="84"/>
      <c r="GZI20" s="84"/>
      <c r="GZJ20" s="84"/>
      <c r="GZK20" s="84"/>
      <c r="GZL20" s="84"/>
      <c r="GZM20" s="84"/>
      <c r="GZN20" s="84"/>
      <c r="GZO20" s="84"/>
      <c r="GZP20" s="84"/>
      <c r="GZQ20" s="84"/>
      <c r="GZR20" s="84"/>
      <c r="GZS20" s="84"/>
      <c r="GZT20" s="84"/>
      <c r="GZU20" s="84"/>
      <c r="GZV20" s="84"/>
      <c r="GZW20" s="84"/>
      <c r="GZX20" s="84"/>
      <c r="GZY20" s="84"/>
      <c r="GZZ20" s="84"/>
      <c r="HAA20" s="84"/>
      <c r="HAB20" s="84"/>
      <c r="HAC20" s="84"/>
      <c r="HAD20" s="84"/>
      <c r="HAE20" s="84"/>
      <c r="HAF20" s="84"/>
      <c r="HAG20" s="84"/>
      <c r="HAH20" s="84"/>
      <c r="HAI20" s="84"/>
      <c r="HAJ20" s="84"/>
      <c r="HAK20" s="84"/>
      <c r="HAL20" s="84"/>
      <c r="HAM20" s="84"/>
      <c r="HAN20" s="84"/>
      <c r="HAO20" s="84"/>
      <c r="HAP20" s="84"/>
      <c r="HAQ20" s="84"/>
      <c r="HAR20" s="84"/>
      <c r="HAS20" s="84"/>
      <c r="HAT20" s="84"/>
      <c r="HAU20" s="84"/>
      <c r="HAV20" s="84"/>
      <c r="HAW20" s="84"/>
      <c r="HAX20" s="84"/>
      <c r="HAY20" s="84"/>
      <c r="HAZ20" s="84"/>
      <c r="HBA20" s="84"/>
      <c r="HBB20" s="84"/>
      <c r="HBC20" s="84"/>
      <c r="HBD20" s="84"/>
      <c r="HBE20" s="84"/>
      <c r="HBF20" s="84"/>
      <c r="HBG20" s="84"/>
      <c r="HBH20" s="84"/>
      <c r="HBI20" s="84"/>
      <c r="HBJ20" s="84"/>
      <c r="HBK20" s="84"/>
      <c r="HBL20" s="84"/>
      <c r="HBM20" s="386"/>
    </row>
    <row r="21" spans="1:5473" s="83" customFormat="1" x14ac:dyDescent="0.3">
      <c r="A21" s="11">
        <v>16</v>
      </c>
      <c r="B21" s="40" t="s">
        <v>2454</v>
      </c>
      <c r="C21" s="12" t="s">
        <v>1516</v>
      </c>
      <c r="D21" s="124">
        <v>910925035452</v>
      </c>
      <c r="E21" s="12" t="s">
        <v>1515</v>
      </c>
      <c r="F21" s="12" t="s">
        <v>7</v>
      </c>
      <c r="G21" s="11" t="s">
        <v>1528</v>
      </c>
      <c r="H21" s="86" t="s">
        <v>1507</v>
      </c>
      <c r="I21" s="550">
        <v>10000</v>
      </c>
      <c r="J21" s="89"/>
      <c r="K21" s="89">
        <v>10000</v>
      </c>
      <c r="L21" s="121">
        <v>9500</v>
      </c>
      <c r="M21" s="122">
        <f t="shared" si="0"/>
        <v>500</v>
      </c>
      <c r="N21" s="295"/>
      <c r="O21" s="121"/>
      <c r="P21" s="547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  <c r="DB21" s="84"/>
      <c r="DC21" s="84"/>
      <c r="DD21" s="84"/>
      <c r="DE21" s="84"/>
      <c r="DF21" s="84"/>
      <c r="DG21" s="84"/>
      <c r="DH21" s="84"/>
      <c r="DI21" s="84"/>
      <c r="DJ21" s="84"/>
      <c r="DK21" s="84"/>
      <c r="DL21" s="84"/>
      <c r="DM21" s="84"/>
      <c r="DN21" s="84"/>
      <c r="DO21" s="84"/>
      <c r="DP21" s="84"/>
      <c r="DQ21" s="84"/>
      <c r="DR21" s="84"/>
      <c r="DS21" s="84"/>
      <c r="DT21" s="84"/>
      <c r="DU21" s="84"/>
      <c r="DV21" s="84"/>
      <c r="DW21" s="84"/>
      <c r="DX21" s="84"/>
      <c r="DY21" s="84"/>
      <c r="DZ21" s="84"/>
      <c r="EA21" s="84"/>
      <c r="EB21" s="84"/>
      <c r="EC21" s="84"/>
      <c r="ED21" s="84"/>
      <c r="EE21" s="84"/>
      <c r="EF21" s="84"/>
      <c r="EG21" s="84"/>
      <c r="EH21" s="84"/>
      <c r="EI21" s="84"/>
      <c r="EJ21" s="84"/>
      <c r="EK21" s="84"/>
      <c r="EL21" s="84"/>
      <c r="EM21" s="84"/>
      <c r="EN21" s="84"/>
      <c r="EO21" s="84"/>
      <c r="EP21" s="84"/>
      <c r="EQ21" s="84"/>
      <c r="ER21" s="84"/>
      <c r="ES21" s="84"/>
      <c r="ET21" s="84"/>
      <c r="EU21" s="84"/>
      <c r="EV21" s="84"/>
      <c r="EW21" s="84"/>
      <c r="EX21" s="84"/>
      <c r="EY21" s="84"/>
      <c r="EZ21" s="84"/>
      <c r="FA21" s="84"/>
      <c r="FB21" s="84"/>
      <c r="FC21" s="84"/>
      <c r="FD21" s="84"/>
      <c r="FE21" s="84"/>
      <c r="FF21" s="84"/>
      <c r="FG21" s="84"/>
      <c r="FH21" s="84"/>
      <c r="FI21" s="84"/>
      <c r="FJ21" s="84"/>
      <c r="FK21" s="84"/>
      <c r="FL21" s="84"/>
      <c r="FM21" s="84"/>
      <c r="FN21" s="84"/>
      <c r="FO21" s="84"/>
      <c r="FP21" s="84"/>
      <c r="FQ21" s="84"/>
      <c r="FR21" s="84"/>
      <c r="FS21" s="84"/>
      <c r="FT21" s="84"/>
      <c r="FU21" s="84"/>
      <c r="FV21" s="84"/>
      <c r="FW21" s="84"/>
      <c r="FX21" s="84"/>
      <c r="FY21" s="84"/>
      <c r="FZ21" s="84"/>
      <c r="GA21" s="84"/>
      <c r="GB21" s="84"/>
      <c r="GC21" s="84"/>
      <c r="GD21" s="84"/>
      <c r="GE21" s="84"/>
      <c r="GF21" s="84"/>
      <c r="GG21" s="84"/>
      <c r="GH21" s="84"/>
      <c r="GI21" s="84"/>
      <c r="GJ21" s="84"/>
      <c r="GK21" s="84"/>
      <c r="GL21" s="84"/>
      <c r="GM21" s="84"/>
      <c r="GN21" s="84"/>
      <c r="GO21" s="84"/>
      <c r="GP21" s="84"/>
      <c r="GQ21" s="84"/>
      <c r="GR21" s="84"/>
      <c r="GS21" s="84"/>
      <c r="GT21" s="84"/>
      <c r="GU21" s="84"/>
      <c r="GV21" s="84"/>
      <c r="GW21" s="84"/>
      <c r="GX21" s="84"/>
      <c r="GY21" s="84"/>
      <c r="GZ21" s="84"/>
      <c r="HA21" s="84"/>
      <c r="HB21" s="84"/>
      <c r="HC21" s="84"/>
      <c r="HD21" s="84"/>
      <c r="HE21" s="84"/>
      <c r="HF21" s="84"/>
      <c r="HG21" s="84"/>
      <c r="HH21" s="84"/>
      <c r="HI21" s="84"/>
      <c r="HJ21" s="84"/>
      <c r="HK21" s="84"/>
      <c r="HL21" s="84"/>
      <c r="HM21" s="84"/>
      <c r="HN21" s="84"/>
      <c r="HO21" s="84"/>
      <c r="HP21" s="84"/>
      <c r="HQ21" s="84"/>
      <c r="HR21" s="84"/>
      <c r="HS21" s="84"/>
      <c r="HT21" s="84"/>
      <c r="HU21" s="84"/>
      <c r="HV21" s="84"/>
      <c r="HW21" s="84"/>
      <c r="HX21" s="84"/>
      <c r="HY21" s="84"/>
      <c r="HZ21" s="84"/>
      <c r="IA21" s="84"/>
      <c r="IB21" s="84"/>
      <c r="IC21" s="84"/>
      <c r="ID21" s="84"/>
      <c r="IE21" s="84"/>
      <c r="IF21" s="84"/>
      <c r="IG21" s="84"/>
      <c r="IH21" s="84"/>
      <c r="II21" s="84"/>
      <c r="IJ21" s="84"/>
      <c r="IK21" s="84"/>
      <c r="IL21" s="84"/>
      <c r="IM21" s="84"/>
      <c r="IN21" s="84"/>
      <c r="IO21" s="84"/>
      <c r="IP21" s="84"/>
      <c r="IQ21" s="84"/>
      <c r="IR21" s="84"/>
      <c r="IS21" s="84"/>
      <c r="IT21" s="84"/>
      <c r="IU21" s="84"/>
      <c r="IV21" s="84"/>
      <c r="IW21" s="84"/>
      <c r="IX21" s="84"/>
      <c r="IY21" s="84"/>
      <c r="IZ21" s="84"/>
      <c r="JA21" s="84"/>
      <c r="JB21" s="84"/>
      <c r="JC21" s="84"/>
      <c r="JD21" s="84"/>
      <c r="JE21" s="84"/>
      <c r="JF21" s="84"/>
      <c r="JG21" s="84"/>
      <c r="JH21" s="84"/>
      <c r="JI21" s="84"/>
      <c r="JJ21" s="84"/>
      <c r="JK21" s="84"/>
      <c r="JL21" s="84"/>
      <c r="JM21" s="84"/>
      <c r="JN21" s="84"/>
      <c r="JO21" s="84"/>
      <c r="JP21" s="84"/>
      <c r="JQ21" s="84"/>
      <c r="JR21" s="84"/>
      <c r="JS21" s="84"/>
      <c r="JT21" s="84"/>
      <c r="JU21" s="84"/>
      <c r="JV21" s="84"/>
      <c r="JW21" s="84"/>
      <c r="JX21" s="84"/>
      <c r="JY21" s="84"/>
      <c r="JZ21" s="84"/>
      <c r="KA21" s="84"/>
      <c r="KB21" s="84"/>
      <c r="KC21" s="84"/>
      <c r="KD21" s="84"/>
      <c r="KE21" s="84"/>
      <c r="KF21" s="84"/>
      <c r="KG21" s="84"/>
      <c r="KH21" s="84"/>
      <c r="KI21" s="84"/>
      <c r="KJ21" s="84"/>
      <c r="KK21" s="84"/>
      <c r="KL21" s="84"/>
      <c r="KM21" s="84"/>
      <c r="KN21" s="84"/>
      <c r="KO21" s="84"/>
      <c r="KP21" s="84"/>
      <c r="KQ21" s="84"/>
      <c r="KR21" s="84"/>
      <c r="KS21" s="84"/>
      <c r="KT21" s="84"/>
      <c r="KU21" s="84"/>
      <c r="KV21" s="84"/>
      <c r="KW21" s="84"/>
      <c r="KX21" s="84"/>
      <c r="KY21" s="84"/>
      <c r="KZ21" s="84"/>
      <c r="LA21" s="84"/>
      <c r="LB21" s="84"/>
      <c r="LC21" s="84"/>
      <c r="LD21" s="84"/>
      <c r="LE21" s="84"/>
      <c r="LF21" s="84"/>
      <c r="LG21" s="84"/>
      <c r="LH21" s="84"/>
      <c r="LI21" s="84"/>
      <c r="LJ21" s="84"/>
      <c r="LK21" s="84"/>
      <c r="LL21" s="84"/>
      <c r="LM21" s="84"/>
      <c r="LN21" s="84"/>
      <c r="LO21" s="84"/>
      <c r="LP21" s="84"/>
      <c r="LQ21" s="84"/>
      <c r="LR21" s="84"/>
      <c r="LS21" s="84"/>
      <c r="LT21" s="84"/>
      <c r="LU21" s="84"/>
      <c r="LV21" s="84"/>
      <c r="LW21" s="84"/>
      <c r="LX21" s="84"/>
      <c r="LY21" s="84"/>
      <c r="LZ21" s="84"/>
      <c r="MA21" s="84"/>
      <c r="MB21" s="84"/>
      <c r="MC21" s="84"/>
      <c r="MD21" s="84"/>
      <c r="ME21" s="84"/>
      <c r="MF21" s="84"/>
      <c r="MG21" s="84"/>
      <c r="MH21" s="84"/>
      <c r="MI21" s="84"/>
      <c r="MJ21" s="84"/>
      <c r="MK21" s="84"/>
      <c r="ML21" s="84"/>
      <c r="MM21" s="84"/>
      <c r="MN21" s="84"/>
      <c r="MO21" s="84"/>
      <c r="MP21" s="84"/>
      <c r="MQ21" s="84"/>
      <c r="MR21" s="84"/>
      <c r="MS21" s="84"/>
      <c r="MT21" s="84"/>
      <c r="MU21" s="84"/>
      <c r="MV21" s="84"/>
      <c r="MW21" s="84"/>
      <c r="MX21" s="84"/>
      <c r="MY21" s="84"/>
      <c r="MZ21" s="84"/>
      <c r="NA21" s="84"/>
      <c r="NB21" s="84"/>
      <c r="NC21" s="84"/>
      <c r="ND21" s="84"/>
      <c r="NE21" s="84"/>
      <c r="NF21" s="84"/>
      <c r="NG21" s="84"/>
      <c r="NH21" s="84"/>
      <c r="NI21" s="84"/>
      <c r="NJ21" s="84"/>
      <c r="NK21" s="84"/>
      <c r="NL21" s="84"/>
      <c r="NM21" s="84"/>
      <c r="NN21" s="84"/>
      <c r="NO21" s="84"/>
      <c r="NP21" s="84"/>
      <c r="NQ21" s="84"/>
      <c r="NR21" s="84"/>
      <c r="NS21" s="84"/>
      <c r="NT21" s="84"/>
      <c r="NU21" s="84"/>
      <c r="NV21" s="84"/>
      <c r="NW21" s="84"/>
      <c r="NX21" s="84"/>
      <c r="NY21" s="84"/>
      <c r="NZ21" s="84"/>
      <c r="OA21" s="84"/>
      <c r="OB21" s="84"/>
      <c r="OC21" s="84"/>
      <c r="OD21" s="84"/>
      <c r="OE21" s="84"/>
      <c r="OF21" s="84"/>
      <c r="OG21" s="84"/>
      <c r="OH21" s="84"/>
      <c r="OI21" s="84"/>
      <c r="OJ21" s="84"/>
      <c r="OK21" s="84"/>
      <c r="OL21" s="84"/>
      <c r="OM21" s="84"/>
      <c r="ON21" s="84"/>
      <c r="OO21" s="84"/>
      <c r="OP21" s="84"/>
      <c r="OQ21" s="84"/>
      <c r="OR21" s="84"/>
      <c r="OS21" s="84"/>
      <c r="OT21" s="84"/>
      <c r="OU21" s="84"/>
      <c r="OV21" s="84"/>
      <c r="OW21" s="84"/>
      <c r="OX21" s="84"/>
      <c r="OY21" s="84"/>
      <c r="OZ21" s="84"/>
      <c r="PA21" s="84"/>
      <c r="PB21" s="84"/>
      <c r="PC21" s="84"/>
      <c r="PD21" s="84"/>
      <c r="PE21" s="84"/>
      <c r="PF21" s="84"/>
      <c r="PG21" s="84"/>
      <c r="PH21" s="84"/>
      <c r="PI21" s="84"/>
      <c r="PJ21" s="84"/>
      <c r="PK21" s="84"/>
      <c r="PL21" s="84"/>
      <c r="PM21" s="84"/>
      <c r="PN21" s="84"/>
      <c r="PO21" s="84"/>
      <c r="PP21" s="84"/>
      <c r="PQ21" s="84"/>
      <c r="PR21" s="84"/>
      <c r="PS21" s="84"/>
      <c r="PT21" s="84"/>
      <c r="PU21" s="84"/>
      <c r="PV21" s="84"/>
      <c r="PW21" s="84"/>
      <c r="PX21" s="84"/>
      <c r="PY21" s="84"/>
      <c r="PZ21" s="84"/>
      <c r="QA21" s="84"/>
      <c r="QB21" s="84"/>
      <c r="QC21" s="84"/>
      <c r="QD21" s="84"/>
      <c r="QE21" s="84"/>
      <c r="QF21" s="84"/>
      <c r="QG21" s="84"/>
      <c r="QH21" s="84"/>
      <c r="QI21" s="84"/>
      <c r="QJ21" s="84"/>
      <c r="QK21" s="84"/>
      <c r="QL21" s="84"/>
      <c r="QM21" s="84"/>
      <c r="QN21" s="84"/>
      <c r="QO21" s="84"/>
      <c r="QP21" s="84"/>
      <c r="QQ21" s="84"/>
      <c r="QR21" s="84"/>
      <c r="QS21" s="84"/>
      <c r="QT21" s="84"/>
      <c r="QU21" s="84"/>
      <c r="QV21" s="84"/>
      <c r="QW21" s="84"/>
      <c r="QX21" s="84"/>
      <c r="QY21" s="84"/>
      <c r="QZ21" s="84"/>
      <c r="RA21" s="84"/>
      <c r="RB21" s="84"/>
      <c r="RC21" s="84"/>
      <c r="RD21" s="84"/>
      <c r="RE21" s="84"/>
      <c r="RF21" s="84"/>
      <c r="RG21" s="84"/>
      <c r="RH21" s="84"/>
      <c r="RI21" s="84"/>
      <c r="RJ21" s="84"/>
      <c r="RK21" s="84"/>
      <c r="RL21" s="84"/>
      <c r="RM21" s="84"/>
      <c r="RN21" s="84"/>
      <c r="RO21" s="84"/>
      <c r="RP21" s="84"/>
      <c r="RQ21" s="84"/>
      <c r="RR21" s="84"/>
      <c r="RS21" s="84"/>
      <c r="RT21" s="84"/>
      <c r="RU21" s="84"/>
      <c r="RV21" s="84"/>
      <c r="RW21" s="84"/>
      <c r="RX21" s="84"/>
      <c r="RY21" s="84"/>
      <c r="RZ21" s="84"/>
      <c r="SA21" s="84"/>
      <c r="SB21" s="84"/>
      <c r="SC21" s="84"/>
      <c r="SD21" s="84"/>
      <c r="SE21" s="84"/>
      <c r="SF21" s="84"/>
      <c r="SG21" s="84"/>
      <c r="SH21" s="84"/>
      <c r="SI21" s="84"/>
      <c r="SJ21" s="84"/>
      <c r="SK21" s="84"/>
      <c r="SL21" s="84"/>
      <c r="SM21" s="84"/>
      <c r="SN21" s="84"/>
      <c r="SO21" s="84"/>
      <c r="SP21" s="84"/>
      <c r="SQ21" s="84"/>
      <c r="SR21" s="84"/>
      <c r="SS21" s="84"/>
      <c r="ST21" s="84"/>
      <c r="SU21" s="84"/>
      <c r="SV21" s="84"/>
      <c r="SW21" s="84"/>
      <c r="SX21" s="84"/>
      <c r="SY21" s="84"/>
      <c r="SZ21" s="84"/>
      <c r="TA21" s="84"/>
      <c r="TB21" s="84"/>
      <c r="TC21" s="84"/>
      <c r="TD21" s="84"/>
      <c r="TE21" s="84"/>
      <c r="TF21" s="84"/>
      <c r="TG21" s="84"/>
      <c r="TH21" s="84"/>
      <c r="TI21" s="84"/>
      <c r="TJ21" s="84"/>
      <c r="TK21" s="84"/>
      <c r="TL21" s="84"/>
      <c r="TM21" s="84"/>
      <c r="TN21" s="84"/>
      <c r="TO21" s="84"/>
      <c r="TP21" s="84"/>
      <c r="TQ21" s="84"/>
      <c r="TR21" s="84"/>
      <c r="TS21" s="84"/>
      <c r="TT21" s="84"/>
      <c r="TU21" s="84"/>
      <c r="TV21" s="84"/>
      <c r="TW21" s="84"/>
      <c r="TX21" s="84"/>
      <c r="TY21" s="84"/>
      <c r="TZ21" s="84"/>
      <c r="UA21" s="84"/>
      <c r="UB21" s="84"/>
      <c r="UC21" s="84"/>
      <c r="UD21" s="84"/>
      <c r="UE21" s="84"/>
      <c r="UF21" s="84"/>
      <c r="UG21" s="84"/>
      <c r="UH21" s="84"/>
      <c r="UI21" s="84"/>
      <c r="UJ21" s="84"/>
      <c r="UK21" s="84"/>
      <c r="UL21" s="84"/>
      <c r="UM21" s="84"/>
      <c r="UN21" s="84"/>
      <c r="UO21" s="84"/>
      <c r="UP21" s="84"/>
      <c r="UQ21" s="84"/>
      <c r="UR21" s="84"/>
      <c r="US21" s="84"/>
      <c r="UT21" s="84"/>
      <c r="UU21" s="84"/>
      <c r="UV21" s="84"/>
      <c r="UW21" s="84"/>
      <c r="UX21" s="84"/>
      <c r="UY21" s="84"/>
      <c r="UZ21" s="84"/>
      <c r="VA21" s="84"/>
      <c r="VB21" s="84"/>
      <c r="VC21" s="84"/>
      <c r="VD21" s="84"/>
      <c r="VE21" s="84"/>
      <c r="VF21" s="84"/>
      <c r="VG21" s="84"/>
      <c r="VH21" s="84"/>
      <c r="VI21" s="84"/>
      <c r="VJ21" s="84"/>
      <c r="VK21" s="84"/>
      <c r="VL21" s="84"/>
      <c r="VM21" s="84"/>
      <c r="VN21" s="84"/>
      <c r="VO21" s="84"/>
      <c r="VP21" s="84"/>
      <c r="VQ21" s="84"/>
      <c r="VR21" s="84"/>
      <c r="VS21" s="84"/>
      <c r="VT21" s="84"/>
      <c r="VU21" s="84"/>
      <c r="VV21" s="84"/>
      <c r="VW21" s="84"/>
      <c r="VX21" s="84"/>
      <c r="VY21" s="84"/>
      <c r="VZ21" s="84"/>
      <c r="WA21" s="84"/>
      <c r="WB21" s="84"/>
      <c r="WC21" s="84"/>
      <c r="WD21" s="84"/>
      <c r="WE21" s="84"/>
      <c r="WF21" s="84"/>
      <c r="WG21" s="84"/>
      <c r="WH21" s="84"/>
      <c r="WI21" s="84"/>
      <c r="WJ21" s="84"/>
      <c r="WK21" s="84"/>
      <c r="WL21" s="84"/>
      <c r="WM21" s="84"/>
      <c r="WN21" s="84"/>
      <c r="WO21" s="84"/>
      <c r="WP21" s="84"/>
      <c r="WQ21" s="84"/>
      <c r="WR21" s="84"/>
      <c r="WS21" s="84"/>
      <c r="WT21" s="84"/>
      <c r="WU21" s="84"/>
      <c r="WV21" s="84"/>
      <c r="WW21" s="84"/>
      <c r="WX21" s="84"/>
      <c r="WY21" s="84"/>
      <c r="WZ21" s="84"/>
      <c r="XA21" s="84"/>
      <c r="XB21" s="84"/>
      <c r="XC21" s="84"/>
      <c r="XD21" s="84"/>
      <c r="XE21" s="84"/>
      <c r="XF21" s="84"/>
      <c r="XG21" s="84"/>
      <c r="XH21" s="84"/>
      <c r="XI21" s="84"/>
      <c r="XJ21" s="84"/>
      <c r="XK21" s="84"/>
      <c r="XL21" s="84"/>
      <c r="XM21" s="84"/>
      <c r="XN21" s="84"/>
      <c r="XO21" s="84"/>
      <c r="XP21" s="84"/>
      <c r="XQ21" s="84"/>
      <c r="XR21" s="84"/>
      <c r="XS21" s="84"/>
      <c r="XT21" s="84"/>
      <c r="XU21" s="84"/>
      <c r="XV21" s="84"/>
      <c r="XW21" s="84"/>
      <c r="XX21" s="84"/>
      <c r="XY21" s="84"/>
      <c r="XZ21" s="84"/>
      <c r="YA21" s="84"/>
      <c r="YB21" s="84"/>
      <c r="YC21" s="84"/>
      <c r="YD21" s="84"/>
      <c r="YE21" s="84"/>
      <c r="YF21" s="84"/>
      <c r="YG21" s="84"/>
      <c r="YH21" s="84"/>
      <c r="YI21" s="84"/>
      <c r="YJ21" s="84"/>
      <c r="YK21" s="84"/>
      <c r="YL21" s="84"/>
      <c r="YM21" s="84"/>
      <c r="YN21" s="84"/>
      <c r="YO21" s="84"/>
      <c r="YP21" s="84"/>
      <c r="YQ21" s="84"/>
      <c r="YR21" s="84"/>
      <c r="YS21" s="84"/>
      <c r="YT21" s="84"/>
      <c r="YU21" s="84"/>
      <c r="YV21" s="84"/>
      <c r="YW21" s="84"/>
      <c r="YX21" s="84"/>
      <c r="YY21" s="84"/>
      <c r="YZ21" s="84"/>
      <c r="ZA21" s="84"/>
      <c r="ZB21" s="84"/>
      <c r="ZC21" s="84"/>
      <c r="ZD21" s="84"/>
      <c r="ZE21" s="84"/>
      <c r="ZF21" s="84"/>
      <c r="ZG21" s="84"/>
      <c r="ZH21" s="84"/>
      <c r="ZI21" s="84"/>
      <c r="ZJ21" s="84"/>
      <c r="ZK21" s="84"/>
      <c r="ZL21" s="84"/>
      <c r="ZM21" s="84"/>
      <c r="ZN21" s="84"/>
      <c r="ZO21" s="84"/>
      <c r="ZP21" s="84"/>
      <c r="ZQ21" s="84"/>
      <c r="ZR21" s="84"/>
      <c r="ZS21" s="84"/>
      <c r="ZT21" s="84"/>
      <c r="ZU21" s="84"/>
      <c r="ZV21" s="84"/>
      <c r="ZW21" s="84"/>
      <c r="ZX21" s="84"/>
      <c r="ZY21" s="84"/>
      <c r="ZZ21" s="84"/>
      <c r="AAA21" s="84"/>
      <c r="AAB21" s="84"/>
      <c r="AAC21" s="84"/>
      <c r="AAD21" s="84"/>
      <c r="AAE21" s="84"/>
      <c r="AAF21" s="84"/>
      <c r="AAG21" s="84"/>
      <c r="AAH21" s="84"/>
      <c r="AAI21" s="84"/>
      <c r="AAJ21" s="84"/>
      <c r="AAK21" s="84"/>
      <c r="AAL21" s="84"/>
      <c r="AAM21" s="84"/>
      <c r="AAN21" s="84"/>
      <c r="AAO21" s="84"/>
      <c r="AAP21" s="84"/>
      <c r="AAQ21" s="84"/>
      <c r="AAR21" s="84"/>
      <c r="AAS21" s="84"/>
      <c r="AAT21" s="84"/>
      <c r="AAU21" s="84"/>
      <c r="AAV21" s="84"/>
      <c r="AAW21" s="84"/>
      <c r="AAX21" s="84"/>
      <c r="AAY21" s="84"/>
      <c r="AAZ21" s="84"/>
      <c r="ABA21" s="84"/>
      <c r="ABB21" s="84"/>
      <c r="ABC21" s="84"/>
      <c r="ABD21" s="84"/>
      <c r="ABE21" s="84"/>
      <c r="ABF21" s="84"/>
      <c r="ABG21" s="84"/>
      <c r="ABH21" s="84"/>
      <c r="ABI21" s="84"/>
      <c r="ABJ21" s="84"/>
      <c r="ABK21" s="84"/>
      <c r="ABL21" s="84"/>
      <c r="ABM21" s="84"/>
      <c r="ABN21" s="84"/>
      <c r="ABO21" s="84"/>
      <c r="ABP21" s="84"/>
      <c r="ABQ21" s="84"/>
      <c r="ABR21" s="84"/>
      <c r="ABS21" s="84"/>
      <c r="ABT21" s="84"/>
      <c r="ABU21" s="84"/>
      <c r="ABV21" s="84"/>
      <c r="ABW21" s="84"/>
      <c r="ABX21" s="84"/>
      <c r="ABY21" s="84"/>
      <c r="ABZ21" s="84"/>
      <c r="ACA21" s="84"/>
      <c r="ACB21" s="84"/>
      <c r="ACC21" s="84"/>
      <c r="ACD21" s="84"/>
      <c r="ACE21" s="84"/>
      <c r="ACF21" s="84"/>
      <c r="ACG21" s="84"/>
      <c r="ACH21" s="84"/>
      <c r="ACI21" s="84"/>
      <c r="ACJ21" s="84"/>
      <c r="ACK21" s="84"/>
      <c r="ACL21" s="84"/>
      <c r="ACM21" s="84"/>
      <c r="ACN21" s="84"/>
      <c r="ACO21" s="84"/>
      <c r="ACP21" s="84"/>
      <c r="ACQ21" s="84"/>
      <c r="ACR21" s="84"/>
      <c r="ACS21" s="84"/>
      <c r="ACT21" s="84"/>
      <c r="ACU21" s="84"/>
      <c r="ACV21" s="84"/>
      <c r="ACW21" s="84"/>
      <c r="ACX21" s="84"/>
      <c r="ACY21" s="84"/>
      <c r="ACZ21" s="84"/>
      <c r="ADA21" s="84"/>
      <c r="ADB21" s="84"/>
      <c r="ADC21" s="84"/>
      <c r="ADD21" s="84"/>
      <c r="ADE21" s="84"/>
      <c r="ADF21" s="84"/>
      <c r="ADG21" s="84"/>
      <c r="ADH21" s="84"/>
      <c r="ADI21" s="84"/>
      <c r="ADJ21" s="84"/>
      <c r="ADK21" s="84"/>
      <c r="ADL21" s="84"/>
      <c r="ADM21" s="84"/>
      <c r="ADN21" s="84"/>
      <c r="ADO21" s="84"/>
      <c r="ADP21" s="84"/>
      <c r="ADQ21" s="84"/>
      <c r="ADR21" s="84"/>
      <c r="ADS21" s="84"/>
      <c r="ADT21" s="84"/>
      <c r="ADU21" s="84"/>
      <c r="ADV21" s="84"/>
      <c r="ADW21" s="84"/>
      <c r="ADX21" s="84"/>
      <c r="ADY21" s="84"/>
      <c r="ADZ21" s="84"/>
      <c r="AEA21" s="84"/>
      <c r="AEB21" s="84"/>
      <c r="AEC21" s="84"/>
      <c r="AED21" s="84"/>
      <c r="AEE21" s="84"/>
      <c r="AEF21" s="84"/>
      <c r="AEG21" s="84"/>
      <c r="AEH21" s="84"/>
      <c r="AEI21" s="84"/>
      <c r="AEJ21" s="84"/>
      <c r="AEK21" s="84"/>
      <c r="AEL21" s="84"/>
      <c r="AEM21" s="84"/>
      <c r="AEN21" s="84"/>
      <c r="AEO21" s="84"/>
      <c r="AEP21" s="84"/>
      <c r="AEQ21" s="84"/>
      <c r="AER21" s="84"/>
      <c r="AES21" s="84"/>
      <c r="AET21" s="84"/>
      <c r="AEU21" s="84"/>
      <c r="AEV21" s="84"/>
      <c r="AEW21" s="84"/>
      <c r="AEX21" s="84"/>
      <c r="AEY21" s="84"/>
      <c r="AEZ21" s="84"/>
      <c r="AFA21" s="84"/>
      <c r="AFB21" s="84"/>
      <c r="AFC21" s="84"/>
      <c r="AFD21" s="84"/>
      <c r="AFE21" s="84"/>
      <c r="AFF21" s="84"/>
      <c r="AFG21" s="84"/>
      <c r="AFH21" s="84"/>
      <c r="AFI21" s="84"/>
      <c r="AFJ21" s="84"/>
      <c r="AFK21" s="84"/>
      <c r="AFL21" s="84"/>
      <c r="AFM21" s="84"/>
      <c r="AFN21" s="84"/>
      <c r="AFO21" s="84"/>
      <c r="AFP21" s="84"/>
      <c r="AFQ21" s="84"/>
      <c r="AFR21" s="84"/>
      <c r="AFS21" s="84"/>
      <c r="AFT21" s="84"/>
      <c r="AFU21" s="84"/>
      <c r="AFV21" s="84"/>
      <c r="AFW21" s="84"/>
      <c r="AFX21" s="84"/>
      <c r="AFY21" s="84"/>
      <c r="AFZ21" s="84"/>
      <c r="AGA21" s="84"/>
      <c r="AGB21" s="84"/>
      <c r="AGC21" s="84"/>
      <c r="AGD21" s="84"/>
      <c r="AGE21" s="84"/>
      <c r="AGF21" s="84"/>
      <c r="AGG21" s="84"/>
      <c r="AGH21" s="84"/>
      <c r="AGI21" s="84"/>
      <c r="AGJ21" s="84"/>
      <c r="AGK21" s="84"/>
      <c r="AGL21" s="84"/>
      <c r="AGM21" s="84"/>
      <c r="AGN21" s="84"/>
      <c r="AGO21" s="84"/>
      <c r="AGP21" s="84"/>
      <c r="AGQ21" s="84"/>
      <c r="AGR21" s="84"/>
      <c r="AGS21" s="84"/>
      <c r="AGT21" s="84"/>
      <c r="AGU21" s="84"/>
      <c r="AGV21" s="84"/>
      <c r="AGW21" s="84"/>
      <c r="AGX21" s="84"/>
      <c r="AGY21" s="84"/>
      <c r="AGZ21" s="84"/>
      <c r="AHA21" s="84"/>
      <c r="AHB21" s="84"/>
      <c r="AHC21" s="84"/>
      <c r="AHD21" s="84"/>
      <c r="AHE21" s="84"/>
      <c r="AHF21" s="84"/>
      <c r="AHG21" s="84"/>
      <c r="AHH21" s="84"/>
      <c r="AHI21" s="84"/>
      <c r="AHJ21" s="84"/>
      <c r="AHK21" s="84"/>
      <c r="AHL21" s="84"/>
      <c r="AHM21" s="84"/>
      <c r="AHN21" s="84"/>
      <c r="AHO21" s="84"/>
      <c r="AHP21" s="84"/>
      <c r="AHQ21" s="84"/>
      <c r="AHR21" s="84"/>
      <c r="AHS21" s="84"/>
      <c r="AHT21" s="84"/>
      <c r="AHU21" s="84"/>
      <c r="AHV21" s="84"/>
      <c r="AHW21" s="84"/>
      <c r="AHX21" s="84"/>
      <c r="AHY21" s="84"/>
      <c r="AHZ21" s="84"/>
      <c r="AIA21" s="84"/>
      <c r="AIB21" s="84"/>
      <c r="AIC21" s="84"/>
      <c r="AID21" s="84"/>
      <c r="AIE21" s="84"/>
      <c r="AIF21" s="84"/>
      <c r="AIG21" s="84"/>
      <c r="AIH21" s="84"/>
      <c r="AII21" s="84"/>
      <c r="AIJ21" s="84"/>
      <c r="AIK21" s="84"/>
      <c r="AIL21" s="84"/>
      <c r="AIM21" s="84"/>
      <c r="AIN21" s="84"/>
      <c r="AIO21" s="84"/>
      <c r="AIP21" s="84"/>
      <c r="AIQ21" s="84"/>
      <c r="AIR21" s="84"/>
      <c r="AIS21" s="84"/>
      <c r="AIT21" s="84"/>
      <c r="AIU21" s="84"/>
      <c r="AIV21" s="84"/>
      <c r="AIW21" s="84"/>
      <c r="AIX21" s="84"/>
      <c r="AIY21" s="84"/>
      <c r="AIZ21" s="84"/>
      <c r="AJA21" s="84"/>
      <c r="AJB21" s="84"/>
      <c r="AJC21" s="84"/>
      <c r="AJD21" s="84"/>
      <c r="AJE21" s="84"/>
      <c r="AJF21" s="84"/>
      <c r="AJG21" s="84"/>
      <c r="AJH21" s="84"/>
      <c r="AJI21" s="84"/>
      <c r="AJJ21" s="84"/>
      <c r="AJK21" s="84"/>
      <c r="AJL21" s="84"/>
      <c r="AJM21" s="84"/>
      <c r="AJN21" s="84"/>
      <c r="AJO21" s="84"/>
      <c r="AJP21" s="84"/>
      <c r="AJQ21" s="84"/>
      <c r="AJR21" s="84"/>
      <c r="AJS21" s="84"/>
      <c r="AJT21" s="84"/>
      <c r="AJU21" s="84"/>
      <c r="AJV21" s="84"/>
      <c r="AJW21" s="84"/>
      <c r="AJX21" s="84"/>
      <c r="AJY21" s="84"/>
      <c r="AJZ21" s="84"/>
      <c r="AKA21" s="84"/>
      <c r="AKB21" s="84"/>
      <c r="AKC21" s="84"/>
      <c r="AKD21" s="84"/>
      <c r="AKE21" s="84"/>
      <c r="AKF21" s="84"/>
      <c r="AKG21" s="84"/>
      <c r="AKH21" s="84"/>
      <c r="AKI21" s="84"/>
      <c r="AKJ21" s="84"/>
      <c r="AKK21" s="84"/>
      <c r="AKL21" s="84"/>
      <c r="AKM21" s="84"/>
      <c r="AKN21" s="84"/>
      <c r="AKO21" s="84"/>
      <c r="AKP21" s="84"/>
      <c r="AKQ21" s="84"/>
      <c r="AKR21" s="84"/>
      <c r="AKS21" s="84"/>
      <c r="AKT21" s="84"/>
      <c r="AKU21" s="84"/>
      <c r="AKV21" s="84"/>
      <c r="AKW21" s="84"/>
      <c r="AKX21" s="84"/>
      <c r="AKY21" s="84"/>
      <c r="AKZ21" s="84"/>
      <c r="ALA21" s="84"/>
      <c r="ALB21" s="84"/>
      <c r="ALC21" s="84"/>
      <c r="ALD21" s="84"/>
      <c r="ALE21" s="84"/>
      <c r="ALF21" s="84"/>
      <c r="ALG21" s="84"/>
      <c r="ALH21" s="84"/>
      <c r="ALI21" s="84"/>
      <c r="ALJ21" s="84"/>
      <c r="ALK21" s="84"/>
      <c r="ALL21" s="84"/>
      <c r="ALM21" s="84"/>
      <c r="ALN21" s="84"/>
      <c r="ALO21" s="84"/>
      <c r="ALP21" s="84"/>
      <c r="ALQ21" s="84"/>
      <c r="ALR21" s="84"/>
      <c r="ALS21" s="84"/>
      <c r="ALT21" s="84"/>
      <c r="ALU21" s="84"/>
      <c r="ALV21" s="84"/>
      <c r="ALW21" s="84"/>
      <c r="ALX21" s="84"/>
      <c r="ALY21" s="84"/>
      <c r="ALZ21" s="84"/>
      <c r="AMA21" s="84"/>
      <c r="AMB21" s="84"/>
      <c r="AMC21" s="84"/>
      <c r="AMD21" s="84"/>
      <c r="AME21" s="84"/>
      <c r="AMF21" s="84"/>
      <c r="AMG21" s="84"/>
      <c r="AMH21" s="84"/>
      <c r="AMI21" s="84"/>
      <c r="AMJ21" s="84"/>
      <c r="AMK21" s="84"/>
      <c r="AML21" s="84"/>
      <c r="AMM21" s="84"/>
      <c r="AMN21" s="84"/>
      <c r="AMO21" s="84"/>
      <c r="AMP21" s="84"/>
      <c r="AMQ21" s="84"/>
      <c r="AMR21" s="84"/>
      <c r="AMS21" s="84"/>
      <c r="AMT21" s="84"/>
      <c r="AMU21" s="84"/>
      <c r="AMV21" s="84"/>
      <c r="AMW21" s="84"/>
      <c r="AMX21" s="84"/>
      <c r="AMY21" s="84"/>
      <c r="AMZ21" s="84"/>
      <c r="ANA21" s="84"/>
      <c r="ANB21" s="84"/>
      <c r="ANC21" s="84"/>
      <c r="AND21" s="84"/>
      <c r="ANE21" s="84"/>
      <c r="ANF21" s="84"/>
      <c r="ANG21" s="84"/>
      <c r="ANH21" s="84"/>
      <c r="ANI21" s="84"/>
      <c r="ANJ21" s="84"/>
      <c r="ANK21" s="84"/>
      <c r="ANL21" s="84"/>
      <c r="ANM21" s="84"/>
      <c r="ANN21" s="84"/>
      <c r="ANO21" s="84"/>
      <c r="ANP21" s="84"/>
      <c r="ANQ21" s="84"/>
      <c r="ANR21" s="84"/>
      <c r="ANS21" s="84"/>
      <c r="ANT21" s="84"/>
      <c r="ANU21" s="84"/>
      <c r="ANV21" s="84"/>
      <c r="ANW21" s="84"/>
      <c r="ANX21" s="84"/>
      <c r="ANY21" s="84"/>
      <c r="ANZ21" s="84"/>
      <c r="AOA21" s="84"/>
      <c r="AOB21" s="84"/>
      <c r="AOC21" s="84"/>
      <c r="AOD21" s="84"/>
      <c r="AOE21" s="84"/>
      <c r="AOF21" s="84"/>
      <c r="AOG21" s="84"/>
      <c r="AOH21" s="84"/>
      <c r="AOI21" s="84"/>
      <c r="AOJ21" s="84"/>
      <c r="AOK21" s="84"/>
      <c r="AOL21" s="84"/>
      <c r="AOM21" s="84"/>
      <c r="AON21" s="84"/>
      <c r="AOO21" s="84"/>
      <c r="AOP21" s="84"/>
      <c r="AOQ21" s="84"/>
      <c r="AOR21" s="84"/>
      <c r="AOS21" s="84"/>
      <c r="AOT21" s="84"/>
      <c r="AOU21" s="84"/>
      <c r="AOV21" s="84"/>
      <c r="AOW21" s="84"/>
      <c r="AOX21" s="84"/>
      <c r="AOY21" s="84"/>
      <c r="AOZ21" s="84"/>
      <c r="APA21" s="84"/>
      <c r="APB21" s="84"/>
      <c r="APC21" s="84"/>
      <c r="APD21" s="84"/>
      <c r="APE21" s="84"/>
      <c r="APF21" s="84"/>
      <c r="APG21" s="84"/>
      <c r="APH21" s="84"/>
      <c r="API21" s="84"/>
      <c r="APJ21" s="84"/>
      <c r="APK21" s="84"/>
      <c r="APL21" s="84"/>
      <c r="APM21" s="84"/>
      <c r="APN21" s="84"/>
      <c r="APO21" s="84"/>
      <c r="APP21" s="84"/>
      <c r="APQ21" s="84"/>
      <c r="APR21" s="84"/>
      <c r="APS21" s="84"/>
      <c r="APT21" s="84"/>
      <c r="APU21" s="84"/>
      <c r="APV21" s="84"/>
      <c r="APW21" s="84"/>
      <c r="APX21" s="84"/>
      <c r="APY21" s="84"/>
      <c r="APZ21" s="84"/>
      <c r="AQA21" s="84"/>
      <c r="AQB21" s="84"/>
      <c r="AQC21" s="84"/>
      <c r="AQD21" s="84"/>
      <c r="AQE21" s="84"/>
      <c r="AQF21" s="84"/>
      <c r="AQG21" s="84"/>
      <c r="AQH21" s="84"/>
      <c r="AQI21" s="84"/>
      <c r="AQJ21" s="84"/>
      <c r="AQK21" s="84"/>
      <c r="AQL21" s="84"/>
      <c r="AQM21" s="84"/>
      <c r="AQN21" s="84"/>
      <c r="AQO21" s="84"/>
      <c r="AQP21" s="84"/>
      <c r="AQQ21" s="84"/>
      <c r="AQR21" s="84"/>
      <c r="AQS21" s="84"/>
      <c r="AQT21" s="84"/>
      <c r="AQU21" s="84"/>
      <c r="AQV21" s="84"/>
      <c r="AQW21" s="84"/>
      <c r="AQX21" s="84"/>
      <c r="AQY21" s="84"/>
      <c r="AQZ21" s="84"/>
      <c r="ARA21" s="84"/>
      <c r="ARB21" s="84"/>
      <c r="ARC21" s="84"/>
      <c r="ARD21" s="84"/>
      <c r="ARE21" s="84"/>
      <c r="ARF21" s="84"/>
      <c r="ARG21" s="84"/>
      <c r="ARH21" s="84"/>
      <c r="ARI21" s="84"/>
      <c r="ARJ21" s="84"/>
      <c r="ARK21" s="84"/>
      <c r="ARL21" s="84"/>
      <c r="ARM21" s="84"/>
      <c r="ARN21" s="84"/>
      <c r="ARO21" s="84"/>
      <c r="ARP21" s="84"/>
      <c r="ARQ21" s="84"/>
      <c r="ARR21" s="84"/>
      <c r="ARS21" s="84"/>
      <c r="ART21" s="84"/>
      <c r="ARU21" s="84"/>
      <c r="ARV21" s="84"/>
      <c r="ARW21" s="84"/>
      <c r="ARX21" s="84"/>
      <c r="ARY21" s="84"/>
      <c r="ARZ21" s="84"/>
      <c r="ASA21" s="84"/>
      <c r="ASB21" s="84"/>
      <c r="ASC21" s="84"/>
      <c r="ASD21" s="84"/>
      <c r="ASE21" s="84"/>
      <c r="ASF21" s="84"/>
      <c r="ASG21" s="84"/>
      <c r="ASH21" s="84"/>
      <c r="ASI21" s="84"/>
      <c r="ASJ21" s="84"/>
      <c r="ASK21" s="84"/>
      <c r="ASL21" s="84"/>
      <c r="ASM21" s="84"/>
      <c r="ASN21" s="84"/>
      <c r="ASO21" s="84"/>
      <c r="ASP21" s="84"/>
      <c r="ASQ21" s="84"/>
      <c r="ASR21" s="84"/>
      <c r="ASS21" s="84"/>
      <c r="AST21" s="84"/>
      <c r="ASU21" s="84"/>
      <c r="ASV21" s="84"/>
      <c r="ASW21" s="84"/>
      <c r="ASX21" s="84"/>
      <c r="ASY21" s="84"/>
      <c r="ASZ21" s="84"/>
      <c r="ATA21" s="84"/>
      <c r="ATB21" s="84"/>
      <c r="ATC21" s="84"/>
      <c r="ATD21" s="84"/>
      <c r="ATE21" s="84"/>
      <c r="ATF21" s="84"/>
      <c r="ATG21" s="84"/>
      <c r="ATH21" s="84"/>
      <c r="ATI21" s="84"/>
      <c r="ATJ21" s="84"/>
      <c r="ATK21" s="84"/>
      <c r="ATL21" s="84"/>
      <c r="ATM21" s="84"/>
      <c r="ATN21" s="84"/>
      <c r="ATO21" s="84"/>
      <c r="ATP21" s="84"/>
      <c r="ATQ21" s="84"/>
      <c r="ATR21" s="84"/>
      <c r="ATS21" s="84"/>
      <c r="ATT21" s="84"/>
      <c r="ATU21" s="84"/>
      <c r="ATV21" s="84"/>
      <c r="ATW21" s="84"/>
      <c r="ATX21" s="84"/>
      <c r="ATY21" s="84"/>
      <c r="ATZ21" s="84"/>
      <c r="AUA21" s="84"/>
      <c r="AUB21" s="84"/>
      <c r="AUC21" s="84"/>
      <c r="AUD21" s="84"/>
      <c r="AUE21" s="84"/>
      <c r="AUF21" s="84"/>
      <c r="AUG21" s="84"/>
      <c r="AUH21" s="84"/>
      <c r="AUI21" s="84"/>
      <c r="AUJ21" s="84"/>
      <c r="AUK21" s="84"/>
      <c r="AUL21" s="84"/>
      <c r="AUM21" s="84"/>
      <c r="AUN21" s="84"/>
      <c r="AUO21" s="84"/>
      <c r="AUP21" s="84"/>
      <c r="AUQ21" s="84"/>
      <c r="AUR21" s="84"/>
      <c r="AUS21" s="84"/>
      <c r="AUT21" s="84"/>
      <c r="AUU21" s="84"/>
      <c r="AUV21" s="84"/>
      <c r="AUW21" s="84"/>
      <c r="AUX21" s="84"/>
      <c r="AUY21" s="84"/>
      <c r="AUZ21" s="84"/>
      <c r="AVA21" s="84"/>
      <c r="AVB21" s="84"/>
      <c r="AVC21" s="84"/>
      <c r="AVD21" s="84"/>
      <c r="AVE21" s="84"/>
      <c r="AVF21" s="84"/>
      <c r="AVG21" s="84"/>
      <c r="AVH21" s="84"/>
      <c r="AVI21" s="84"/>
      <c r="AVJ21" s="84"/>
      <c r="AVK21" s="84"/>
      <c r="AVL21" s="84"/>
      <c r="AVM21" s="84"/>
      <c r="AVN21" s="84"/>
      <c r="AVO21" s="84"/>
      <c r="AVP21" s="84"/>
      <c r="AVQ21" s="84"/>
      <c r="AVR21" s="84"/>
      <c r="AVS21" s="84"/>
      <c r="AVT21" s="84"/>
      <c r="AVU21" s="84"/>
      <c r="AVV21" s="84"/>
      <c r="AVW21" s="84"/>
      <c r="AVX21" s="84"/>
      <c r="AVY21" s="84"/>
      <c r="AVZ21" s="84"/>
      <c r="AWA21" s="84"/>
      <c r="AWB21" s="84"/>
      <c r="AWC21" s="84"/>
      <c r="AWD21" s="84"/>
      <c r="AWE21" s="84"/>
      <c r="AWF21" s="84"/>
      <c r="AWG21" s="84"/>
      <c r="AWH21" s="84"/>
      <c r="AWI21" s="84"/>
      <c r="AWJ21" s="84"/>
      <c r="AWK21" s="84"/>
      <c r="AWL21" s="84"/>
      <c r="AWM21" s="84"/>
      <c r="AWN21" s="84"/>
      <c r="AWO21" s="84"/>
      <c r="AWP21" s="84"/>
      <c r="AWQ21" s="84"/>
      <c r="AWR21" s="84"/>
      <c r="AWS21" s="84"/>
      <c r="AWT21" s="84"/>
      <c r="AWU21" s="84"/>
      <c r="AWV21" s="84"/>
      <c r="AWW21" s="84"/>
      <c r="AWX21" s="84"/>
      <c r="AWY21" s="84"/>
      <c r="AWZ21" s="84"/>
      <c r="AXA21" s="84"/>
      <c r="AXB21" s="84"/>
      <c r="AXC21" s="84"/>
      <c r="AXD21" s="84"/>
      <c r="AXE21" s="84"/>
      <c r="AXF21" s="84"/>
      <c r="AXG21" s="84"/>
      <c r="AXH21" s="84"/>
      <c r="AXI21" s="84"/>
      <c r="AXJ21" s="84"/>
      <c r="AXK21" s="84"/>
      <c r="AXL21" s="84"/>
      <c r="AXM21" s="84"/>
      <c r="AXN21" s="84"/>
      <c r="AXO21" s="84"/>
      <c r="AXP21" s="84"/>
      <c r="AXQ21" s="84"/>
      <c r="AXR21" s="84"/>
      <c r="AXS21" s="84"/>
      <c r="AXT21" s="84"/>
      <c r="AXU21" s="84"/>
      <c r="AXV21" s="84"/>
      <c r="AXW21" s="84"/>
      <c r="AXX21" s="84"/>
      <c r="AXY21" s="84"/>
      <c r="AXZ21" s="84"/>
      <c r="AYA21" s="84"/>
      <c r="AYB21" s="84"/>
      <c r="AYC21" s="84"/>
      <c r="AYD21" s="84"/>
      <c r="AYE21" s="84"/>
      <c r="AYF21" s="84"/>
      <c r="AYG21" s="84"/>
      <c r="AYH21" s="84"/>
      <c r="AYI21" s="84"/>
      <c r="AYJ21" s="84"/>
      <c r="AYK21" s="84"/>
      <c r="AYL21" s="84"/>
      <c r="AYM21" s="84"/>
      <c r="AYN21" s="84"/>
      <c r="AYO21" s="84"/>
      <c r="AYP21" s="84"/>
      <c r="AYQ21" s="84"/>
      <c r="AYR21" s="84"/>
      <c r="AYS21" s="84"/>
      <c r="AYT21" s="84"/>
      <c r="AYU21" s="84"/>
      <c r="AYV21" s="84"/>
      <c r="AYW21" s="84"/>
      <c r="AYX21" s="84"/>
      <c r="AYY21" s="84"/>
      <c r="AYZ21" s="84"/>
      <c r="AZA21" s="84"/>
      <c r="AZB21" s="84"/>
      <c r="AZC21" s="84"/>
      <c r="AZD21" s="84"/>
      <c r="AZE21" s="84"/>
      <c r="AZF21" s="84"/>
      <c r="AZG21" s="84"/>
      <c r="AZH21" s="84"/>
      <c r="AZI21" s="84"/>
      <c r="AZJ21" s="84"/>
      <c r="AZK21" s="84"/>
      <c r="AZL21" s="84"/>
      <c r="AZM21" s="84"/>
      <c r="AZN21" s="84"/>
      <c r="AZO21" s="84"/>
      <c r="AZP21" s="84"/>
      <c r="AZQ21" s="84"/>
      <c r="AZR21" s="84"/>
      <c r="AZS21" s="84"/>
      <c r="AZT21" s="84"/>
      <c r="AZU21" s="84"/>
      <c r="AZV21" s="84"/>
      <c r="AZW21" s="84"/>
      <c r="AZX21" s="84"/>
      <c r="AZY21" s="84"/>
      <c r="AZZ21" s="84"/>
      <c r="BAA21" s="84"/>
      <c r="BAB21" s="84"/>
      <c r="BAC21" s="84"/>
      <c r="BAD21" s="84"/>
      <c r="BAE21" s="84"/>
      <c r="BAF21" s="84"/>
      <c r="BAG21" s="84"/>
      <c r="BAH21" s="84"/>
      <c r="BAI21" s="84"/>
      <c r="BAJ21" s="84"/>
      <c r="BAK21" s="84"/>
      <c r="BAL21" s="84"/>
      <c r="BAM21" s="84"/>
      <c r="BAN21" s="84"/>
      <c r="BAO21" s="84"/>
      <c r="BAP21" s="84"/>
      <c r="BAQ21" s="84"/>
      <c r="BAR21" s="84"/>
      <c r="BAS21" s="84"/>
      <c r="BAT21" s="84"/>
      <c r="BAU21" s="84"/>
      <c r="BAV21" s="84"/>
      <c r="BAW21" s="84"/>
      <c r="BAX21" s="84"/>
      <c r="BAY21" s="84"/>
      <c r="BAZ21" s="84"/>
      <c r="BBA21" s="84"/>
      <c r="BBB21" s="84"/>
      <c r="BBC21" s="84"/>
      <c r="BBD21" s="84"/>
      <c r="BBE21" s="84"/>
      <c r="BBF21" s="84"/>
      <c r="BBG21" s="84"/>
      <c r="BBH21" s="84"/>
      <c r="BBI21" s="84"/>
      <c r="BBJ21" s="84"/>
      <c r="BBK21" s="84"/>
      <c r="BBL21" s="84"/>
      <c r="BBM21" s="84"/>
      <c r="BBN21" s="84"/>
      <c r="BBO21" s="84"/>
      <c r="BBP21" s="84"/>
      <c r="BBQ21" s="84"/>
      <c r="BBR21" s="84"/>
      <c r="BBS21" s="84"/>
      <c r="BBT21" s="84"/>
      <c r="BBU21" s="84"/>
      <c r="BBV21" s="84"/>
      <c r="BBW21" s="84"/>
      <c r="BBX21" s="84"/>
      <c r="BBY21" s="84"/>
      <c r="BBZ21" s="84"/>
      <c r="BCA21" s="84"/>
      <c r="BCB21" s="84"/>
      <c r="BCC21" s="84"/>
      <c r="BCD21" s="84"/>
      <c r="BCE21" s="84"/>
      <c r="BCF21" s="84"/>
      <c r="BCG21" s="84"/>
      <c r="BCH21" s="84"/>
      <c r="BCI21" s="84"/>
      <c r="BCJ21" s="84"/>
      <c r="BCK21" s="84"/>
      <c r="BCL21" s="84"/>
      <c r="BCM21" s="84"/>
      <c r="BCN21" s="84"/>
      <c r="BCO21" s="84"/>
      <c r="BCP21" s="84"/>
      <c r="BCQ21" s="84"/>
      <c r="BCR21" s="84"/>
      <c r="BCS21" s="84"/>
      <c r="BCT21" s="84"/>
      <c r="BCU21" s="84"/>
      <c r="BCV21" s="84"/>
      <c r="BCW21" s="84"/>
      <c r="BCX21" s="84"/>
      <c r="BCY21" s="84"/>
      <c r="BCZ21" s="84"/>
      <c r="BDA21" s="84"/>
      <c r="BDB21" s="84"/>
      <c r="BDC21" s="84"/>
      <c r="BDD21" s="84"/>
      <c r="BDE21" s="84"/>
      <c r="BDF21" s="84"/>
      <c r="BDG21" s="84"/>
      <c r="BDH21" s="84"/>
      <c r="BDI21" s="84"/>
      <c r="BDJ21" s="84"/>
      <c r="BDK21" s="84"/>
      <c r="BDL21" s="84"/>
      <c r="BDM21" s="84"/>
      <c r="BDN21" s="84"/>
      <c r="BDO21" s="84"/>
      <c r="BDP21" s="84"/>
      <c r="BDQ21" s="84"/>
      <c r="BDR21" s="84"/>
      <c r="BDS21" s="84"/>
      <c r="BDT21" s="84"/>
      <c r="BDU21" s="84"/>
      <c r="BDV21" s="84"/>
      <c r="BDW21" s="84"/>
      <c r="BDX21" s="84"/>
      <c r="BDY21" s="84"/>
      <c r="BDZ21" s="84"/>
      <c r="BEA21" s="84"/>
      <c r="BEB21" s="84"/>
      <c r="BEC21" s="84"/>
      <c r="BED21" s="84"/>
      <c r="BEE21" s="84"/>
      <c r="BEF21" s="84"/>
      <c r="BEG21" s="84"/>
      <c r="BEH21" s="84"/>
      <c r="BEI21" s="84"/>
      <c r="BEJ21" s="84"/>
      <c r="BEK21" s="84"/>
      <c r="BEL21" s="84"/>
      <c r="BEM21" s="84"/>
      <c r="BEN21" s="84"/>
      <c r="BEO21" s="84"/>
      <c r="BEP21" s="84"/>
      <c r="BEQ21" s="84"/>
      <c r="BER21" s="84"/>
      <c r="BES21" s="84"/>
      <c r="BET21" s="84"/>
      <c r="BEU21" s="84"/>
      <c r="BEV21" s="84"/>
      <c r="BEW21" s="84"/>
      <c r="BEX21" s="84"/>
      <c r="BEY21" s="84"/>
      <c r="BEZ21" s="84"/>
      <c r="BFA21" s="84"/>
      <c r="BFB21" s="84"/>
      <c r="BFC21" s="84"/>
      <c r="BFD21" s="84"/>
      <c r="BFE21" s="84"/>
      <c r="BFF21" s="84"/>
      <c r="BFG21" s="84"/>
      <c r="BFH21" s="84"/>
      <c r="BFI21" s="84"/>
      <c r="BFJ21" s="84"/>
      <c r="BFK21" s="84"/>
      <c r="BFL21" s="84"/>
      <c r="BFM21" s="84"/>
      <c r="BFN21" s="84"/>
      <c r="BFO21" s="84"/>
      <c r="BFP21" s="84"/>
      <c r="BFQ21" s="84"/>
      <c r="BFR21" s="84"/>
      <c r="BFS21" s="84"/>
      <c r="BFT21" s="84"/>
      <c r="BFU21" s="84"/>
      <c r="BFV21" s="84"/>
      <c r="BFW21" s="84"/>
      <c r="BFX21" s="84"/>
      <c r="BFY21" s="84"/>
      <c r="BFZ21" s="84"/>
      <c r="BGA21" s="84"/>
      <c r="BGB21" s="84"/>
      <c r="BGC21" s="84"/>
      <c r="BGD21" s="84"/>
      <c r="BGE21" s="84"/>
      <c r="BGF21" s="84"/>
      <c r="BGG21" s="84"/>
      <c r="BGH21" s="84"/>
      <c r="BGI21" s="84"/>
      <c r="BGJ21" s="84"/>
      <c r="BGK21" s="84"/>
      <c r="BGL21" s="84"/>
      <c r="BGM21" s="84"/>
      <c r="BGN21" s="84"/>
      <c r="BGO21" s="84"/>
      <c r="BGP21" s="84"/>
      <c r="BGQ21" s="84"/>
      <c r="BGR21" s="84"/>
      <c r="BGS21" s="84"/>
      <c r="BGT21" s="84"/>
      <c r="BGU21" s="84"/>
      <c r="BGV21" s="84"/>
      <c r="BGW21" s="84"/>
      <c r="BGX21" s="84"/>
      <c r="BGY21" s="84"/>
      <c r="BGZ21" s="84"/>
      <c r="BHA21" s="84"/>
      <c r="BHB21" s="84"/>
      <c r="BHC21" s="84"/>
      <c r="BHD21" s="84"/>
      <c r="BHE21" s="84"/>
      <c r="BHF21" s="84"/>
      <c r="BHG21" s="84"/>
      <c r="BHH21" s="84"/>
      <c r="BHI21" s="84"/>
      <c r="BHJ21" s="84"/>
      <c r="BHK21" s="84"/>
      <c r="BHL21" s="84"/>
      <c r="BHM21" s="84"/>
      <c r="BHN21" s="84"/>
      <c r="BHO21" s="84"/>
      <c r="BHP21" s="84"/>
      <c r="BHQ21" s="84"/>
      <c r="BHR21" s="84"/>
      <c r="BHS21" s="84"/>
      <c r="BHT21" s="84"/>
      <c r="BHU21" s="84"/>
      <c r="BHV21" s="84"/>
      <c r="BHW21" s="84"/>
      <c r="BHX21" s="84"/>
      <c r="BHY21" s="84"/>
      <c r="BHZ21" s="84"/>
      <c r="BIA21" s="84"/>
      <c r="BIB21" s="84"/>
      <c r="BIC21" s="84"/>
      <c r="BID21" s="84"/>
      <c r="BIE21" s="84"/>
      <c r="BIF21" s="84"/>
      <c r="BIG21" s="84"/>
      <c r="BIH21" s="84"/>
      <c r="BII21" s="84"/>
      <c r="BIJ21" s="84"/>
      <c r="BIK21" s="84"/>
      <c r="BIL21" s="84"/>
      <c r="BIM21" s="84"/>
      <c r="BIN21" s="84"/>
      <c r="BIO21" s="84"/>
      <c r="BIP21" s="84"/>
      <c r="BIQ21" s="84"/>
      <c r="BIR21" s="84"/>
      <c r="BIS21" s="84"/>
      <c r="BIT21" s="84"/>
      <c r="BIU21" s="84"/>
      <c r="BIV21" s="84"/>
      <c r="BIW21" s="84"/>
      <c r="BIX21" s="84"/>
      <c r="BIY21" s="84"/>
      <c r="BIZ21" s="84"/>
      <c r="BJA21" s="84"/>
      <c r="BJB21" s="84"/>
      <c r="BJC21" s="84"/>
      <c r="BJD21" s="84"/>
      <c r="BJE21" s="84"/>
      <c r="BJF21" s="84"/>
      <c r="BJG21" s="84"/>
      <c r="BJH21" s="84"/>
      <c r="BJI21" s="84"/>
      <c r="BJJ21" s="84"/>
      <c r="BJK21" s="84"/>
      <c r="BJL21" s="84"/>
      <c r="BJM21" s="84"/>
      <c r="BJN21" s="84"/>
      <c r="BJO21" s="84"/>
      <c r="BJP21" s="84"/>
      <c r="BJQ21" s="84"/>
      <c r="BJR21" s="84"/>
      <c r="BJS21" s="84"/>
      <c r="BJT21" s="84"/>
      <c r="BJU21" s="84"/>
      <c r="BJV21" s="84"/>
      <c r="BJW21" s="84"/>
      <c r="BJX21" s="84"/>
      <c r="BJY21" s="84"/>
      <c r="BJZ21" s="84"/>
      <c r="BKA21" s="84"/>
      <c r="BKB21" s="84"/>
      <c r="BKC21" s="84"/>
      <c r="BKD21" s="84"/>
      <c r="BKE21" s="84"/>
      <c r="BKF21" s="84"/>
      <c r="BKG21" s="84"/>
      <c r="BKH21" s="84"/>
      <c r="BKI21" s="84"/>
      <c r="BKJ21" s="84"/>
      <c r="BKK21" s="84"/>
      <c r="BKL21" s="84"/>
      <c r="BKM21" s="84"/>
      <c r="BKN21" s="84"/>
      <c r="BKO21" s="84"/>
      <c r="BKP21" s="84"/>
      <c r="BKQ21" s="84"/>
      <c r="BKR21" s="84"/>
      <c r="BKS21" s="84"/>
      <c r="BKT21" s="84"/>
      <c r="BKU21" s="84"/>
      <c r="BKV21" s="84"/>
      <c r="BKW21" s="84"/>
      <c r="BKX21" s="84"/>
      <c r="BKY21" s="84"/>
      <c r="BKZ21" s="84"/>
      <c r="BLA21" s="84"/>
      <c r="BLB21" s="84"/>
      <c r="BLC21" s="84"/>
      <c r="BLD21" s="84"/>
      <c r="BLE21" s="84"/>
      <c r="BLF21" s="84"/>
      <c r="BLG21" s="84"/>
      <c r="BLH21" s="84"/>
      <c r="BLI21" s="84"/>
      <c r="BLJ21" s="84"/>
      <c r="BLK21" s="84"/>
      <c r="BLL21" s="84"/>
      <c r="BLM21" s="84"/>
      <c r="BLN21" s="84"/>
      <c r="BLO21" s="84"/>
      <c r="BLP21" s="84"/>
      <c r="BLQ21" s="84"/>
      <c r="BLR21" s="84"/>
      <c r="BLS21" s="84"/>
      <c r="BLT21" s="84"/>
      <c r="BLU21" s="84"/>
      <c r="BLV21" s="84"/>
      <c r="BLW21" s="84"/>
      <c r="BLX21" s="84"/>
      <c r="BLY21" s="84"/>
      <c r="BLZ21" s="84"/>
      <c r="BMA21" s="84"/>
      <c r="BMB21" s="84"/>
      <c r="BMC21" s="84"/>
      <c r="BMD21" s="84"/>
      <c r="BME21" s="84"/>
      <c r="BMF21" s="84"/>
      <c r="BMG21" s="84"/>
      <c r="BMH21" s="84"/>
      <c r="BMI21" s="84"/>
      <c r="BMJ21" s="84"/>
      <c r="BMK21" s="84"/>
      <c r="BML21" s="84"/>
      <c r="BMM21" s="84"/>
      <c r="BMN21" s="84"/>
      <c r="BMO21" s="84"/>
      <c r="BMP21" s="84"/>
      <c r="BMQ21" s="84"/>
      <c r="BMR21" s="84"/>
      <c r="BMS21" s="84"/>
      <c r="BMT21" s="84"/>
      <c r="BMU21" s="84"/>
      <c r="BMV21" s="84"/>
      <c r="BMW21" s="84"/>
      <c r="BMX21" s="84"/>
      <c r="BMY21" s="84"/>
      <c r="BMZ21" s="84"/>
      <c r="BNA21" s="84"/>
      <c r="BNB21" s="84"/>
      <c r="BNC21" s="84"/>
      <c r="BND21" s="84"/>
      <c r="BNE21" s="84"/>
      <c r="BNF21" s="84"/>
      <c r="BNG21" s="84"/>
      <c r="BNH21" s="84"/>
      <c r="BNI21" s="84"/>
      <c r="BNJ21" s="84"/>
      <c r="BNK21" s="84"/>
      <c r="BNL21" s="84"/>
      <c r="BNM21" s="84"/>
      <c r="BNN21" s="84"/>
      <c r="BNO21" s="84"/>
      <c r="BNP21" s="84"/>
      <c r="BNQ21" s="84"/>
      <c r="BNR21" s="84"/>
      <c r="BNS21" s="84"/>
      <c r="BNT21" s="84"/>
      <c r="BNU21" s="84"/>
      <c r="BNV21" s="84"/>
      <c r="BNW21" s="84"/>
      <c r="BNX21" s="84"/>
      <c r="BNY21" s="84"/>
      <c r="BNZ21" s="84"/>
      <c r="BOA21" s="84"/>
      <c r="BOB21" s="84"/>
      <c r="BOC21" s="84"/>
      <c r="BOD21" s="84"/>
      <c r="BOE21" s="84"/>
      <c r="BOF21" s="84"/>
      <c r="BOG21" s="84"/>
      <c r="BOH21" s="84"/>
      <c r="BOI21" s="84"/>
      <c r="BOJ21" s="84"/>
      <c r="BOK21" s="84"/>
      <c r="BOL21" s="84"/>
      <c r="BOM21" s="84"/>
      <c r="BON21" s="84"/>
      <c r="BOO21" s="84"/>
      <c r="BOP21" s="84"/>
      <c r="BOQ21" s="84"/>
      <c r="BOR21" s="84"/>
      <c r="BOS21" s="84"/>
      <c r="BOT21" s="84"/>
      <c r="BOU21" s="84"/>
      <c r="BOV21" s="84"/>
      <c r="BOW21" s="84"/>
      <c r="BOX21" s="84"/>
      <c r="BOY21" s="84"/>
      <c r="BOZ21" s="84"/>
      <c r="BPA21" s="84"/>
      <c r="BPB21" s="84"/>
      <c r="BPC21" s="84"/>
      <c r="BPD21" s="84"/>
      <c r="BPE21" s="84"/>
      <c r="BPF21" s="84"/>
      <c r="BPG21" s="84"/>
      <c r="BPH21" s="84"/>
      <c r="BPI21" s="84"/>
      <c r="BPJ21" s="84"/>
      <c r="BPK21" s="84"/>
      <c r="BPL21" s="84"/>
      <c r="BPM21" s="84"/>
      <c r="BPN21" s="84"/>
      <c r="BPO21" s="84"/>
      <c r="BPP21" s="84"/>
      <c r="BPQ21" s="84"/>
      <c r="BPR21" s="84"/>
      <c r="BPS21" s="84"/>
      <c r="BPT21" s="84"/>
      <c r="BPU21" s="84"/>
      <c r="BPV21" s="84"/>
      <c r="BPW21" s="84"/>
      <c r="BPX21" s="84"/>
      <c r="BPY21" s="84"/>
      <c r="BPZ21" s="84"/>
      <c r="BQA21" s="84"/>
      <c r="BQB21" s="84"/>
      <c r="BQC21" s="84"/>
      <c r="BQD21" s="84"/>
      <c r="BQE21" s="84"/>
      <c r="BQF21" s="84"/>
      <c r="BQG21" s="84"/>
      <c r="BQH21" s="84"/>
      <c r="BQI21" s="84"/>
      <c r="BQJ21" s="84"/>
      <c r="BQK21" s="84"/>
      <c r="BQL21" s="84"/>
      <c r="BQM21" s="84"/>
      <c r="BQN21" s="84"/>
      <c r="BQO21" s="84"/>
      <c r="BQP21" s="84"/>
      <c r="BQQ21" s="84"/>
      <c r="BQR21" s="84"/>
      <c r="BQS21" s="84"/>
      <c r="BQT21" s="84"/>
      <c r="BQU21" s="84"/>
      <c r="BQV21" s="84"/>
      <c r="BQW21" s="84"/>
      <c r="BQX21" s="84"/>
      <c r="BQY21" s="84"/>
      <c r="BQZ21" s="84"/>
      <c r="BRA21" s="84"/>
      <c r="BRB21" s="84"/>
      <c r="BRC21" s="84"/>
      <c r="BRD21" s="84"/>
      <c r="BRE21" s="84"/>
      <c r="BRF21" s="84"/>
      <c r="BRG21" s="84"/>
      <c r="BRH21" s="84"/>
      <c r="BRI21" s="84"/>
      <c r="BRJ21" s="84"/>
      <c r="BRK21" s="84"/>
      <c r="BRL21" s="84"/>
      <c r="BRM21" s="84"/>
      <c r="BRN21" s="84"/>
      <c r="BRO21" s="84"/>
      <c r="BRP21" s="84"/>
      <c r="BRQ21" s="84"/>
      <c r="BRR21" s="84"/>
      <c r="BRS21" s="84"/>
      <c r="BRT21" s="84"/>
      <c r="BRU21" s="84"/>
      <c r="BRV21" s="84"/>
      <c r="BRW21" s="84"/>
      <c r="BRX21" s="84"/>
      <c r="BRY21" s="84"/>
      <c r="BRZ21" s="84"/>
      <c r="BSA21" s="84"/>
      <c r="BSB21" s="84"/>
      <c r="BSC21" s="84"/>
      <c r="BSD21" s="84"/>
      <c r="BSE21" s="84"/>
      <c r="BSF21" s="84"/>
      <c r="BSG21" s="84"/>
      <c r="BSH21" s="84"/>
      <c r="BSI21" s="84"/>
      <c r="BSJ21" s="84"/>
      <c r="BSK21" s="84"/>
      <c r="BSL21" s="84"/>
      <c r="BSM21" s="84"/>
      <c r="BSN21" s="84"/>
      <c r="BSO21" s="84"/>
      <c r="BSP21" s="84"/>
      <c r="BSQ21" s="84"/>
      <c r="BSR21" s="84"/>
      <c r="BSS21" s="84"/>
      <c r="BST21" s="84"/>
      <c r="BSU21" s="84"/>
      <c r="BSV21" s="84"/>
      <c r="BSW21" s="84"/>
      <c r="BSX21" s="84"/>
      <c r="BSY21" s="84"/>
      <c r="BSZ21" s="84"/>
      <c r="BTA21" s="84"/>
      <c r="BTB21" s="84"/>
      <c r="BTC21" s="84"/>
      <c r="BTD21" s="84"/>
      <c r="BTE21" s="84"/>
      <c r="BTF21" s="84"/>
      <c r="BTG21" s="84"/>
      <c r="BTH21" s="84"/>
      <c r="BTI21" s="84"/>
      <c r="BTJ21" s="84"/>
      <c r="BTK21" s="84"/>
      <c r="BTL21" s="84"/>
      <c r="BTM21" s="84"/>
      <c r="BTN21" s="84"/>
      <c r="BTO21" s="84"/>
      <c r="BTP21" s="84"/>
      <c r="BTQ21" s="84"/>
      <c r="BTR21" s="84"/>
      <c r="BTS21" s="84"/>
      <c r="BTT21" s="84"/>
      <c r="BTU21" s="84"/>
      <c r="BTV21" s="84"/>
      <c r="BTW21" s="84"/>
      <c r="BTX21" s="84"/>
      <c r="BTY21" s="84"/>
      <c r="BTZ21" s="84"/>
      <c r="BUA21" s="84"/>
      <c r="BUB21" s="84"/>
      <c r="BUC21" s="84"/>
      <c r="BUD21" s="84"/>
      <c r="BUE21" s="84"/>
      <c r="BUF21" s="84"/>
      <c r="BUG21" s="84"/>
      <c r="BUH21" s="84"/>
      <c r="BUI21" s="84"/>
      <c r="BUJ21" s="84"/>
      <c r="BUK21" s="84"/>
      <c r="BUL21" s="84"/>
      <c r="BUM21" s="84"/>
      <c r="BUN21" s="84"/>
      <c r="BUO21" s="84"/>
      <c r="BUP21" s="84"/>
      <c r="BUQ21" s="84"/>
      <c r="BUR21" s="84"/>
      <c r="BUS21" s="84"/>
      <c r="BUT21" s="84"/>
      <c r="BUU21" s="84"/>
      <c r="BUV21" s="84"/>
      <c r="BUW21" s="84"/>
      <c r="BUX21" s="84"/>
      <c r="BUY21" s="84"/>
      <c r="BUZ21" s="84"/>
      <c r="BVA21" s="84"/>
      <c r="BVB21" s="84"/>
      <c r="BVC21" s="84"/>
      <c r="BVD21" s="84"/>
      <c r="BVE21" s="84"/>
      <c r="BVF21" s="84"/>
      <c r="BVG21" s="84"/>
      <c r="BVH21" s="84"/>
      <c r="BVI21" s="84"/>
      <c r="BVJ21" s="84"/>
      <c r="BVK21" s="84"/>
      <c r="BVL21" s="84"/>
      <c r="BVM21" s="84"/>
      <c r="BVN21" s="84"/>
      <c r="BVO21" s="84"/>
      <c r="BVP21" s="84"/>
      <c r="BVQ21" s="84"/>
      <c r="BVR21" s="84"/>
      <c r="BVS21" s="84"/>
      <c r="BVT21" s="84"/>
      <c r="BVU21" s="84"/>
      <c r="BVV21" s="84"/>
      <c r="BVW21" s="84"/>
      <c r="BVX21" s="84"/>
      <c r="BVY21" s="84"/>
      <c r="BVZ21" s="84"/>
      <c r="BWA21" s="84"/>
      <c r="BWB21" s="84"/>
      <c r="BWC21" s="84"/>
      <c r="BWD21" s="84"/>
      <c r="BWE21" s="84"/>
      <c r="BWF21" s="84"/>
      <c r="BWG21" s="84"/>
      <c r="BWH21" s="84"/>
      <c r="BWI21" s="84"/>
      <c r="BWJ21" s="84"/>
      <c r="BWK21" s="84"/>
      <c r="BWL21" s="84"/>
      <c r="BWM21" s="84"/>
      <c r="BWN21" s="84"/>
      <c r="BWO21" s="84"/>
      <c r="BWP21" s="84"/>
      <c r="BWQ21" s="84"/>
      <c r="BWR21" s="84"/>
      <c r="BWS21" s="84"/>
      <c r="BWT21" s="84"/>
      <c r="BWU21" s="84"/>
      <c r="BWV21" s="84"/>
      <c r="BWW21" s="84"/>
      <c r="BWX21" s="84"/>
      <c r="BWY21" s="84"/>
      <c r="BWZ21" s="84"/>
      <c r="BXA21" s="84"/>
      <c r="BXB21" s="84"/>
      <c r="BXC21" s="84"/>
      <c r="BXD21" s="84"/>
      <c r="BXE21" s="84"/>
      <c r="BXF21" s="84"/>
      <c r="BXG21" s="84"/>
      <c r="BXH21" s="84"/>
      <c r="BXI21" s="84"/>
      <c r="BXJ21" s="84"/>
      <c r="BXK21" s="84"/>
      <c r="BXL21" s="84"/>
      <c r="BXM21" s="84"/>
      <c r="BXN21" s="84"/>
      <c r="BXO21" s="84"/>
      <c r="BXP21" s="84"/>
      <c r="BXQ21" s="84"/>
      <c r="BXR21" s="84"/>
      <c r="BXS21" s="84"/>
      <c r="BXT21" s="84"/>
      <c r="BXU21" s="84"/>
      <c r="BXV21" s="84"/>
      <c r="BXW21" s="84"/>
      <c r="BXX21" s="84"/>
      <c r="BXY21" s="84"/>
      <c r="BXZ21" s="84"/>
      <c r="BYA21" s="84"/>
      <c r="BYB21" s="84"/>
      <c r="BYC21" s="84"/>
      <c r="BYD21" s="84"/>
      <c r="BYE21" s="84"/>
      <c r="BYF21" s="84"/>
      <c r="BYG21" s="84"/>
      <c r="BYH21" s="84"/>
      <c r="BYI21" s="84"/>
      <c r="BYJ21" s="84"/>
      <c r="BYK21" s="84"/>
      <c r="BYL21" s="84"/>
      <c r="BYM21" s="84"/>
      <c r="BYN21" s="84"/>
      <c r="BYO21" s="84"/>
      <c r="BYP21" s="84"/>
      <c r="BYQ21" s="84"/>
      <c r="BYR21" s="84"/>
      <c r="BYS21" s="84"/>
      <c r="BYT21" s="84"/>
      <c r="BYU21" s="84"/>
      <c r="BYV21" s="84"/>
      <c r="BYW21" s="84"/>
      <c r="BYX21" s="84"/>
      <c r="BYY21" s="84"/>
      <c r="BYZ21" s="84"/>
      <c r="BZA21" s="84"/>
      <c r="BZB21" s="84"/>
      <c r="BZC21" s="84"/>
      <c r="BZD21" s="84"/>
      <c r="BZE21" s="84"/>
      <c r="BZF21" s="84"/>
      <c r="BZG21" s="84"/>
      <c r="BZH21" s="84"/>
      <c r="BZI21" s="84"/>
      <c r="BZJ21" s="84"/>
      <c r="BZK21" s="84"/>
      <c r="BZL21" s="84"/>
      <c r="BZM21" s="84"/>
      <c r="BZN21" s="84"/>
      <c r="BZO21" s="84"/>
      <c r="BZP21" s="84"/>
      <c r="BZQ21" s="84"/>
      <c r="BZR21" s="84"/>
      <c r="BZS21" s="84"/>
      <c r="BZT21" s="84"/>
      <c r="BZU21" s="84"/>
      <c r="BZV21" s="84"/>
      <c r="BZW21" s="84"/>
      <c r="BZX21" s="84"/>
      <c r="BZY21" s="84"/>
      <c r="BZZ21" s="84"/>
      <c r="CAA21" s="84"/>
      <c r="CAB21" s="84"/>
      <c r="CAC21" s="84"/>
      <c r="CAD21" s="84"/>
      <c r="CAE21" s="84"/>
      <c r="CAF21" s="84"/>
      <c r="CAG21" s="84"/>
      <c r="CAH21" s="84"/>
      <c r="CAI21" s="84"/>
      <c r="CAJ21" s="84"/>
      <c r="CAK21" s="84"/>
      <c r="CAL21" s="84"/>
      <c r="CAM21" s="84"/>
      <c r="CAN21" s="84"/>
      <c r="CAO21" s="84"/>
      <c r="CAP21" s="84"/>
      <c r="CAQ21" s="84"/>
      <c r="CAR21" s="84"/>
      <c r="CAS21" s="84"/>
      <c r="CAT21" s="84"/>
      <c r="CAU21" s="84"/>
      <c r="CAV21" s="84"/>
      <c r="CAW21" s="84"/>
      <c r="CAX21" s="84"/>
      <c r="CAY21" s="84"/>
      <c r="CAZ21" s="84"/>
      <c r="CBA21" s="84"/>
      <c r="CBB21" s="84"/>
      <c r="CBC21" s="84"/>
      <c r="CBD21" s="84"/>
      <c r="CBE21" s="84"/>
      <c r="CBF21" s="84"/>
      <c r="CBG21" s="84"/>
      <c r="CBH21" s="84"/>
      <c r="CBI21" s="84"/>
      <c r="CBJ21" s="84"/>
      <c r="CBK21" s="84"/>
      <c r="CBL21" s="84"/>
      <c r="CBM21" s="84"/>
      <c r="CBN21" s="84"/>
      <c r="CBO21" s="84"/>
      <c r="CBP21" s="84"/>
      <c r="CBQ21" s="84"/>
      <c r="CBR21" s="84"/>
      <c r="CBS21" s="84"/>
      <c r="CBT21" s="84"/>
      <c r="CBU21" s="84"/>
      <c r="CBV21" s="84"/>
      <c r="CBW21" s="84"/>
      <c r="CBX21" s="84"/>
      <c r="CBY21" s="84"/>
      <c r="CBZ21" s="84"/>
      <c r="CCA21" s="84"/>
      <c r="CCB21" s="84"/>
      <c r="CCC21" s="84"/>
      <c r="CCD21" s="84"/>
      <c r="CCE21" s="84"/>
      <c r="CCF21" s="84"/>
      <c r="CCG21" s="84"/>
      <c r="CCH21" s="84"/>
      <c r="CCI21" s="84"/>
      <c r="CCJ21" s="84"/>
      <c r="CCK21" s="84"/>
      <c r="CCL21" s="84"/>
      <c r="CCM21" s="84"/>
      <c r="CCN21" s="84"/>
      <c r="CCO21" s="84"/>
      <c r="CCP21" s="84"/>
      <c r="CCQ21" s="84"/>
      <c r="CCR21" s="84"/>
      <c r="CCS21" s="84"/>
      <c r="CCT21" s="84"/>
      <c r="CCU21" s="84"/>
      <c r="CCV21" s="84"/>
      <c r="CCW21" s="84"/>
      <c r="CCX21" s="84"/>
      <c r="CCY21" s="84"/>
      <c r="CCZ21" s="84"/>
      <c r="CDA21" s="84"/>
      <c r="CDB21" s="84"/>
      <c r="CDC21" s="84"/>
      <c r="CDD21" s="84"/>
      <c r="CDE21" s="84"/>
      <c r="CDF21" s="84"/>
      <c r="CDG21" s="84"/>
      <c r="CDH21" s="84"/>
      <c r="CDI21" s="84"/>
      <c r="CDJ21" s="84"/>
      <c r="CDK21" s="84"/>
      <c r="CDL21" s="84"/>
      <c r="CDM21" s="84"/>
      <c r="CDN21" s="84"/>
      <c r="CDO21" s="84"/>
      <c r="CDP21" s="84"/>
      <c r="CDQ21" s="84"/>
      <c r="CDR21" s="84"/>
      <c r="CDS21" s="84"/>
      <c r="CDT21" s="84"/>
      <c r="CDU21" s="84"/>
      <c r="CDV21" s="84"/>
      <c r="CDW21" s="84"/>
      <c r="CDX21" s="84"/>
      <c r="CDY21" s="84"/>
      <c r="CDZ21" s="84"/>
      <c r="CEA21" s="84"/>
      <c r="CEB21" s="84"/>
      <c r="CEC21" s="84"/>
      <c r="CED21" s="84"/>
      <c r="CEE21" s="84"/>
      <c r="CEF21" s="84"/>
      <c r="CEG21" s="84"/>
      <c r="CEH21" s="84"/>
      <c r="CEI21" s="84"/>
      <c r="CEJ21" s="84"/>
      <c r="CEK21" s="84"/>
      <c r="CEL21" s="84"/>
      <c r="CEM21" s="84"/>
      <c r="CEN21" s="84"/>
      <c r="CEO21" s="84"/>
      <c r="CEP21" s="84"/>
      <c r="CEQ21" s="84"/>
      <c r="CER21" s="84"/>
      <c r="CES21" s="84"/>
      <c r="CET21" s="84"/>
      <c r="CEU21" s="84"/>
      <c r="CEV21" s="84"/>
      <c r="CEW21" s="84"/>
      <c r="CEX21" s="84"/>
      <c r="CEY21" s="84"/>
      <c r="CEZ21" s="84"/>
      <c r="CFA21" s="84"/>
      <c r="CFB21" s="84"/>
      <c r="CFC21" s="84"/>
      <c r="CFD21" s="84"/>
      <c r="CFE21" s="84"/>
      <c r="CFF21" s="84"/>
      <c r="CFG21" s="84"/>
      <c r="CFH21" s="84"/>
      <c r="CFI21" s="84"/>
      <c r="CFJ21" s="84"/>
      <c r="CFK21" s="84"/>
      <c r="CFL21" s="84"/>
      <c r="CFM21" s="84"/>
      <c r="CFN21" s="84"/>
      <c r="CFO21" s="84"/>
      <c r="CFP21" s="84"/>
      <c r="CFQ21" s="84"/>
      <c r="CFR21" s="84"/>
      <c r="CFS21" s="84"/>
      <c r="CFT21" s="84"/>
      <c r="CFU21" s="84"/>
      <c r="CFV21" s="84"/>
      <c r="CFW21" s="84"/>
      <c r="CFX21" s="84"/>
      <c r="CFY21" s="84"/>
      <c r="CFZ21" s="84"/>
      <c r="CGA21" s="84"/>
      <c r="CGB21" s="84"/>
      <c r="CGC21" s="84"/>
      <c r="CGD21" s="84"/>
      <c r="CGE21" s="84"/>
      <c r="CGF21" s="84"/>
      <c r="CGG21" s="84"/>
      <c r="CGH21" s="84"/>
      <c r="CGI21" s="84"/>
      <c r="CGJ21" s="84"/>
      <c r="CGK21" s="84"/>
      <c r="CGL21" s="84"/>
      <c r="CGM21" s="84"/>
      <c r="CGN21" s="84"/>
      <c r="CGO21" s="84"/>
      <c r="CGP21" s="84"/>
      <c r="CGQ21" s="84"/>
      <c r="CGR21" s="84"/>
      <c r="CGS21" s="84"/>
      <c r="CGT21" s="84"/>
      <c r="CGU21" s="84"/>
      <c r="CGV21" s="84"/>
      <c r="CGW21" s="84"/>
      <c r="CGX21" s="84"/>
      <c r="CGY21" s="84"/>
      <c r="CGZ21" s="84"/>
      <c r="CHA21" s="84"/>
      <c r="CHB21" s="84"/>
      <c r="CHC21" s="84"/>
      <c r="CHD21" s="84"/>
      <c r="CHE21" s="84"/>
      <c r="CHF21" s="84"/>
      <c r="CHG21" s="84"/>
      <c r="CHH21" s="84"/>
      <c r="CHI21" s="84"/>
      <c r="CHJ21" s="84"/>
      <c r="CHK21" s="84"/>
      <c r="CHL21" s="84"/>
      <c r="CHM21" s="84"/>
      <c r="CHN21" s="84"/>
      <c r="CHO21" s="84"/>
      <c r="CHP21" s="84"/>
      <c r="CHQ21" s="84"/>
      <c r="CHR21" s="84"/>
      <c r="CHS21" s="84"/>
      <c r="CHT21" s="84"/>
      <c r="CHU21" s="84"/>
      <c r="CHV21" s="84"/>
      <c r="CHW21" s="84"/>
      <c r="CHX21" s="84"/>
      <c r="CHY21" s="84"/>
      <c r="CHZ21" s="84"/>
      <c r="CIA21" s="84"/>
      <c r="CIB21" s="84"/>
      <c r="CIC21" s="84"/>
      <c r="CID21" s="84"/>
      <c r="CIE21" s="84"/>
      <c r="CIF21" s="84"/>
      <c r="CIG21" s="84"/>
      <c r="CIH21" s="84"/>
      <c r="CII21" s="84"/>
      <c r="CIJ21" s="84"/>
      <c r="CIK21" s="84"/>
      <c r="CIL21" s="84"/>
      <c r="CIM21" s="84"/>
      <c r="CIN21" s="84"/>
      <c r="CIO21" s="84"/>
      <c r="CIP21" s="84"/>
      <c r="CIQ21" s="84"/>
      <c r="CIR21" s="84"/>
      <c r="CIS21" s="84"/>
      <c r="CIT21" s="84"/>
      <c r="CIU21" s="84"/>
      <c r="CIV21" s="84"/>
      <c r="CIW21" s="84"/>
      <c r="CIX21" s="84"/>
      <c r="CIY21" s="84"/>
      <c r="CIZ21" s="84"/>
      <c r="CJA21" s="84"/>
      <c r="CJB21" s="84"/>
      <c r="CJC21" s="84"/>
      <c r="CJD21" s="84"/>
      <c r="CJE21" s="84"/>
      <c r="CJF21" s="84"/>
      <c r="CJG21" s="84"/>
      <c r="CJH21" s="84"/>
      <c r="CJI21" s="84"/>
      <c r="CJJ21" s="84"/>
      <c r="CJK21" s="84"/>
      <c r="CJL21" s="84"/>
      <c r="CJM21" s="84"/>
      <c r="CJN21" s="84"/>
      <c r="CJO21" s="84"/>
      <c r="CJP21" s="84"/>
      <c r="CJQ21" s="84"/>
      <c r="CJR21" s="84"/>
      <c r="CJS21" s="84"/>
      <c r="CJT21" s="84"/>
      <c r="CJU21" s="84"/>
      <c r="CJV21" s="84"/>
      <c r="CJW21" s="84"/>
      <c r="CJX21" s="84"/>
      <c r="CJY21" s="84"/>
      <c r="CJZ21" s="84"/>
      <c r="CKA21" s="84"/>
      <c r="CKB21" s="84"/>
      <c r="CKC21" s="84"/>
      <c r="CKD21" s="84"/>
      <c r="CKE21" s="84"/>
      <c r="CKF21" s="84"/>
      <c r="CKG21" s="84"/>
      <c r="CKH21" s="84"/>
      <c r="CKI21" s="84"/>
      <c r="CKJ21" s="84"/>
      <c r="CKK21" s="84"/>
      <c r="CKL21" s="84"/>
      <c r="CKM21" s="84"/>
      <c r="CKN21" s="84"/>
      <c r="CKO21" s="84"/>
      <c r="CKP21" s="84"/>
      <c r="CKQ21" s="84"/>
      <c r="CKR21" s="84"/>
      <c r="CKS21" s="84"/>
      <c r="CKT21" s="84"/>
      <c r="CKU21" s="84"/>
      <c r="CKV21" s="84"/>
      <c r="CKW21" s="84"/>
      <c r="CKX21" s="84"/>
      <c r="CKY21" s="84"/>
      <c r="CKZ21" s="84"/>
      <c r="CLA21" s="84"/>
      <c r="CLB21" s="84"/>
      <c r="CLC21" s="84"/>
      <c r="CLD21" s="84"/>
      <c r="CLE21" s="84"/>
      <c r="CLF21" s="84"/>
      <c r="CLG21" s="84"/>
      <c r="CLH21" s="84"/>
      <c r="CLI21" s="84"/>
      <c r="CLJ21" s="84"/>
      <c r="CLK21" s="84"/>
      <c r="CLL21" s="84"/>
      <c r="CLM21" s="84"/>
      <c r="CLN21" s="84"/>
      <c r="CLO21" s="84"/>
      <c r="CLP21" s="84"/>
      <c r="CLQ21" s="84"/>
      <c r="CLR21" s="84"/>
      <c r="CLS21" s="84"/>
      <c r="CLT21" s="84"/>
      <c r="CLU21" s="84"/>
      <c r="CLV21" s="84"/>
      <c r="CLW21" s="84"/>
      <c r="CLX21" s="84"/>
      <c r="CLY21" s="84"/>
      <c r="CLZ21" s="84"/>
      <c r="CMA21" s="84"/>
      <c r="CMB21" s="84"/>
      <c r="CMC21" s="84"/>
      <c r="CMD21" s="84"/>
      <c r="CME21" s="84"/>
      <c r="CMF21" s="84"/>
      <c r="CMG21" s="84"/>
      <c r="CMH21" s="84"/>
      <c r="CMI21" s="84"/>
      <c r="CMJ21" s="84"/>
      <c r="CMK21" s="84"/>
      <c r="CML21" s="84"/>
      <c r="CMM21" s="84"/>
      <c r="CMN21" s="84"/>
      <c r="CMO21" s="84"/>
      <c r="CMP21" s="84"/>
      <c r="CMQ21" s="84"/>
      <c r="CMR21" s="84"/>
      <c r="CMS21" s="84"/>
      <c r="CMT21" s="84"/>
      <c r="CMU21" s="84"/>
      <c r="CMV21" s="84"/>
      <c r="CMW21" s="84"/>
      <c r="CMX21" s="84"/>
      <c r="CMY21" s="84"/>
      <c r="CMZ21" s="84"/>
      <c r="CNA21" s="84"/>
      <c r="CNB21" s="84"/>
      <c r="CNC21" s="84"/>
      <c r="CND21" s="84"/>
      <c r="CNE21" s="84"/>
      <c r="CNF21" s="84"/>
      <c r="CNG21" s="84"/>
      <c r="CNH21" s="84"/>
      <c r="CNI21" s="84"/>
      <c r="CNJ21" s="84"/>
      <c r="CNK21" s="84"/>
      <c r="CNL21" s="84"/>
      <c r="CNM21" s="84"/>
      <c r="CNN21" s="84"/>
      <c r="CNO21" s="84"/>
      <c r="CNP21" s="84"/>
      <c r="CNQ21" s="84"/>
      <c r="CNR21" s="84"/>
      <c r="CNS21" s="84"/>
      <c r="CNT21" s="84"/>
      <c r="CNU21" s="84"/>
      <c r="CNV21" s="84"/>
      <c r="CNW21" s="84"/>
      <c r="CNX21" s="84"/>
      <c r="CNY21" s="84"/>
      <c r="CNZ21" s="84"/>
      <c r="COA21" s="84"/>
      <c r="COB21" s="84"/>
      <c r="COC21" s="84"/>
      <c r="COD21" s="84"/>
      <c r="COE21" s="84"/>
      <c r="COF21" s="84"/>
      <c r="COG21" s="84"/>
      <c r="COH21" s="84"/>
      <c r="COI21" s="84"/>
      <c r="COJ21" s="84"/>
      <c r="COK21" s="84"/>
      <c r="COL21" s="84"/>
      <c r="COM21" s="84"/>
      <c r="CON21" s="84"/>
      <c r="COO21" s="84"/>
      <c r="COP21" s="84"/>
      <c r="COQ21" s="84"/>
      <c r="COR21" s="84"/>
      <c r="COS21" s="84"/>
      <c r="COT21" s="84"/>
      <c r="COU21" s="84"/>
      <c r="COV21" s="84"/>
      <c r="COW21" s="84"/>
      <c r="COX21" s="84"/>
      <c r="COY21" s="84"/>
      <c r="COZ21" s="84"/>
      <c r="CPA21" s="84"/>
      <c r="CPB21" s="84"/>
      <c r="CPC21" s="84"/>
      <c r="CPD21" s="84"/>
      <c r="CPE21" s="84"/>
      <c r="CPF21" s="84"/>
      <c r="CPG21" s="84"/>
      <c r="CPH21" s="84"/>
      <c r="CPI21" s="84"/>
      <c r="CPJ21" s="84"/>
      <c r="CPK21" s="84"/>
      <c r="CPL21" s="84"/>
      <c r="CPM21" s="84"/>
      <c r="CPN21" s="84"/>
      <c r="CPO21" s="84"/>
      <c r="CPP21" s="84"/>
      <c r="CPQ21" s="84"/>
      <c r="CPR21" s="84"/>
      <c r="CPS21" s="84"/>
      <c r="CPT21" s="84"/>
      <c r="CPU21" s="84"/>
      <c r="CPV21" s="84"/>
      <c r="CPW21" s="84"/>
      <c r="CPX21" s="84"/>
      <c r="CPY21" s="84"/>
      <c r="CPZ21" s="84"/>
      <c r="CQA21" s="84"/>
      <c r="CQB21" s="84"/>
      <c r="CQC21" s="84"/>
      <c r="CQD21" s="84"/>
      <c r="CQE21" s="84"/>
      <c r="CQF21" s="84"/>
      <c r="CQG21" s="84"/>
      <c r="CQH21" s="84"/>
      <c r="CQI21" s="84"/>
      <c r="CQJ21" s="84"/>
      <c r="CQK21" s="84"/>
      <c r="CQL21" s="84"/>
      <c r="CQM21" s="84"/>
      <c r="CQN21" s="84"/>
      <c r="CQO21" s="84"/>
      <c r="CQP21" s="84"/>
      <c r="CQQ21" s="84"/>
      <c r="CQR21" s="84"/>
      <c r="CQS21" s="84"/>
      <c r="CQT21" s="84"/>
      <c r="CQU21" s="84"/>
      <c r="CQV21" s="84"/>
      <c r="CQW21" s="84"/>
      <c r="CQX21" s="84"/>
      <c r="CQY21" s="84"/>
      <c r="CQZ21" s="84"/>
      <c r="CRA21" s="84"/>
      <c r="CRB21" s="84"/>
      <c r="CRC21" s="84"/>
      <c r="CRD21" s="84"/>
      <c r="CRE21" s="84"/>
      <c r="CRF21" s="84"/>
      <c r="CRG21" s="84"/>
      <c r="CRH21" s="84"/>
      <c r="CRI21" s="84"/>
      <c r="CRJ21" s="84"/>
      <c r="CRK21" s="84"/>
      <c r="CRL21" s="84"/>
      <c r="CRM21" s="84"/>
      <c r="CRN21" s="84"/>
      <c r="CRO21" s="84"/>
      <c r="CRP21" s="84"/>
      <c r="CRQ21" s="84"/>
      <c r="CRR21" s="84"/>
      <c r="CRS21" s="84"/>
      <c r="CRT21" s="84"/>
      <c r="CRU21" s="84"/>
      <c r="CRV21" s="84"/>
      <c r="CRW21" s="84"/>
      <c r="CRX21" s="84"/>
      <c r="CRY21" s="84"/>
      <c r="CRZ21" s="84"/>
      <c r="CSA21" s="84"/>
      <c r="CSB21" s="84"/>
      <c r="CSC21" s="84"/>
      <c r="CSD21" s="84"/>
      <c r="CSE21" s="84"/>
      <c r="CSF21" s="84"/>
      <c r="CSG21" s="84"/>
      <c r="CSH21" s="84"/>
      <c r="CSI21" s="84"/>
      <c r="CSJ21" s="84"/>
      <c r="CSK21" s="84"/>
      <c r="CSL21" s="84"/>
      <c r="CSM21" s="84"/>
      <c r="CSN21" s="84"/>
      <c r="CSO21" s="84"/>
      <c r="CSP21" s="84"/>
      <c r="CSQ21" s="84"/>
      <c r="CSR21" s="84"/>
      <c r="CSS21" s="84"/>
      <c r="CST21" s="84"/>
      <c r="CSU21" s="84"/>
      <c r="CSV21" s="84"/>
      <c r="CSW21" s="84"/>
      <c r="CSX21" s="84"/>
      <c r="CSY21" s="84"/>
      <c r="CSZ21" s="84"/>
      <c r="CTA21" s="84"/>
      <c r="CTB21" s="84"/>
      <c r="CTC21" s="84"/>
      <c r="CTD21" s="84"/>
      <c r="CTE21" s="84"/>
      <c r="CTF21" s="84"/>
      <c r="CTG21" s="84"/>
      <c r="CTH21" s="84"/>
      <c r="CTI21" s="84"/>
      <c r="CTJ21" s="84"/>
      <c r="CTK21" s="84"/>
      <c r="CTL21" s="84"/>
      <c r="CTM21" s="84"/>
      <c r="CTN21" s="84"/>
      <c r="CTO21" s="84"/>
      <c r="CTP21" s="84"/>
      <c r="CTQ21" s="84"/>
      <c r="CTR21" s="84"/>
      <c r="CTS21" s="84"/>
      <c r="CTT21" s="84"/>
      <c r="CTU21" s="84"/>
      <c r="CTV21" s="84"/>
      <c r="CTW21" s="84"/>
      <c r="CTX21" s="84"/>
      <c r="CTY21" s="84"/>
      <c r="CTZ21" s="84"/>
      <c r="CUA21" s="84"/>
      <c r="CUB21" s="84"/>
      <c r="CUC21" s="84"/>
      <c r="CUD21" s="84"/>
      <c r="CUE21" s="84"/>
      <c r="CUF21" s="84"/>
      <c r="CUG21" s="84"/>
      <c r="CUH21" s="84"/>
      <c r="CUI21" s="84"/>
      <c r="CUJ21" s="84"/>
      <c r="CUK21" s="84"/>
      <c r="CUL21" s="84"/>
      <c r="CUM21" s="84"/>
      <c r="CUN21" s="84"/>
      <c r="CUO21" s="84"/>
      <c r="CUP21" s="84"/>
      <c r="CUQ21" s="84"/>
      <c r="CUR21" s="84"/>
      <c r="CUS21" s="84"/>
      <c r="CUT21" s="84"/>
      <c r="CUU21" s="84"/>
      <c r="CUV21" s="84"/>
      <c r="CUW21" s="84"/>
      <c r="CUX21" s="84"/>
      <c r="CUY21" s="84"/>
      <c r="CUZ21" s="84"/>
      <c r="CVA21" s="84"/>
      <c r="CVB21" s="84"/>
      <c r="CVC21" s="84"/>
      <c r="CVD21" s="84"/>
      <c r="CVE21" s="84"/>
      <c r="CVF21" s="84"/>
      <c r="CVG21" s="84"/>
      <c r="CVH21" s="84"/>
      <c r="CVI21" s="84"/>
      <c r="CVJ21" s="84"/>
      <c r="CVK21" s="84"/>
      <c r="CVL21" s="84"/>
      <c r="CVM21" s="84"/>
      <c r="CVN21" s="84"/>
      <c r="CVO21" s="84"/>
      <c r="CVP21" s="84"/>
      <c r="CVQ21" s="84"/>
      <c r="CVR21" s="84"/>
      <c r="CVS21" s="84"/>
      <c r="CVT21" s="84"/>
      <c r="CVU21" s="84"/>
      <c r="CVV21" s="84"/>
      <c r="CVW21" s="84"/>
      <c r="CVX21" s="84"/>
      <c r="CVY21" s="84"/>
      <c r="CVZ21" s="84"/>
      <c r="CWA21" s="84"/>
      <c r="CWB21" s="84"/>
      <c r="CWC21" s="84"/>
      <c r="CWD21" s="84"/>
      <c r="CWE21" s="84"/>
      <c r="CWF21" s="84"/>
      <c r="CWG21" s="84"/>
      <c r="CWH21" s="84"/>
      <c r="CWI21" s="84"/>
      <c r="CWJ21" s="84"/>
      <c r="CWK21" s="84"/>
      <c r="CWL21" s="84"/>
      <c r="CWM21" s="84"/>
      <c r="CWN21" s="84"/>
      <c r="CWO21" s="84"/>
      <c r="CWP21" s="84"/>
      <c r="CWQ21" s="84"/>
      <c r="CWR21" s="84"/>
      <c r="CWS21" s="84"/>
      <c r="CWT21" s="84"/>
      <c r="CWU21" s="84"/>
      <c r="CWV21" s="84"/>
      <c r="CWW21" s="84"/>
      <c r="CWX21" s="84"/>
      <c r="CWY21" s="84"/>
      <c r="CWZ21" s="84"/>
      <c r="CXA21" s="84"/>
      <c r="CXB21" s="84"/>
      <c r="CXC21" s="84"/>
      <c r="CXD21" s="84"/>
      <c r="CXE21" s="84"/>
      <c r="CXF21" s="84"/>
      <c r="CXG21" s="84"/>
      <c r="CXH21" s="84"/>
      <c r="CXI21" s="84"/>
      <c r="CXJ21" s="84"/>
      <c r="CXK21" s="84"/>
      <c r="CXL21" s="84"/>
      <c r="CXM21" s="84"/>
      <c r="CXN21" s="84"/>
      <c r="CXO21" s="84"/>
      <c r="CXP21" s="84"/>
      <c r="CXQ21" s="84"/>
      <c r="CXR21" s="84"/>
      <c r="CXS21" s="84"/>
      <c r="CXT21" s="84"/>
      <c r="CXU21" s="84"/>
      <c r="CXV21" s="84"/>
      <c r="CXW21" s="84"/>
      <c r="CXX21" s="84"/>
      <c r="CXY21" s="84"/>
      <c r="CXZ21" s="84"/>
      <c r="CYA21" s="84"/>
      <c r="CYB21" s="84"/>
      <c r="CYC21" s="84"/>
      <c r="CYD21" s="84"/>
      <c r="CYE21" s="84"/>
      <c r="CYF21" s="84"/>
      <c r="CYG21" s="84"/>
      <c r="CYH21" s="84"/>
      <c r="CYI21" s="84"/>
      <c r="CYJ21" s="84"/>
      <c r="CYK21" s="84"/>
      <c r="CYL21" s="84"/>
      <c r="CYM21" s="84"/>
      <c r="CYN21" s="84"/>
      <c r="CYO21" s="84"/>
      <c r="CYP21" s="84"/>
      <c r="CYQ21" s="84"/>
      <c r="CYR21" s="84"/>
      <c r="CYS21" s="84"/>
      <c r="CYT21" s="84"/>
      <c r="CYU21" s="84"/>
      <c r="CYV21" s="84"/>
      <c r="CYW21" s="84"/>
      <c r="CYX21" s="84"/>
      <c r="CYY21" s="84"/>
      <c r="CYZ21" s="84"/>
      <c r="CZA21" s="84"/>
      <c r="CZB21" s="84"/>
      <c r="CZC21" s="84"/>
      <c r="CZD21" s="84"/>
      <c r="CZE21" s="84"/>
      <c r="CZF21" s="84"/>
      <c r="CZG21" s="84"/>
      <c r="CZH21" s="84"/>
      <c r="CZI21" s="84"/>
      <c r="CZJ21" s="84"/>
      <c r="CZK21" s="84"/>
      <c r="CZL21" s="84"/>
      <c r="CZM21" s="84"/>
      <c r="CZN21" s="84"/>
      <c r="CZO21" s="84"/>
      <c r="CZP21" s="84"/>
      <c r="CZQ21" s="84"/>
      <c r="CZR21" s="84"/>
      <c r="CZS21" s="84"/>
      <c r="CZT21" s="84"/>
      <c r="CZU21" s="84"/>
      <c r="CZV21" s="84"/>
      <c r="CZW21" s="84"/>
      <c r="CZX21" s="84"/>
      <c r="CZY21" s="84"/>
      <c r="CZZ21" s="84"/>
      <c r="DAA21" s="84"/>
      <c r="DAB21" s="84"/>
      <c r="DAC21" s="84"/>
      <c r="DAD21" s="84"/>
      <c r="DAE21" s="84"/>
      <c r="DAF21" s="84"/>
      <c r="DAG21" s="84"/>
      <c r="DAH21" s="84"/>
      <c r="DAI21" s="84"/>
      <c r="DAJ21" s="84"/>
      <c r="DAK21" s="84"/>
      <c r="DAL21" s="84"/>
      <c r="DAM21" s="84"/>
      <c r="DAN21" s="84"/>
      <c r="DAO21" s="84"/>
      <c r="DAP21" s="84"/>
      <c r="DAQ21" s="84"/>
      <c r="DAR21" s="84"/>
      <c r="DAS21" s="84"/>
      <c r="DAT21" s="84"/>
      <c r="DAU21" s="84"/>
      <c r="DAV21" s="84"/>
      <c r="DAW21" s="84"/>
      <c r="DAX21" s="84"/>
      <c r="DAY21" s="84"/>
      <c r="DAZ21" s="84"/>
      <c r="DBA21" s="84"/>
      <c r="DBB21" s="84"/>
      <c r="DBC21" s="84"/>
      <c r="DBD21" s="84"/>
      <c r="DBE21" s="84"/>
      <c r="DBF21" s="84"/>
      <c r="DBG21" s="84"/>
      <c r="DBH21" s="84"/>
      <c r="DBI21" s="84"/>
      <c r="DBJ21" s="84"/>
      <c r="DBK21" s="84"/>
      <c r="DBL21" s="84"/>
      <c r="DBM21" s="84"/>
      <c r="DBN21" s="84"/>
      <c r="DBO21" s="84"/>
      <c r="DBP21" s="84"/>
      <c r="DBQ21" s="84"/>
      <c r="DBR21" s="84"/>
      <c r="DBS21" s="84"/>
      <c r="DBT21" s="84"/>
      <c r="DBU21" s="84"/>
      <c r="DBV21" s="84"/>
      <c r="DBW21" s="84"/>
      <c r="DBX21" s="84"/>
      <c r="DBY21" s="84"/>
      <c r="DBZ21" s="84"/>
      <c r="DCA21" s="84"/>
      <c r="DCB21" s="84"/>
      <c r="DCC21" s="84"/>
      <c r="DCD21" s="84"/>
      <c r="DCE21" s="84"/>
      <c r="DCF21" s="84"/>
      <c r="DCG21" s="84"/>
      <c r="DCH21" s="84"/>
      <c r="DCI21" s="84"/>
      <c r="DCJ21" s="84"/>
      <c r="DCK21" s="84"/>
      <c r="DCL21" s="84"/>
      <c r="DCM21" s="84"/>
      <c r="DCN21" s="84"/>
      <c r="DCO21" s="84"/>
      <c r="DCP21" s="84"/>
      <c r="DCQ21" s="84"/>
      <c r="DCR21" s="84"/>
      <c r="DCS21" s="84"/>
      <c r="DCT21" s="84"/>
      <c r="DCU21" s="84"/>
      <c r="DCV21" s="84"/>
      <c r="DCW21" s="84"/>
      <c r="DCX21" s="84"/>
      <c r="DCY21" s="84"/>
      <c r="DCZ21" s="84"/>
      <c r="DDA21" s="84"/>
      <c r="DDB21" s="84"/>
      <c r="DDC21" s="84"/>
      <c r="DDD21" s="84"/>
      <c r="DDE21" s="84"/>
      <c r="DDF21" s="84"/>
      <c r="DDG21" s="84"/>
      <c r="DDH21" s="84"/>
      <c r="DDI21" s="84"/>
      <c r="DDJ21" s="84"/>
      <c r="DDK21" s="84"/>
      <c r="DDL21" s="84"/>
      <c r="DDM21" s="84"/>
      <c r="DDN21" s="84"/>
      <c r="DDO21" s="84"/>
      <c r="DDP21" s="84"/>
      <c r="DDQ21" s="84"/>
      <c r="DDR21" s="84"/>
      <c r="DDS21" s="84"/>
      <c r="DDT21" s="84"/>
      <c r="DDU21" s="84"/>
      <c r="DDV21" s="84"/>
      <c r="DDW21" s="84"/>
      <c r="DDX21" s="84"/>
      <c r="DDY21" s="84"/>
      <c r="DDZ21" s="84"/>
      <c r="DEA21" s="84"/>
      <c r="DEB21" s="84"/>
      <c r="DEC21" s="84"/>
      <c r="DED21" s="84"/>
      <c r="DEE21" s="84"/>
      <c r="DEF21" s="84"/>
      <c r="DEG21" s="84"/>
      <c r="DEH21" s="84"/>
      <c r="DEI21" s="84"/>
      <c r="DEJ21" s="84"/>
      <c r="DEK21" s="84"/>
      <c r="DEL21" s="84"/>
      <c r="DEM21" s="84"/>
      <c r="DEN21" s="84"/>
      <c r="DEO21" s="84"/>
      <c r="DEP21" s="84"/>
      <c r="DEQ21" s="84"/>
      <c r="DER21" s="84"/>
      <c r="DES21" s="84"/>
      <c r="DET21" s="84"/>
      <c r="DEU21" s="84"/>
      <c r="DEV21" s="84"/>
      <c r="DEW21" s="84"/>
      <c r="DEX21" s="84"/>
      <c r="DEY21" s="84"/>
      <c r="DEZ21" s="84"/>
      <c r="DFA21" s="84"/>
      <c r="DFB21" s="84"/>
      <c r="DFC21" s="84"/>
      <c r="DFD21" s="84"/>
      <c r="DFE21" s="84"/>
      <c r="DFF21" s="84"/>
      <c r="DFG21" s="84"/>
      <c r="DFH21" s="84"/>
      <c r="DFI21" s="84"/>
      <c r="DFJ21" s="84"/>
      <c r="DFK21" s="84"/>
      <c r="DFL21" s="84"/>
      <c r="DFM21" s="84"/>
      <c r="DFN21" s="84"/>
      <c r="DFO21" s="84"/>
      <c r="DFP21" s="84"/>
      <c r="DFQ21" s="84"/>
      <c r="DFR21" s="84"/>
      <c r="DFS21" s="84"/>
      <c r="DFT21" s="84"/>
      <c r="DFU21" s="84"/>
      <c r="DFV21" s="84"/>
      <c r="DFW21" s="84"/>
      <c r="DFX21" s="84"/>
      <c r="DFY21" s="84"/>
      <c r="DFZ21" s="84"/>
      <c r="DGA21" s="84"/>
      <c r="DGB21" s="84"/>
      <c r="DGC21" s="84"/>
      <c r="DGD21" s="84"/>
      <c r="DGE21" s="84"/>
      <c r="DGF21" s="84"/>
      <c r="DGG21" s="84"/>
      <c r="DGH21" s="84"/>
      <c r="DGI21" s="84"/>
      <c r="DGJ21" s="84"/>
      <c r="DGK21" s="84"/>
      <c r="DGL21" s="84"/>
      <c r="DGM21" s="84"/>
      <c r="DGN21" s="84"/>
      <c r="DGO21" s="84"/>
      <c r="DGP21" s="84"/>
      <c r="DGQ21" s="84"/>
      <c r="DGR21" s="84"/>
      <c r="DGS21" s="84"/>
      <c r="DGT21" s="84"/>
      <c r="DGU21" s="84"/>
      <c r="DGV21" s="84"/>
      <c r="DGW21" s="84"/>
      <c r="DGX21" s="84"/>
      <c r="DGY21" s="84"/>
      <c r="DGZ21" s="84"/>
      <c r="DHA21" s="84"/>
      <c r="DHB21" s="84"/>
      <c r="DHC21" s="84"/>
      <c r="DHD21" s="84"/>
      <c r="DHE21" s="84"/>
      <c r="DHF21" s="84"/>
      <c r="DHG21" s="84"/>
      <c r="DHH21" s="84"/>
      <c r="DHI21" s="84"/>
      <c r="DHJ21" s="84"/>
      <c r="DHK21" s="84"/>
      <c r="DHL21" s="84"/>
      <c r="DHM21" s="84"/>
      <c r="DHN21" s="84"/>
      <c r="DHO21" s="84"/>
      <c r="DHP21" s="84"/>
      <c r="DHQ21" s="84"/>
      <c r="DHR21" s="84"/>
      <c r="DHS21" s="84"/>
      <c r="DHT21" s="84"/>
      <c r="DHU21" s="84"/>
      <c r="DHV21" s="84"/>
      <c r="DHW21" s="84"/>
      <c r="DHX21" s="84"/>
      <c r="DHY21" s="84"/>
      <c r="DHZ21" s="84"/>
      <c r="DIA21" s="84"/>
      <c r="DIB21" s="84"/>
      <c r="DIC21" s="84"/>
      <c r="DID21" s="84"/>
      <c r="DIE21" s="84"/>
      <c r="DIF21" s="84"/>
      <c r="DIG21" s="84"/>
      <c r="DIH21" s="84"/>
      <c r="DII21" s="84"/>
      <c r="DIJ21" s="84"/>
      <c r="DIK21" s="84"/>
      <c r="DIL21" s="84"/>
      <c r="DIM21" s="84"/>
      <c r="DIN21" s="84"/>
      <c r="DIO21" s="84"/>
      <c r="DIP21" s="84"/>
      <c r="DIQ21" s="84"/>
      <c r="DIR21" s="84"/>
      <c r="DIS21" s="84"/>
      <c r="DIT21" s="84"/>
      <c r="DIU21" s="84"/>
      <c r="DIV21" s="84"/>
      <c r="DIW21" s="84"/>
      <c r="DIX21" s="84"/>
      <c r="DIY21" s="84"/>
      <c r="DIZ21" s="84"/>
      <c r="DJA21" s="84"/>
      <c r="DJB21" s="84"/>
      <c r="DJC21" s="84"/>
      <c r="DJD21" s="84"/>
      <c r="DJE21" s="84"/>
      <c r="DJF21" s="84"/>
      <c r="DJG21" s="84"/>
      <c r="DJH21" s="84"/>
      <c r="DJI21" s="84"/>
      <c r="DJJ21" s="84"/>
      <c r="DJK21" s="84"/>
      <c r="DJL21" s="84"/>
      <c r="DJM21" s="84"/>
      <c r="DJN21" s="84"/>
      <c r="DJO21" s="84"/>
      <c r="DJP21" s="84"/>
      <c r="DJQ21" s="84"/>
      <c r="DJR21" s="84"/>
      <c r="DJS21" s="84"/>
      <c r="DJT21" s="84"/>
      <c r="DJU21" s="84"/>
      <c r="DJV21" s="84"/>
      <c r="DJW21" s="84"/>
      <c r="DJX21" s="84"/>
      <c r="DJY21" s="84"/>
      <c r="DJZ21" s="84"/>
      <c r="DKA21" s="84"/>
      <c r="DKB21" s="84"/>
      <c r="DKC21" s="84"/>
      <c r="DKD21" s="84"/>
      <c r="DKE21" s="84"/>
      <c r="DKF21" s="84"/>
      <c r="DKG21" s="84"/>
      <c r="DKH21" s="84"/>
      <c r="DKI21" s="84"/>
      <c r="DKJ21" s="84"/>
      <c r="DKK21" s="84"/>
      <c r="DKL21" s="84"/>
      <c r="DKM21" s="84"/>
      <c r="DKN21" s="84"/>
      <c r="DKO21" s="84"/>
      <c r="DKP21" s="84"/>
      <c r="DKQ21" s="84"/>
      <c r="DKR21" s="84"/>
      <c r="DKS21" s="84"/>
      <c r="DKT21" s="84"/>
      <c r="DKU21" s="84"/>
      <c r="DKV21" s="84"/>
      <c r="DKW21" s="84"/>
      <c r="DKX21" s="84"/>
      <c r="DKY21" s="84"/>
      <c r="DKZ21" s="84"/>
      <c r="DLA21" s="84"/>
      <c r="DLB21" s="84"/>
      <c r="DLC21" s="84"/>
      <c r="DLD21" s="84"/>
      <c r="DLE21" s="84"/>
      <c r="DLF21" s="84"/>
      <c r="DLG21" s="84"/>
      <c r="DLH21" s="84"/>
      <c r="DLI21" s="84"/>
      <c r="DLJ21" s="84"/>
      <c r="DLK21" s="84"/>
      <c r="DLL21" s="84"/>
      <c r="DLM21" s="84"/>
      <c r="DLN21" s="84"/>
      <c r="DLO21" s="84"/>
      <c r="DLP21" s="84"/>
      <c r="DLQ21" s="84"/>
      <c r="DLR21" s="84"/>
      <c r="DLS21" s="84"/>
      <c r="DLT21" s="84"/>
      <c r="DLU21" s="84"/>
      <c r="DLV21" s="84"/>
      <c r="DLW21" s="84"/>
      <c r="DLX21" s="84"/>
      <c r="DLY21" s="84"/>
      <c r="DLZ21" s="84"/>
      <c r="DMA21" s="84"/>
      <c r="DMB21" s="84"/>
      <c r="DMC21" s="84"/>
      <c r="DMD21" s="84"/>
      <c r="DME21" s="84"/>
      <c r="DMF21" s="84"/>
      <c r="DMG21" s="84"/>
      <c r="DMH21" s="84"/>
      <c r="DMI21" s="84"/>
      <c r="DMJ21" s="84"/>
      <c r="DMK21" s="84"/>
      <c r="DML21" s="84"/>
      <c r="DMM21" s="84"/>
      <c r="DMN21" s="84"/>
      <c r="DMO21" s="84"/>
      <c r="DMP21" s="84"/>
      <c r="DMQ21" s="84"/>
      <c r="DMR21" s="84"/>
      <c r="DMS21" s="84"/>
      <c r="DMT21" s="84"/>
      <c r="DMU21" s="84"/>
      <c r="DMV21" s="84"/>
      <c r="DMW21" s="84"/>
      <c r="DMX21" s="84"/>
      <c r="DMY21" s="84"/>
      <c r="DMZ21" s="84"/>
      <c r="DNA21" s="84"/>
      <c r="DNB21" s="84"/>
      <c r="DNC21" s="84"/>
      <c r="DND21" s="84"/>
      <c r="DNE21" s="84"/>
      <c r="DNF21" s="84"/>
      <c r="DNG21" s="84"/>
      <c r="DNH21" s="84"/>
      <c r="DNI21" s="84"/>
      <c r="DNJ21" s="84"/>
      <c r="DNK21" s="84"/>
      <c r="DNL21" s="84"/>
      <c r="DNM21" s="84"/>
      <c r="DNN21" s="84"/>
      <c r="DNO21" s="84"/>
      <c r="DNP21" s="84"/>
      <c r="DNQ21" s="84"/>
      <c r="DNR21" s="84"/>
      <c r="DNS21" s="84"/>
      <c r="DNT21" s="84"/>
      <c r="DNU21" s="84"/>
      <c r="DNV21" s="84"/>
      <c r="DNW21" s="84"/>
      <c r="DNX21" s="84"/>
      <c r="DNY21" s="84"/>
      <c r="DNZ21" s="84"/>
      <c r="DOA21" s="84"/>
      <c r="DOB21" s="84"/>
      <c r="DOC21" s="84"/>
      <c r="DOD21" s="84"/>
      <c r="DOE21" s="84"/>
      <c r="DOF21" s="84"/>
      <c r="DOG21" s="84"/>
      <c r="DOH21" s="84"/>
      <c r="DOI21" s="84"/>
      <c r="DOJ21" s="84"/>
      <c r="DOK21" s="84"/>
      <c r="DOL21" s="84"/>
      <c r="DOM21" s="84"/>
      <c r="DON21" s="84"/>
      <c r="DOO21" s="84"/>
      <c r="DOP21" s="84"/>
      <c r="DOQ21" s="84"/>
      <c r="DOR21" s="84"/>
      <c r="DOS21" s="84"/>
      <c r="DOT21" s="84"/>
      <c r="DOU21" s="84"/>
      <c r="DOV21" s="84"/>
      <c r="DOW21" s="84"/>
      <c r="DOX21" s="84"/>
      <c r="DOY21" s="84"/>
      <c r="DOZ21" s="84"/>
      <c r="DPA21" s="84"/>
      <c r="DPB21" s="84"/>
      <c r="DPC21" s="84"/>
      <c r="DPD21" s="84"/>
      <c r="DPE21" s="84"/>
      <c r="DPF21" s="84"/>
      <c r="DPG21" s="84"/>
      <c r="DPH21" s="84"/>
      <c r="DPI21" s="84"/>
      <c r="DPJ21" s="84"/>
      <c r="DPK21" s="84"/>
      <c r="DPL21" s="84"/>
      <c r="DPM21" s="84"/>
      <c r="DPN21" s="84"/>
      <c r="DPO21" s="84"/>
      <c r="DPP21" s="84"/>
      <c r="DPQ21" s="84"/>
      <c r="DPR21" s="84"/>
      <c r="DPS21" s="84"/>
      <c r="DPT21" s="84"/>
      <c r="DPU21" s="84"/>
      <c r="DPV21" s="84"/>
      <c r="DPW21" s="84"/>
      <c r="DPX21" s="84"/>
      <c r="DPY21" s="84"/>
      <c r="DPZ21" s="84"/>
      <c r="DQA21" s="84"/>
      <c r="DQB21" s="84"/>
      <c r="DQC21" s="84"/>
      <c r="DQD21" s="84"/>
      <c r="DQE21" s="84"/>
      <c r="DQF21" s="84"/>
      <c r="DQG21" s="84"/>
      <c r="DQH21" s="84"/>
      <c r="DQI21" s="84"/>
      <c r="DQJ21" s="84"/>
      <c r="DQK21" s="84"/>
      <c r="DQL21" s="84"/>
      <c r="DQM21" s="84"/>
      <c r="DQN21" s="84"/>
      <c r="DQO21" s="84"/>
      <c r="DQP21" s="84"/>
      <c r="DQQ21" s="84"/>
      <c r="DQR21" s="84"/>
      <c r="DQS21" s="84"/>
      <c r="DQT21" s="84"/>
      <c r="DQU21" s="84"/>
      <c r="DQV21" s="84"/>
      <c r="DQW21" s="84"/>
      <c r="DQX21" s="84"/>
      <c r="DQY21" s="84"/>
      <c r="DQZ21" s="84"/>
      <c r="DRA21" s="84"/>
      <c r="DRB21" s="84"/>
      <c r="DRC21" s="84"/>
      <c r="DRD21" s="84"/>
      <c r="DRE21" s="84"/>
      <c r="DRF21" s="84"/>
      <c r="DRG21" s="84"/>
      <c r="DRH21" s="84"/>
      <c r="DRI21" s="84"/>
      <c r="DRJ21" s="84"/>
      <c r="DRK21" s="84"/>
      <c r="DRL21" s="84"/>
      <c r="DRM21" s="84"/>
      <c r="DRN21" s="84"/>
      <c r="DRO21" s="84"/>
      <c r="DRP21" s="84"/>
      <c r="DRQ21" s="84"/>
      <c r="DRR21" s="84"/>
      <c r="DRS21" s="84"/>
      <c r="DRT21" s="84"/>
      <c r="DRU21" s="84"/>
      <c r="DRV21" s="84"/>
      <c r="DRW21" s="84"/>
      <c r="DRX21" s="84"/>
      <c r="DRY21" s="84"/>
      <c r="DRZ21" s="84"/>
      <c r="DSA21" s="84"/>
      <c r="DSB21" s="84"/>
      <c r="DSC21" s="84"/>
      <c r="DSD21" s="84"/>
      <c r="DSE21" s="84"/>
      <c r="DSF21" s="84"/>
      <c r="DSG21" s="84"/>
      <c r="DSH21" s="84"/>
      <c r="DSI21" s="84"/>
      <c r="DSJ21" s="84"/>
      <c r="DSK21" s="84"/>
      <c r="DSL21" s="84"/>
      <c r="DSM21" s="84"/>
      <c r="DSN21" s="84"/>
      <c r="DSO21" s="84"/>
      <c r="DSP21" s="84"/>
      <c r="DSQ21" s="84"/>
      <c r="DSR21" s="84"/>
      <c r="DSS21" s="84"/>
      <c r="DST21" s="84"/>
      <c r="DSU21" s="84"/>
      <c r="DSV21" s="84"/>
      <c r="DSW21" s="84"/>
      <c r="DSX21" s="84"/>
      <c r="DSY21" s="84"/>
      <c r="DSZ21" s="84"/>
      <c r="DTA21" s="84"/>
      <c r="DTB21" s="84"/>
      <c r="DTC21" s="84"/>
      <c r="DTD21" s="84"/>
      <c r="DTE21" s="84"/>
      <c r="DTF21" s="84"/>
      <c r="DTG21" s="84"/>
      <c r="DTH21" s="84"/>
      <c r="DTI21" s="84"/>
      <c r="DTJ21" s="84"/>
      <c r="DTK21" s="84"/>
      <c r="DTL21" s="84"/>
      <c r="DTM21" s="84"/>
      <c r="DTN21" s="84"/>
      <c r="DTO21" s="84"/>
      <c r="DTP21" s="84"/>
      <c r="DTQ21" s="84"/>
      <c r="DTR21" s="84"/>
      <c r="DTS21" s="84"/>
      <c r="DTT21" s="84"/>
      <c r="DTU21" s="84"/>
      <c r="DTV21" s="84"/>
      <c r="DTW21" s="84"/>
      <c r="DTX21" s="84"/>
      <c r="DTY21" s="84"/>
      <c r="DTZ21" s="84"/>
      <c r="DUA21" s="84"/>
      <c r="DUB21" s="84"/>
      <c r="DUC21" s="84"/>
      <c r="DUD21" s="84"/>
      <c r="DUE21" s="84"/>
      <c r="DUF21" s="84"/>
      <c r="DUG21" s="84"/>
      <c r="DUH21" s="84"/>
      <c r="DUI21" s="84"/>
      <c r="DUJ21" s="84"/>
      <c r="DUK21" s="84"/>
      <c r="DUL21" s="84"/>
      <c r="DUM21" s="84"/>
      <c r="DUN21" s="84"/>
      <c r="DUO21" s="84"/>
      <c r="DUP21" s="84"/>
      <c r="DUQ21" s="84"/>
      <c r="DUR21" s="84"/>
      <c r="DUS21" s="84"/>
      <c r="DUT21" s="84"/>
      <c r="DUU21" s="84"/>
      <c r="DUV21" s="84"/>
      <c r="DUW21" s="84"/>
      <c r="DUX21" s="84"/>
      <c r="DUY21" s="84"/>
      <c r="DUZ21" s="84"/>
      <c r="DVA21" s="84"/>
      <c r="DVB21" s="84"/>
      <c r="DVC21" s="84"/>
      <c r="DVD21" s="84"/>
      <c r="DVE21" s="84"/>
      <c r="DVF21" s="84"/>
      <c r="DVG21" s="84"/>
      <c r="DVH21" s="84"/>
      <c r="DVI21" s="84"/>
      <c r="DVJ21" s="84"/>
      <c r="DVK21" s="84"/>
      <c r="DVL21" s="84"/>
      <c r="DVM21" s="84"/>
      <c r="DVN21" s="84"/>
      <c r="DVO21" s="84"/>
      <c r="DVP21" s="84"/>
      <c r="DVQ21" s="84"/>
      <c r="DVR21" s="84"/>
      <c r="DVS21" s="84"/>
      <c r="DVT21" s="84"/>
      <c r="DVU21" s="84"/>
      <c r="DVV21" s="84"/>
      <c r="DVW21" s="84"/>
      <c r="DVX21" s="84"/>
      <c r="DVY21" s="84"/>
      <c r="DVZ21" s="84"/>
      <c r="DWA21" s="84"/>
      <c r="DWB21" s="84"/>
      <c r="DWC21" s="84"/>
      <c r="DWD21" s="84"/>
      <c r="DWE21" s="84"/>
      <c r="DWF21" s="84"/>
      <c r="DWG21" s="84"/>
      <c r="DWH21" s="84"/>
      <c r="DWI21" s="84"/>
      <c r="DWJ21" s="84"/>
      <c r="DWK21" s="84"/>
      <c r="DWL21" s="84"/>
      <c r="DWM21" s="84"/>
      <c r="DWN21" s="84"/>
      <c r="DWO21" s="84"/>
      <c r="DWP21" s="84"/>
      <c r="DWQ21" s="84"/>
      <c r="DWR21" s="84"/>
      <c r="DWS21" s="84"/>
      <c r="DWT21" s="84"/>
      <c r="DWU21" s="84"/>
      <c r="DWV21" s="84"/>
      <c r="DWW21" s="84"/>
      <c r="DWX21" s="84"/>
      <c r="DWY21" s="84"/>
      <c r="DWZ21" s="84"/>
      <c r="DXA21" s="84"/>
      <c r="DXB21" s="84"/>
      <c r="DXC21" s="84"/>
      <c r="DXD21" s="84"/>
      <c r="DXE21" s="84"/>
      <c r="DXF21" s="84"/>
      <c r="DXG21" s="84"/>
      <c r="DXH21" s="84"/>
      <c r="DXI21" s="84"/>
      <c r="DXJ21" s="84"/>
      <c r="DXK21" s="84"/>
      <c r="DXL21" s="84"/>
      <c r="DXM21" s="84"/>
      <c r="DXN21" s="84"/>
      <c r="DXO21" s="84"/>
      <c r="DXP21" s="84"/>
      <c r="DXQ21" s="84"/>
      <c r="DXR21" s="84"/>
      <c r="DXS21" s="84"/>
      <c r="DXT21" s="84"/>
      <c r="DXU21" s="84"/>
      <c r="DXV21" s="84"/>
      <c r="DXW21" s="84"/>
      <c r="DXX21" s="84"/>
      <c r="DXY21" s="84"/>
      <c r="DXZ21" s="84"/>
      <c r="DYA21" s="84"/>
      <c r="DYB21" s="84"/>
      <c r="DYC21" s="84"/>
      <c r="DYD21" s="84"/>
      <c r="DYE21" s="84"/>
      <c r="DYF21" s="84"/>
      <c r="DYG21" s="84"/>
      <c r="DYH21" s="84"/>
      <c r="DYI21" s="84"/>
      <c r="DYJ21" s="84"/>
      <c r="DYK21" s="84"/>
      <c r="DYL21" s="84"/>
      <c r="DYM21" s="84"/>
      <c r="DYN21" s="84"/>
      <c r="DYO21" s="84"/>
      <c r="DYP21" s="84"/>
      <c r="DYQ21" s="84"/>
      <c r="DYR21" s="84"/>
      <c r="DYS21" s="84"/>
      <c r="DYT21" s="84"/>
      <c r="DYU21" s="84"/>
      <c r="DYV21" s="84"/>
      <c r="DYW21" s="84"/>
      <c r="DYX21" s="84"/>
      <c r="DYY21" s="84"/>
      <c r="DYZ21" s="84"/>
      <c r="DZA21" s="84"/>
      <c r="DZB21" s="84"/>
      <c r="DZC21" s="84"/>
      <c r="DZD21" s="84"/>
      <c r="DZE21" s="84"/>
      <c r="DZF21" s="84"/>
      <c r="DZG21" s="84"/>
      <c r="DZH21" s="84"/>
      <c r="DZI21" s="84"/>
      <c r="DZJ21" s="84"/>
      <c r="DZK21" s="84"/>
      <c r="DZL21" s="84"/>
      <c r="DZM21" s="84"/>
      <c r="DZN21" s="84"/>
      <c r="DZO21" s="84"/>
      <c r="DZP21" s="84"/>
      <c r="DZQ21" s="84"/>
      <c r="DZR21" s="84"/>
      <c r="DZS21" s="84"/>
      <c r="DZT21" s="84"/>
      <c r="DZU21" s="84"/>
      <c r="DZV21" s="84"/>
      <c r="DZW21" s="84"/>
      <c r="DZX21" s="84"/>
      <c r="DZY21" s="84"/>
      <c r="DZZ21" s="84"/>
      <c r="EAA21" s="84"/>
      <c r="EAB21" s="84"/>
      <c r="EAC21" s="84"/>
      <c r="EAD21" s="84"/>
      <c r="EAE21" s="84"/>
      <c r="EAF21" s="84"/>
      <c r="EAG21" s="84"/>
      <c r="EAH21" s="84"/>
      <c r="EAI21" s="84"/>
      <c r="EAJ21" s="84"/>
      <c r="EAK21" s="84"/>
      <c r="EAL21" s="84"/>
      <c r="EAM21" s="84"/>
      <c r="EAN21" s="84"/>
      <c r="EAO21" s="84"/>
      <c r="EAP21" s="84"/>
      <c r="EAQ21" s="84"/>
      <c r="EAR21" s="84"/>
      <c r="EAS21" s="84"/>
      <c r="EAT21" s="84"/>
      <c r="EAU21" s="84"/>
      <c r="EAV21" s="84"/>
      <c r="EAW21" s="84"/>
      <c r="EAX21" s="84"/>
      <c r="EAY21" s="84"/>
      <c r="EAZ21" s="84"/>
      <c r="EBA21" s="84"/>
      <c r="EBB21" s="84"/>
      <c r="EBC21" s="84"/>
      <c r="EBD21" s="84"/>
      <c r="EBE21" s="84"/>
      <c r="EBF21" s="84"/>
      <c r="EBG21" s="84"/>
      <c r="EBH21" s="84"/>
      <c r="EBI21" s="84"/>
      <c r="EBJ21" s="84"/>
      <c r="EBK21" s="84"/>
      <c r="EBL21" s="84"/>
      <c r="EBM21" s="84"/>
      <c r="EBN21" s="84"/>
      <c r="EBO21" s="84"/>
      <c r="EBP21" s="84"/>
      <c r="EBQ21" s="84"/>
      <c r="EBR21" s="84"/>
      <c r="EBS21" s="84"/>
      <c r="EBT21" s="84"/>
      <c r="EBU21" s="84"/>
      <c r="EBV21" s="84"/>
      <c r="EBW21" s="84"/>
      <c r="EBX21" s="84"/>
      <c r="EBY21" s="84"/>
      <c r="EBZ21" s="84"/>
      <c r="ECA21" s="84"/>
      <c r="ECB21" s="84"/>
      <c r="ECC21" s="84"/>
      <c r="ECD21" s="84"/>
      <c r="ECE21" s="84"/>
      <c r="ECF21" s="84"/>
      <c r="ECG21" s="84"/>
      <c r="ECH21" s="84"/>
      <c r="ECI21" s="84"/>
      <c r="ECJ21" s="84"/>
      <c r="ECK21" s="84"/>
      <c r="ECL21" s="84"/>
      <c r="ECM21" s="84"/>
      <c r="ECN21" s="84"/>
      <c r="ECO21" s="84"/>
      <c r="ECP21" s="84"/>
      <c r="ECQ21" s="84"/>
      <c r="ECR21" s="84"/>
      <c r="ECS21" s="84"/>
      <c r="ECT21" s="84"/>
      <c r="ECU21" s="84"/>
      <c r="ECV21" s="84"/>
      <c r="ECW21" s="84"/>
      <c r="ECX21" s="84"/>
      <c r="ECY21" s="84"/>
      <c r="ECZ21" s="84"/>
      <c r="EDA21" s="84"/>
      <c r="EDB21" s="84"/>
      <c r="EDC21" s="84"/>
      <c r="EDD21" s="84"/>
      <c r="EDE21" s="84"/>
      <c r="EDF21" s="84"/>
      <c r="EDG21" s="84"/>
      <c r="EDH21" s="84"/>
      <c r="EDI21" s="84"/>
      <c r="EDJ21" s="84"/>
      <c r="EDK21" s="84"/>
      <c r="EDL21" s="84"/>
      <c r="EDM21" s="84"/>
      <c r="EDN21" s="84"/>
      <c r="EDO21" s="84"/>
      <c r="EDP21" s="84"/>
      <c r="EDQ21" s="84"/>
      <c r="EDR21" s="84"/>
      <c r="EDS21" s="84"/>
      <c r="EDT21" s="84"/>
      <c r="EDU21" s="84"/>
      <c r="EDV21" s="84"/>
      <c r="EDW21" s="84"/>
      <c r="EDX21" s="84"/>
      <c r="EDY21" s="84"/>
      <c r="EDZ21" s="84"/>
      <c r="EEA21" s="84"/>
      <c r="EEB21" s="84"/>
      <c r="EEC21" s="84"/>
      <c r="EED21" s="84"/>
      <c r="EEE21" s="84"/>
      <c r="EEF21" s="84"/>
      <c r="EEG21" s="84"/>
      <c r="EEH21" s="84"/>
      <c r="EEI21" s="84"/>
      <c r="EEJ21" s="84"/>
      <c r="EEK21" s="84"/>
      <c r="EEL21" s="84"/>
      <c r="EEM21" s="84"/>
      <c r="EEN21" s="84"/>
      <c r="EEO21" s="84"/>
      <c r="EEP21" s="84"/>
      <c r="EEQ21" s="84"/>
      <c r="EER21" s="84"/>
      <c r="EES21" s="84"/>
      <c r="EET21" s="84"/>
      <c r="EEU21" s="84"/>
      <c r="EEV21" s="84"/>
      <c r="EEW21" s="84"/>
      <c r="EEX21" s="84"/>
      <c r="EEY21" s="84"/>
      <c r="EEZ21" s="84"/>
      <c r="EFA21" s="84"/>
      <c r="EFB21" s="84"/>
      <c r="EFC21" s="84"/>
      <c r="EFD21" s="84"/>
      <c r="EFE21" s="84"/>
      <c r="EFF21" s="84"/>
      <c r="EFG21" s="84"/>
      <c r="EFH21" s="84"/>
      <c r="EFI21" s="84"/>
      <c r="EFJ21" s="84"/>
      <c r="EFK21" s="84"/>
      <c r="EFL21" s="84"/>
      <c r="EFM21" s="84"/>
      <c r="EFN21" s="84"/>
      <c r="EFO21" s="84"/>
      <c r="EFP21" s="84"/>
      <c r="EFQ21" s="84"/>
      <c r="EFR21" s="84"/>
      <c r="EFS21" s="84"/>
      <c r="EFT21" s="84"/>
      <c r="EFU21" s="84"/>
      <c r="EFV21" s="84"/>
      <c r="EFW21" s="84"/>
      <c r="EFX21" s="84"/>
      <c r="EFY21" s="84"/>
      <c r="EFZ21" s="84"/>
      <c r="EGA21" s="84"/>
      <c r="EGB21" s="84"/>
      <c r="EGC21" s="84"/>
      <c r="EGD21" s="84"/>
      <c r="EGE21" s="84"/>
      <c r="EGF21" s="84"/>
      <c r="EGG21" s="84"/>
      <c r="EGH21" s="84"/>
      <c r="EGI21" s="84"/>
      <c r="EGJ21" s="84"/>
      <c r="EGK21" s="84"/>
      <c r="EGL21" s="84"/>
      <c r="EGM21" s="84"/>
      <c r="EGN21" s="84"/>
      <c r="EGO21" s="84"/>
      <c r="EGP21" s="84"/>
      <c r="EGQ21" s="84"/>
      <c r="EGR21" s="84"/>
      <c r="EGS21" s="84"/>
      <c r="EGT21" s="84"/>
      <c r="EGU21" s="84"/>
      <c r="EGV21" s="84"/>
      <c r="EGW21" s="84"/>
      <c r="EGX21" s="84"/>
      <c r="EGY21" s="84"/>
      <c r="EGZ21" s="84"/>
      <c r="EHA21" s="84"/>
      <c r="EHB21" s="84"/>
      <c r="EHC21" s="84"/>
      <c r="EHD21" s="84"/>
      <c r="EHE21" s="84"/>
      <c r="EHF21" s="84"/>
      <c r="EHG21" s="84"/>
      <c r="EHH21" s="84"/>
      <c r="EHI21" s="84"/>
      <c r="EHJ21" s="84"/>
      <c r="EHK21" s="84"/>
      <c r="EHL21" s="84"/>
      <c r="EHM21" s="84"/>
      <c r="EHN21" s="84"/>
      <c r="EHO21" s="84"/>
      <c r="EHP21" s="84"/>
      <c r="EHQ21" s="84"/>
      <c r="EHR21" s="84"/>
      <c r="EHS21" s="84"/>
      <c r="EHT21" s="84"/>
      <c r="EHU21" s="84"/>
      <c r="EHV21" s="84"/>
      <c r="EHW21" s="84"/>
      <c r="EHX21" s="84"/>
      <c r="EHY21" s="84"/>
      <c r="EHZ21" s="84"/>
      <c r="EIA21" s="84"/>
      <c r="EIB21" s="84"/>
      <c r="EIC21" s="84"/>
      <c r="EID21" s="84"/>
      <c r="EIE21" s="84"/>
      <c r="EIF21" s="84"/>
      <c r="EIG21" s="84"/>
      <c r="EIH21" s="84"/>
      <c r="EII21" s="84"/>
      <c r="EIJ21" s="84"/>
      <c r="EIK21" s="84"/>
      <c r="EIL21" s="84"/>
      <c r="EIM21" s="84"/>
      <c r="EIN21" s="84"/>
      <c r="EIO21" s="84"/>
      <c r="EIP21" s="84"/>
      <c r="EIQ21" s="84"/>
      <c r="EIR21" s="84"/>
      <c r="EIS21" s="84"/>
      <c r="EIT21" s="84"/>
      <c r="EIU21" s="84"/>
      <c r="EIV21" s="84"/>
      <c r="EIW21" s="84"/>
      <c r="EIX21" s="84"/>
      <c r="EIY21" s="84"/>
      <c r="EIZ21" s="84"/>
      <c r="EJA21" s="84"/>
      <c r="EJB21" s="84"/>
      <c r="EJC21" s="84"/>
      <c r="EJD21" s="84"/>
      <c r="EJE21" s="84"/>
      <c r="EJF21" s="84"/>
      <c r="EJG21" s="84"/>
      <c r="EJH21" s="84"/>
      <c r="EJI21" s="84"/>
      <c r="EJJ21" s="84"/>
      <c r="EJK21" s="84"/>
      <c r="EJL21" s="84"/>
      <c r="EJM21" s="84"/>
      <c r="EJN21" s="84"/>
      <c r="EJO21" s="84"/>
      <c r="EJP21" s="84"/>
      <c r="EJQ21" s="84"/>
      <c r="EJR21" s="84"/>
      <c r="EJS21" s="84"/>
      <c r="EJT21" s="84"/>
      <c r="EJU21" s="84"/>
      <c r="EJV21" s="84"/>
      <c r="EJW21" s="84"/>
      <c r="EJX21" s="84"/>
      <c r="EJY21" s="84"/>
      <c r="EJZ21" s="84"/>
      <c r="EKA21" s="84"/>
      <c r="EKB21" s="84"/>
      <c r="EKC21" s="84"/>
      <c r="EKD21" s="84"/>
      <c r="EKE21" s="84"/>
      <c r="EKF21" s="84"/>
      <c r="EKG21" s="84"/>
      <c r="EKH21" s="84"/>
      <c r="EKI21" s="84"/>
      <c r="EKJ21" s="84"/>
      <c r="EKK21" s="84"/>
      <c r="EKL21" s="84"/>
      <c r="EKM21" s="84"/>
      <c r="EKN21" s="84"/>
      <c r="EKO21" s="84"/>
      <c r="EKP21" s="84"/>
      <c r="EKQ21" s="84"/>
      <c r="EKR21" s="84"/>
      <c r="EKS21" s="84"/>
      <c r="EKT21" s="84"/>
      <c r="EKU21" s="84"/>
      <c r="EKV21" s="84"/>
      <c r="EKW21" s="84"/>
      <c r="EKX21" s="84"/>
      <c r="EKY21" s="84"/>
      <c r="EKZ21" s="84"/>
      <c r="ELA21" s="84"/>
      <c r="ELB21" s="84"/>
      <c r="ELC21" s="84"/>
      <c r="ELD21" s="84"/>
      <c r="ELE21" s="84"/>
      <c r="ELF21" s="84"/>
      <c r="ELG21" s="84"/>
      <c r="ELH21" s="84"/>
      <c r="ELI21" s="84"/>
      <c r="ELJ21" s="84"/>
      <c r="ELK21" s="84"/>
      <c r="ELL21" s="84"/>
      <c r="ELM21" s="84"/>
      <c r="ELN21" s="84"/>
      <c r="ELO21" s="84"/>
      <c r="ELP21" s="84"/>
      <c r="ELQ21" s="84"/>
      <c r="ELR21" s="84"/>
      <c r="ELS21" s="84"/>
      <c r="ELT21" s="84"/>
      <c r="ELU21" s="84"/>
      <c r="ELV21" s="84"/>
      <c r="ELW21" s="84"/>
      <c r="ELX21" s="84"/>
      <c r="ELY21" s="84"/>
      <c r="ELZ21" s="84"/>
      <c r="EMA21" s="84"/>
      <c r="EMB21" s="84"/>
      <c r="EMC21" s="84"/>
      <c r="EMD21" s="84"/>
      <c r="EME21" s="84"/>
      <c r="EMF21" s="84"/>
      <c r="EMG21" s="84"/>
      <c r="EMH21" s="84"/>
      <c r="EMI21" s="84"/>
      <c r="EMJ21" s="84"/>
      <c r="EMK21" s="84"/>
      <c r="EML21" s="84"/>
      <c r="EMM21" s="84"/>
      <c r="EMN21" s="84"/>
      <c r="EMO21" s="84"/>
      <c r="EMP21" s="84"/>
      <c r="EMQ21" s="84"/>
      <c r="EMR21" s="84"/>
      <c r="EMS21" s="84"/>
      <c r="EMT21" s="84"/>
      <c r="EMU21" s="84"/>
      <c r="EMV21" s="84"/>
      <c r="EMW21" s="84"/>
      <c r="EMX21" s="84"/>
      <c r="EMY21" s="84"/>
      <c r="EMZ21" s="84"/>
      <c r="ENA21" s="84"/>
      <c r="ENB21" s="84"/>
      <c r="ENC21" s="84"/>
      <c r="END21" s="84"/>
      <c r="ENE21" s="84"/>
      <c r="ENF21" s="84"/>
      <c r="ENG21" s="84"/>
      <c r="ENH21" s="84"/>
      <c r="ENI21" s="84"/>
      <c r="ENJ21" s="84"/>
      <c r="ENK21" s="84"/>
      <c r="ENL21" s="84"/>
      <c r="ENM21" s="84"/>
      <c r="ENN21" s="84"/>
      <c r="ENO21" s="84"/>
      <c r="ENP21" s="84"/>
      <c r="ENQ21" s="84"/>
      <c r="ENR21" s="84"/>
      <c r="ENS21" s="84"/>
      <c r="ENT21" s="84"/>
      <c r="ENU21" s="84"/>
      <c r="ENV21" s="84"/>
      <c r="ENW21" s="84"/>
      <c r="ENX21" s="84"/>
      <c r="ENY21" s="84"/>
      <c r="ENZ21" s="84"/>
      <c r="EOA21" s="84"/>
      <c r="EOB21" s="84"/>
      <c r="EOC21" s="84"/>
      <c r="EOD21" s="84"/>
      <c r="EOE21" s="84"/>
      <c r="EOF21" s="84"/>
      <c r="EOG21" s="84"/>
      <c r="EOH21" s="84"/>
      <c r="EOI21" s="84"/>
      <c r="EOJ21" s="84"/>
      <c r="EOK21" s="84"/>
      <c r="EOL21" s="84"/>
      <c r="EOM21" s="84"/>
      <c r="EON21" s="84"/>
      <c r="EOO21" s="84"/>
      <c r="EOP21" s="84"/>
      <c r="EOQ21" s="84"/>
      <c r="EOR21" s="84"/>
      <c r="EOS21" s="84"/>
      <c r="EOT21" s="84"/>
      <c r="EOU21" s="84"/>
      <c r="EOV21" s="84"/>
      <c r="EOW21" s="84"/>
      <c r="EOX21" s="84"/>
      <c r="EOY21" s="84"/>
      <c r="EOZ21" s="84"/>
      <c r="EPA21" s="84"/>
      <c r="EPB21" s="84"/>
      <c r="EPC21" s="84"/>
      <c r="EPD21" s="84"/>
      <c r="EPE21" s="84"/>
      <c r="EPF21" s="84"/>
      <c r="EPG21" s="84"/>
      <c r="EPH21" s="84"/>
      <c r="EPI21" s="84"/>
      <c r="EPJ21" s="84"/>
      <c r="EPK21" s="84"/>
      <c r="EPL21" s="84"/>
      <c r="EPM21" s="84"/>
      <c r="EPN21" s="84"/>
      <c r="EPO21" s="84"/>
      <c r="EPP21" s="84"/>
      <c r="EPQ21" s="84"/>
      <c r="EPR21" s="84"/>
      <c r="EPS21" s="84"/>
      <c r="EPT21" s="84"/>
      <c r="EPU21" s="84"/>
      <c r="EPV21" s="84"/>
      <c r="EPW21" s="84"/>
      <c r="EPX21" s="84"/>
      <c r="EPY21" s="84"/>
      <c r="EPZ21" s="84"/>
      <c r="EQA21" s="84"/>
      <c r="EQB21" s="84"/>
      <c r="EQC21" s="84"/>
      <c r="EQD21" s="84"/>
      <c r="EQE21" s="84"/>
      <c r="EQF21" s="84"/>
      <c r="EQG21" s="84"/>
      <c r="EQH21" s="84"/>
      <c r="EQI21" s="84"/>
      <c r="EQJ21" s="84"/>
      <c r="EQK21" s="84"/>
      <c r="EQL21" s="84"/>
      <c r="EQM21" s="84"/>
      <c r="EQN21" s="84"/>
      <c r="EQO21" s="84"/>
      <c r="EQP21" s="84"/>
      <c r="EQQ21" s="84"/>
      <c r="EQR21" s="84"/>
      <c r="EQS21" s="84"/>
      <c r="EQT21" s="84"/>
      <c r="EQU21" s="84"/>
      <c r="EQV21" s="84"/>
      <c r="EQW21" s="84"/>
      <c r="EQX21" s="84"/>
      <c r="EQY21" s="84"/>
      <c r="EQZ21" s="84"/>
      <c r="ERA21" s="84"/>
      <c r="ERB21" s="84"/>
      <c r="ERC21" s="84"/>
      <c r="ERD21" s="84"/>
      <c r="ERE21" s="84"/>
      <c r="ERF21" s="84"/>
      <c r="ERG21" s="84"/>
      <c r="ERH21" s="84"/>
      <c r="ERI21" s="84"/>
      <c r="ERJ21" s="84"/>
      <c r="ERK21" s="84"/>
      <c r="ERL21" s="84"/>
      <c r="ERM21" s="84"/>
      <c r="ERN21" s="84"/>
      <c r="ERO21" s="84"/>
      <c r="ERP21" s="84"/>
      <c r="ERQ21" s="84"/>
      <c r="ERR21" s="84"/>
      <c r="ERS21" s="84"/>
      <c r="ERT21" s="84"/>
      <c r="ERU21" s="84"/>
      <c r="ERV21" s="84"/>
      <c r="ERW21" s="84"/>
      <c r="ERX21" s="84"/>
      <c r="ERY21" s="84"/>
      <c r="ERZ21" s="84"/>
      <c r="ESA21" s="84"/>
      <c r="ESB21" s="84"/>
      <c r="ESC21" s="84"/>
      <c r="ESD21" s="84"/>
      <c r="ESE21" s="84"/>
      <c r="ESF21" s="84"/>
      <c r="ESG21" s="84"/>
      <c r="ESH21" s="84"/>
      <c r="ESI21" s="84"/>
      <c r="ESJ21" s="84"/>
      <c r="ESK21" s="84"/>
      <c r="ESL21" s="84"/>
      <c r="ESM21" s="84"/>
      <c r="ESN21" s="84"/>
      <c r="ESO21" s="84"/>
      <c r="ESP21" s="84"/>
      <c r="ESQ21" s="84"/>
      <c r="ESR21" s="84"/>
      <c r="ESS21" s="84"/>
      <c r="EST21" s="84"/>
      <c r="ESU21" s="84"/>
      <c r="ESV21" s="84"/>
      <c r="ESW21" s="84"/>
      <c r="ESX21" s="84"/>
      <c r="ESY21" s="84"/>
      <c r="ESZ21" s="84"/>
      <c r="ETA21" s="84"/>
      <c r="ETB21" s="84"/>
      <c r="ETC21" s="84"/>
      <c r="ETD21" s="84"/>
      <c r="ETE21" s="84"/>
      <c r="ETF21" s="84"/>
      <c r="ETG21" s="84"/>
      <c r="ETH21" s="84"/>
      <c r="ETI21" s="84"/>
      <c r="ETJ21" s="84"/>
      <c r="ETK21" s="84"/>
      <c r="ETL21" s="84"/>
      <c r="ETM21" s="84"/>
      <c r="ETN21" s="84"/>
      <c r="ETO21" s="84"/>
      <c r="ETP21" s="84"/>
      <c r="ETQ21" s="84"/>
      <c r="ETR21" s="84"/>
      <c r="ETS21" s="84"/>
      <c r="ETT21" s="84"/>
      <c r="ETU21" s="84"/>
      <c r="ETV21" s="84"/>
      <c r="ETW21" s="84"/>
      <c r="ETX21" s="84"/>
      <c r="ETY21" s="84"/>
      <c r="ETZ21" s="84"/>
      <c r="EUA21" s="84"/>
      <c r="EUB21" s="84"/>
      <c r="EUC21" s="84"/>
      <c r="EUD21" s="84"/>
      <c r="EUE21" s="84"/>
      <c r="EUF21" s="84"/>
      <c r="EUG21" s="84"/>
      <c r="EUH21" s="84"/>
      <c r="EUI21" s="84"/>
      <c r="EUJ21" s="84"/>
      <c r="EUK21" s="84"/>
      <c r="EUL21" s="84"/>
      <c r="EUM21" s="84"/>
      <c r="EUN21" s="84"/>
      <c r="EUO21" s="84"/>
      <c r="EUP21" s="84"/>
      <c r="EUQ21" s="84"/>
      <c r="EUR21" s="84"/>
      <c r="EUS21" s="84"/>
      <c r="EUT21" s="84"/>
      <c r="EUU21" s="84"/>
      <c r="EUV21" s="84"/>
      <c r="EUW21" s="84"/>
      <c r="EUX21" s="84"/>
      <c r="EUY21" s="84"/>
      <c r="EUZ21" s="84"/>
      <c r="EVA21" s="84"/>
      <c r="EVB21" s="84"/>
      <c r="EVC21" s="84"/>
      <c r="EVD21" s="84"/>
      <c r="EVE21" s="84"/>
      <c r="EVF21" s="84"/>
      <c r="EVG21" s="84"/>
      <c r="EVH21" s="84"/>
      <c r="EVI21" s="84"/>
      <c r="EVJ21" s="84"/>
      <c r="EVK21" s="84"/>
      <c r="EVL21" s="84"/>
      <c r="EVM21" s="84"/>
      <c r="EVN21" s="84"/>
      <c r="EVO21" s="84"/>
      <c r="EVP21" s="84"/>
      <c r="EVQ21" s="84"/>
      <c r="EVR21" s="84"/>
      <c r="EVS21" s="84"/>
      <c r="EVT21" s="84"/>
      <c r="EVU21" s="84"/>
      <c r="EVV21" s="84"/>
      <c r="EVW21" s="84"/>
      <c r="EVX21" s="84"/>
      <c r="EVY21" s="84"/>
      <c r="EVZ21" s="84"/>
      <c r="EWA21" s="84"/>
      <c r="EWB21" s="84"/>
      <c r="EWC21" s="84"/>
      <c r="EWD21" s="84"/>
      <c r="EWE21" s="84"/>
      <c r="EWF21" s="84"/>
      <c r="EWG21" s="84"/>
      <c r="EWH21" s="84"/>
      <c r="EWI21" s="84"/>
      <c r="EWJ21" s="84"/>
      <c r="EWK21" s="84"/>
      <c r="EWL21" s="84"/>
      <c r="EWM21" s="84"/>
      <c r="EWN21" s="84"/>
      <c r="EWO21" s="84"/>
      <c r="EWP21" s="84"/>
      <c r="EWQ21" s="84"/>
      <c r="EWR21" s="84"/>
      <c r="EWS21" s="84"/>
      <c r="EWT21" s="84"/>
      <c r="EWU21" s="84"/>
      <c r="EWV21" s="84"/>
      <c r="EWW21" s="84"/>
      <c r="EWX21" s="84"/>
      <c r="EWY21" s="84"/>
      <c r="EWZ21" s="84"/>
      <c r="EXA21" s="84"/>
      <c r="EXB21" s="84"/>
      <c r="EXC21" s="84"/>
      <c r="EXD21" s="84"/>
      <c r="EXE21" s="84"/>
      <c r="EXF21" s="84"/>
      <c r="EXG21" s="84"/>
      <c r="EXH21" s="84"/>
      <c r="EXI21" s="84"/>
      <c r="EXJ21" s="84"/>
      <c r="EXK21" s="84"/>
      <c r="EXL21" s="84"/>
      <c r="EXM21" s="84"/>
      <c r="EXN21" s="84"/>
      <c r="EXO21" s="84"/>
      <c r="EXP21" s="84"/>
      <c r="EXQ21" s="84"/>
      <c r="EXR21" s="84"/>
      <c r="EXS21" s="84"/>
      <c r="EXT21" s="84"/>
      <c r="EXU21" s="84"/>
      <c r="EXV21" s="84"/>
      <c r="EXW21" s="84"/>
      <c r="EXX21" s="84"/>
      <c r="EXY21" s="84"/>
      <c r="EXZ21" s="84"/>
      <c r="EYA21" s="84"/>
      <c r="EYB21" s="84"/>
      <c r="EYC21" s="84"/>
      <c r="EYD21" s="84"/>
      <c r="EYE21" s="84"/>
      <c r="EYF21" s="84"/>
      <c r="EYG21" s="84"/>
      <c r="EYH21" s="84"/>
      <c r="EYI21" s="84"/>
      <c r="EYJ21" s="84"/>
      <c r="EYK21" s="84"/>
      <c r="EYL21" s="84"/>
      <c r="EYM21" s="84"/>
      <c r="EYN21" s="84"/>
      <c r="EYO21" s="84"/>
      <c r="EYP21" s="84"/>
      <c r="EYQ21" s="84"/>
      <c r="EYR21" s="84"/>
      <c r="EYS21" s="84"/>
      <c r="EYT21" s="84"/>
      <c r="EYU21" s="84"/>
      <c r="EYV21" s="84"/>
      <c r="EYW21" s="84"/>
      <c r="EYX21" s="84"/>
      <c r="EYY21" s="84"/>
      <c r="EYZ21" s="84"/>
      <c r="EZA21" s="84"/>
      <c r="EZB21" s="84"/>
      <c r="EZC21" s="84"/>
      <c r="EZD21" s="84"/>
      <c r="EZE21" s="84"/>
      <c r="EZF21" s="84"/>
      <c r="EZG21" s="84"/>
      <c r="EZH21" s="84"/>
      <c r="EZI21" s="84"/>
      <c r="EZJ21" s="84"/>
      <c r="EZK21" s="84"/>
      <c r="EZL21" s="84"/>
      <c r="EZM21" s="84"/>
      <c r="EZN21" s="84"/>
      <c r="EZO21" s="84"/>
      <c r="EZP21" s="84"/>
      <c r="EZQ21" s="84"/>
      <c r="EZR21" s="84"/>
      <c r="EZS21" s="84"/>
      <c r="EZT21" s="84"/>
      <c r="EZU21" s="84"/>
      <c r="EZV21" s="84"/>
      <c r="EZW21" s="84"/>
      <c r="EZX21" s="84"/>
      <c r="EZY21" s="84"/>
      <c r="EZZ21" s="84"/>
      <c r="FAA21" s="84"/>
      <c r="FAB21" s="84"/>
      <c r="FAC21" s="84"/>
      <c r="FAD21" s="84"/>
      <c r="FAE21" s="84"/>
      <c r="FAF21" s="84"/>
      <c r="FAG21" s="84"/>
      <c r="FAH21" s="84"/>
      <c r="FAI21" s="84"/>
      <c r="FAJ21" s="84"/>
      <c r="FAK21" s="84"/>
      <c r="FAL21" s="84"/>
      <c r="FAM21" s="84"/>
      <c r="FAN21" s="84"/>
      <c r="FAO21" s="84"/>
      <c r="FAP21" s="84"/>
      <c r="FAQ21" s="84"/>
      <c r="FAR21" s="84"/>
      <c r="FAS21" s="84"/>
      <c r="FAT21" s="84"/>
      <c r="FAU21" s="84"/>
      <c r="FAV21" s="84"/>
      <c r="FAW21" s="84"/>
      <c r="FAX21" s="84"/>
      <c r="FAY21" s="84"/>
      <c r="FAZ21" s="84"/>
      <c r="FBA21" s="84"/>
      <c r="FBB21" s="84"/>
      <c r="FBC21" s="84"/>
      <c r="FBD21" s="84"/>
      <c r="FBE21" s="84"/>
      <c r="FBF21" s="84"/>
      <c r="FBG21" s="84"/>
      <c r="FBH21" s="84"/>
      <c r="FBI21" s="84"/>
      <c r="FBJ21" s="84"/>
      <c r="FBK21" s="84"/>
      <c r="FBL21" s="84"/>
      <c r="FBM21" s="84"/>
      <c r="FBN21" s="84"/>
      <c r="FBO21" s="84"/>
      <c r="FBP21" s="84"/>
      <c r="FBQ21" s="84"/>
      <c r="FBR21" s="84"/>
      <c r="FBS21" s="84"/>
      <c r="FBT21" s="84"/>
      <c r="FBU21" s="84"/>
      <c r="FBV21" s="84"/>
      <c r="FBW21" s="84"/>
      <c r="FBX21" s="84"/>
      <c r="FBY21" s="84"/>
      <c r="FBZ21" s="84"/>
      <c r="FCA21" s="84"/>
      <c r="FCB21" s="84"/>
      <c r="FCC21" s="84"/>
      <c r="FCD21" s="84"/>
      <c r="FCE21" s="84"/>
      <c r="FCF21" s="84"/>
      <c r="FCG21" s="84"/>
      <c r="FCH21" s="84"/>
      <c r="FCI21" s="84"/>
      <c r="FCJ21" s="84"/>
      <c r="FCK21" s="84"/>
      <c r="FCL21" s="84"/>
      <c r="FCM21" s="84"/>
      <c r="FCN21" s="84"/>
      <c r="FCO21" s="84"/>
      <c r="FCP21" s="84"/>
      <c r="FCQ21" s="84"/>
      <c r="FCR21" s="84"/>
      <c r="FCS21" s="84"/>
      <c r="FCT21" s="84"/>
      <c r="FCU21" s="84"/>
      <c r="FCV21" s="84"/>
      <c r="FCW21" s="84"/>
      <c r="FCX21" s="84"/>
      <c r="FCY21" s="84"/>
      <c r="FCZ21" s="84"/>
      <c r="FDA21" s="84"/>
      <c r="FDB21" s="84"/>
      <c r="FDC21" s="84"/>
      <c r="FDD21" s="84"/>
      <c r="FDE21" s="84"/>
      <c r="FDF21" s="84"/>
      <c r="FDG21" s="84"/>
      <c r="FDH21" s="84"/>
      <c r="FDI21" s="84"/>
      <c r="FDJ21" s="84"/>
      <c r="FDK21" s="84"/>
      <c r="FDL21" s="84"/>
      <c r="FDM21" s="84"/>
      <c r="FDN21" s="84"/>
      <c r="FDO21" s="84"/>
      <c r="FDP21" s="84"/>
      <c r="FDQ21" s="84"/>
      <c r="FDR21" s="84"/>
      <c r="FDS21" s="84"/>
      <c r="FDT21" s="84"/>
      <c r="FDU21" s="84"/>
      <c r="FDV21" s="84"/>
      <c r="FDW21" s="84"/>
      <c r="FDX21" s="84"/>
      <c r="FDY21" s="84"/>
      <c r="FDZ21" s="84"/>
      <c r="FEA21" s="84"/>
      <c r="FEB21" s="84"/>
      <c r="FEC21" s="84"/>
      <c r="FED21" s="84"/>
      <c r="FEE21" s="84"/>
      <c r="FEF21" s="84"/>
      <c r="FEG21" s="84"/>
      <c r="FEH21" s="84"/>
      <c r="FEI21" s="84"/>
      <c r="FEJ21" s="84"/>
      <c r="FEK21" s="84"/>
      <c r="FEL21" s="84"/>
      <c r="FEM21" s="84"/>
      <c r="FEN21" s="84"/>
      <c r="FEO21" s="84"/>
      <c r="FEP21" s="84"/>
      <c r="FEQ21" s="84"/>
      <c r="FER21" s="84"/>
      <c r="FES21" s="84"/>
      <c r="FET21" s="84"/>
      <c r="FEU21" s="84"/>
      <c r="FEV21" s="84"/>
      <c r="FEW21" s="84"/>
      <c r="FEX21" s="84"/>
      <c r="FEY21" s="84"/>
      <c r="FEZ21" s="84"/>
      <c r="FFA21" s="84"/>
      <c r="FFB21" s="84"/>
      <c r="FFC21" s="84"/>
      <c r="FFD21" s="84"/>
      <c r="FFE21" s="84"/>
      <c r="FFF21" s="84"/>
      <c r="FFG21" s="84"/>
      <c r="FFH21" s="84"/>
      <c r="FFI21" s="84"/>
      <c r="FFJ21" s="84"/>
      <c r="FFK21" s="84"/>
      <c r="FFL21" s="84"/>
      <c r="FFM21" s="84"/>
      <c r="FFN21" s="84"/>
      <c r="FFO21" s="84"/>
      <c r="FFP21" s="84"/>
      <c r="FFQ21" s="84"/>
      <c r="FFR21" s="84"/>
      <c r="FFS21" s="84"/>
      <c r="FFT21" s="84"/>
      <c r="FFU21" s="84"/>
      <c r="FFV21" s="84"/>
      <c r="FFW21" s="84"/>
      <c r="FFX21" s="84"/>
      <c r="FFY21" s="84"/>
      <c r="FFZ21" s="84"/>
      <c r="FGA21" s="84"/>
      <c r="FGB21" s="84"/>
      <c r="FGC21" s="84"/>
      <c r="FGD21" s="84"/>
      <c r="FGE21" s="84"/>
      <c r="FGF21" s="84"/>
      <c r="FGG21" s="84"/>
      <c r="FGH21" s="84"/>
      <c r="FGI21" s="84"/>
      <c r="FGJ21" s="84"/>
      <c r="FGK21" s="84"/>
      <c r="FGL21" s="84"/>
      <c r="FGM21" s="84"/>
      <c r="FGN21" s="84"/>
      <c r="FGO21" s="84"/>
      <c r="FGP21" s="84"/>
      <c r="FGQ21" s="84"/>
      <c r="FGR21" s="84"/>
      <c r="FGS21" s="84"/>
      <c r="FGT21" s="84"/>
      <c r="FGU21" s="84"/>
      <c r="FGV21" s="84"/>
      <c r="FGW21" s="84"/>
      <c r="FGX21" s="84"/>
      <c r="FGY21" s="84"/>
      <c r="FGZ21" s="84"/>
      <c r="FHA21" s="84"/>
      <c r="FHB21" s="84"/>
      <c r="FHC21" s="84"/>
      <c r="FHD21" s="84"/>
      <c r="FHE21" s="84"/>
      <c r="FHF21" s="84"/>
      <c r="FHG21" s="84"/>
      <c r="FHH21" s="84"/>
      <c r="FHI21" s="84"/>
      <c r="FHJ21" s="84"/>
      <c r="FHK21" s="84"/>
      <c r="FHL21" s="84"/>
      <c r="FHM21" s="84"/>
      <c r="FHN21" s="84"/>
      <c r="FHO21" s="84"/>
      <c r="FHP21" s="84"/>
      <c r="FHQ21" s="84"/>
      <c r="FHR21" s="84"/>
      <c r="FHS21" s="84"/>
      <c r="FHT21" s="84"/>
      <c r="FHU21" s="84"/>
      <c r="FHV21" s="84"/>
      <c r="FHW21" s="84"/>
      <c r="FHX21" s="84"/>
      <c r="FHY21" s="84"/>
      <c r="FHZ21" s="84"/>
      <c r="FIA21" s="84"/>
      <c r="FIB21" s="84"/>
      <c r="FIC21" s="84"/>
      <c r="FID21" s="84"/>
      <c r="FIE21" s="84"/>
      <c r="FIF21" s="84"/>
      <c r="FIG21" s="84"/>
      <c r="FIH21" s="84"/>
      <c r="FII21" s="84"/>
      <c r="FIJ21" s="84"/>
      <c r="FIK21" s="84"/>
      <c r="FIL21" s="84"/>
      <c r="FIM21" s="84"/>
      <c r="FIN21" s="84"/>
      <c r="FIO21" s="84"/>
      <c r="FIP21" s="84"/>
      <c r="FIQ21" s="84"/>
      <c r="FIR21" s="84"/>
      <c r="FIS21" s="84"/>
      <c r="FIT21" s="84"/>
      <c r="FIU21" s="84"/>
      <c r="FIV21" s="84"/>
      <c r="FIW21" s="84"/>
      <c r="FIX21" s="84"/>
      <c r="FIY21" s="84"/>
      <c r="FIZ21" s="84"/>
      <c r="FJA21" s="84"/>
      <c r="FJB21" s="84"/>
      <c r="FJC21" s="84"/>
      <c r="FJD21" s="84"/>
      <c r="FJE21" s="84"/>
      <c r="FJF21" s="84"/>
      <c r="FJG21" s="84"/>
      <c r="FJH21" s="84"/>
      <c r="FJI21" s="84"/>
      <c r="FJJ21" s="84"/>
      <c r="FJK21" s="84"/>
      <c r="FJL21" s="84"/>
      <c r="FJM21" s="84"/>
      <c r="FJN21" s="84"/>
      <c r="FJO21" s="84"/>
      <c r="FJP21" s="84"/>
      <c r="FJQ21" s="84"/>
      <c r="FJR21" s="84"/>
      <c r="FJS21" s="84"/>
      <c r="FJT21" s="84"/>
      <c r="FJU21" s="84"/>
      <c r="FJV21" s="84"/>
      <c r="FJW21" s="84"/>
      <c r="FJX21" s="84"/>
      <c r="FJY21" s="84"/>
      <c r="FJZ21" s="84"/>
      <c r="FKA21" s="84"/>
      <c r="FKB21" s="84"/>
      <c r="FKC21" s="84"/>
      <c r="FKD21" s="84"/>
      <c r="FKE21" s="84"/>
      <c r="FKF21" s="84"/>
      <c r="FKG21" s="84"/>
      <c r="FKH21" s="84"/>
      <c r="FKI21" s="84"/>
      <c r="FKJ21" s="84"/>
      <c r="FKK21" s="84"/>
      <c r="FKL21" s="84"/>
      <c r="FKM21" s="84"/>
      <c r="FKN21" s="84"/>
      <c r="FKO21" s="84"/>
      <c r="FKP21" s="84"/>
      <c r="FKQ21" s="84"/>
      <c r="FKR21" s="84"/>
      <c r="FKS21" s="84"/>
      <c r="FKT21" s="84"/>
      <c r="FKU21" s="84"/>
      <c r="FKV21" s="84"/>
      <c r="FKW21" s="84"/>
      <c r="FKX21" s="84"/>
      <c r="FKY21" s="84"/>
      <c r="FKZ21" s="84"/>
      <c r="FLA21" s="84"/>
      <c r="FLB21" s="84"/>
      <c r="FLC21" s="84"/>
      <c r="FLD21" s="84"/>
      <c r="FLE21" s="84"/>
      <c r="FLF21" s="84"/>
      <c r="FLG21" s="84"/>
      <c r="FLH21" s="84"/>
      <c r="FLI21" s="84"/>
      <c r="FLJ21" s="84"/>
      <c r="FLK21" s="84"/>
      <c r="FLL21" s="84"/>
      <c r="FLM21" s="84"/>
      <c r="FLN21" s="84"/>
      <c r="FLO21" s="84"/>
      <c r="FLP21" s="84"/>
      <c r="FLQ21" s="84"/>
      <c r="FLR21" s="84"/>
      <c r="FLS21" s="84"/>
      <c r="FLT21" s="84"/>
      <c r="FLU21" s="84"/>
      <c r="FLV21" s="84"/>
      <c r="FLW21" s="84"/>
      <c r="FLX21" s="84"/>
      <c r="FLY21" s="84"/>
      <c r="FLZ21" s="84"/>
      <c r="FMA21" s="84"/>
      <c r="FMB21" s="84"/>
      <c r="FMC21" s="84"/>
      <c r="FMD21" s="84"/>
      <c r="FME21" s="84"/>
      <c r="FMF21" s="84"/>
      <c r="FMG21" s="84"/>
      <c r="FMH21" s="84"/>
      <c r="FMI21" s="84"/>
      <c r="FMJ21" s="84"/>
      <c r="FMK21" s="84"/>
      <c r="FML21" s="84"/>
      <c r="FMM21" s="84"/>
      <c r="FMN21" s="84"/>
      <c r="FMO21" s="84"/>
      <c r="FMP21" s="84"/>
      <c r="FMQ21" s="84"/>
      <c r="FMR21" s="84"/>
      <c r="FMS21" s="84"/>
      <c r="FMT21" s="84"/>
      <c r="FMU21" s="84"/>
      <c r="FMV21" s="84"/>
      <c r="FMW21" s="84"/>
      <c r="FMX21" s="84"/>
      <c r="FMY21" s="84"/>
      <c r="FMZ21" s="84"/>
      <c r="FNA21" s="84"/>
      <c r="FNB21" s="84"/>
      <c r="FNC21" s="84"/>
      <c r="FND21" s="84"/>
      <c r="FNE21" s="84"/>
      <c r="FNF21" s="84"/>
      <c r="FNG21" s="84"/>
      <c r="FNH21" s="84"/>
      <c r="FNI21" s="84"/>
      <c r="FNJ21" s="84"/>
      <c r="FNK21" s="84"/>
      <c r="FNL21" s="84"/>
      <c r="FNM21" s="84"/>
      <c r="FNN21" s="84"/>
      <c r="FNO21" s="84"/>
      <c r="FNP21" s="84"/>
      <c r="FNQ21" s="84"/>
      <c r="FNR21" s="84"/>
      <c r="FNS21" s="84"/>
      <c r="FNT21" s="84"/>
      <c r="FNU21" s="84"/>
      <c r="FNV21" s="84"/>
      <c r="FNW21" s="84"/>
      <c r="FNX21" s="84"/>
      <c r="FNY21" s="84"/>
      <c r="FNZ21" s="84"/>
      <c r="FOA21" s="84"/>
      <c r="FOB21" s="84"/>
      <c r="FOC21" s="84"/>
      <c r="FOD21" s="84"/>
      <c r="FOE21" s="84"/>
      <c r="FOF21" s="84"/>
      <c r="FOG21" s="84"/>
      <c r="FOH21" s="84"/>
      <c r="FOI21" s="84"/>
      <c r="FOJ21" s="84"/>
      <c r="FOK21" s="84"/>
      <c r="FOL21" s="84"/>
      <c r="FOM21" s="84"/>
      <c r="FON21" s="84"/>
      <c r="FOO21" s="84"/>
      <c r="FOP21" s="84"/>
      <c r="FOQ21" s="84"/>
      <c r="FOR21" s="84"/>
      <c r="FOS21" s="84"/>
      <c r="FOT21" s="84"/>
      <c r="FOU21" s="84"/>
      <c r="FOV21" s="84"/>
      <c r="FOW21" s="84"/>
      <c r="FOX21" s="84"/>
      <c r="FOY21" s="84"/>
      <c r="FOZ21" s="84"/>
      <c r="FPA21" s="84"/>
      <c r="FPB21" s="84"/>
      <c r="FPC21" s="84"/>
      <c r="FPD21" s="84"/>
      <c r="FPE21" s="84"/>
      <c r="FPF21" s="84"/>
      <c r="FPG21" s="84"/>
      <c r="FPH21" s="84"/>
      <c r="FPI21" s="84"/>
      <c r="FPJ21" s="84"/>
      <c r="FPK21" s="84"/>
      <c r="FPL21" s="84"/>
      <c r="FPM21" s="84"/>
      <c r="FPN21" s="84"/>
      <c r="FPO21" s="84"/>
      <c r="FPP21" s="84"/>
      <c r="FPQ21" s="84"/>
      <c r="FPR21" s="84"/>
      <c r="FPS21" s="84"/>
      <c r="FPT21" s="84"/>
      <c r="FPU21" s="84"/>
      <c r="FPV21" s="84"/>
      <c r="FPW21" s="84"/>
      <c r="FPX21" s="84"/>
      <c r="FPY21" s="84"/>
      <c r="FPZ21" s="84"/>
      <c r="FQA21" s="84"/>
      <c r="FQB21" s="84"/>
      <c r="FQC21" s="84"/>
      <c r="FQD21" s="84"/>
      <c r="FQE21" s="84"/>
      <c r="FQF21" s="84"/>
      <c r="FQG21" s="84"/>
      <c r="FQH21" s="84"/>
      <c r="FQI21" s="84"/>
      <c r="FQJ21" s="84"/>
      <c r="FQK21" s="84"/>
      <c r="FQL21" s="84"/>
      <c r="FQM21" s="84"/>
      <c r="FQN21" s="84"/>
      <c r="FQO21" s="84"/>
      <c r="FQP21" s="84"/>
      <c r="FQQ21" s="84"/>
      <c r="FQR21" s="84"/>
      <c r="FQS21" s="84"/>
      <c r="FQT21" s="84"/>
      <c r="FQU21" s="84"/>
      <c r="FQV21" s="84"/>
      <c r="FQW21" s="84"/>
      <c r="FQX21" s="84"/>
      <c r="FQY21" s="84"/>
      <c r="FQZ21" s="84"/>
      <c r="FRA21" s="84"/>
      <c r="FRB21" s="84"/>
      <c r="FRC21" s="84"/>
      <c r="FRD21" s="84"/>
      <c r="FRE21" s="84"/>
      <c r="FRF21" s="84"/>
      <c r="FRG21" s="84"/>
      <c r="FRH21" s="84"/>
      <c r="FRI21" s="84"/>
      <c r="FRJ21" s="84"/>
      <c r="FRK21" s="84"/>
      <c r="FRL21" s="84"/>
      <c r="FRM21" s="84"/>
      <c r="FRN21" s="84"/>
      <c r="FRO21" s="84"/>
      <c r="FRP21" s="84"/>
      <c r="FRQ21" s="84"/>
      <c r="FRR21" s="84"/>
      <c r="FRS21" s="84"/>
      <c r="FRT21" s="84"/>
      <c r="FRU21" s="84"/>
      <c r="FRV21" s="84"/>
      <c r="FRW21" s="84"/>
      <c r="FRX21" s="84"/>
      <c r="FRY21" s="84"/>
      <c r="FRZ21" s="84"/>
      <c r="FSA21" s="84"/>
      <c r="FSB21" s="84"/>
      <c r="FSC21" s="84"/>
      <c r="FSD21" s="84"/>
      <c r="FSE21" s="84"/>
      <c r="FSF21" s="84"/>
      <c r="FSG21" s="84"/>
      <c r="FSH21" s="84"/>
      <c r="FSI21" s="84"/>
      <c r="FSJ21" s="84"/>
      <c r="FSK21" s="84"/>
      <c r="FSL21" s="84"/>
      <c r="FSM21" s="84"/>
      <c r="FSN21" s="84"/>
      <c r="FSO21" s="84"/>
      <c r="FSP21" s="84"/>
      <c r="FSQ21" s="84"/>
      <c r="FSR21" s="84"/>
      <c r="FSS21" s="84"/>
      <c r="FST21" s="84"/>
      <c r="FSU21" s="84"/>
      <c r="FSV21" s="84"/>
      <c r="FSW21" s="84"/>
      <c r="FSX21" s="84"/>
      <c r="FSY21" s="84"/>
      <c r="FSZ21" s="84"/>
      <c r="FTA21" s="84"/>
      <c r="FTB21" s="84"/>
      <c r="FTC21" s="84"/>
      <c r="FTD21" s="84"/>
      <c r="FTE21" s="84"/>
      <c r="FTF21" s="84"/>
      <c r="FTG21" s="84"/>
      <c r="FTH21" s="84"/>
      <c r="FTI21" s="84"/>
      <c r="FTJ21" s="84"/>
      <c r="FTK21" s="84"/>
      <c r="FTL21" s="84"/>
      <c r="FTM21" s="84"/>
      <c r="FTN21" s="84"/>
      <c r="FTO21" s="84"/>
      <c r="FTP21" s="84"/>
      <c r="FTQ21" s="84"/>
      <c r="FTR21" s="84"/>
      <c r="FTS21" s="84"/>
      <c r="FTT21" s="84"/>
      <c r="FTU21" s="84"/>
      <c r="FTV21" s="84"/>
      <c r="FTW21" s="84"/>
      <c r="FTX21" s="84"/>
      <c r="FTY21" s="84"/>
      <c r="FTZ21" s="84"/>
      <c r="FUA21" s="84"/>
      <c r="FUB21" s="84"/>
      <c r="FUC21" s="84"/>
      <c r="FUD21" s="84"/>
      <c r="FUE21" s="84"/>
      <c r="FUF21" s="84"/>
      <c r="FUG21" s="84"/>
      <c r="FUH21" s="84"/>
      <c r="FUI21" s="84"/>
      <c r="FUJ21" s="84"/>
      <c r="FUK21" s="84"/>
      <c r="FUL21" s="84"/>
      <c r="FUM21" s="84"/>
      <c r="FUN21" s="84"/>
      <c r="FUO21" s="84"/>
      <c r="FUP21" s="84"/>
      <c r="FUQ21" s="84"/>
      <c r="FUR21" s="84"/>
      <c r="FUS21" s="84"/>
      <c r="FUT21" s="84"/>
      <c r="FUU21" s="84"/>
      <c r="FUV21" s="84"/>
      <c r="FUW21" s="84"/>
      <c r="FUX21" s="84"/>
      <c r="FUY21" s="84"/>
      <c r="FUZ21" s="84"/>
      <c r="FVA21" s="84"/>
      <c r="FVB21" s="84"/>
      <c r="FVC21" s="84"/>
      <c r="FVD21" s="84"/>
      <c r="FVE21" s="84"/>
      <c r="FVF21" s="84"/>
      <c r="FVG21" s="84"/>
      <c r="FVH21" s="84"/>
      <c r="FVI21" s="84"/>
      <c r="FVJ21" s="84"/>
      <c r="FVK21" s="84"/>
      <c r="FVL21" s="84"/>
      <c r="FVM21" s="84"/>
      <c r="FVN21" s="84"/>
      <c r="FVO21" s="84"/>
      <c r="FVP21" s="84"/>
      <c r="FVQ21" s="84"/>
      <c r="FVR21" s="84"/>
      <c r="FVS21" s="84"/>
      <c r="FVT21" s="84"/>
      <c r="FVU21" s="84"/>
      <c r="FVV21" s="84"/>
      <c r="FVW21" s="84"/>
      <c r="FVX21" s="84"/>
      <c r="FVY21" s="84"/>
      <c r="FVZ21" s="84"/>
      <c r="FWA21" s="84"/>
      <c r="FWB21" s="84"/>
      <c r="FWC21" s="84"/>
      <c r="FWD21" s="84"/>
      <c r="FWE21" s="84"/>
      <c r="FWF21" s="84"/>
      <c r="FWG21" s="84"/>
      <c r="FWH21" s="84"/>
      <c r="FWI21" s="84"/>
      <c r="FWJ21" s="84"/>
      <c r="FWK21" s="84"/>
      <c r="FWL21" s="84"/>
      <c r="FWM21" s="84"/>
      <c r="FWN21" s="84"/>
      <c r="FWO21" s="84"/>
      <c r="FWP21" s="84"/>
      <c r="FWQ21" s="84"/>
      <c r="FWR21" s="84"/>
      <c r="FWS21" s="84"/>
      <c r="FWT21" s="84"/>
      <c r="FWU21" s="84"/>
      <c r="FWV21" s="84"/>
      <c r="FWW21" s="84"/>
      <c r="FWX21" s="84"/>
      <c r="FWY21" s="84"/>
      <c r="FWZ21" s="84"/>
      <c r="FXA21" s="84"/>
      <c r="FXB21" s="84"/>
      <c r="FXC21" s="84"/>
      <c r="FXD21" s="84"/>
      <c r="FXE21" s="84"/>
      <c r="FXF21" s="84"/>
      <c r="FXG21" s="84"/>
      <c r="FXH21" s="84"/>
      <c r="FXI21" s="84"/>
      <c r="FXJ21" s="84"/>
      <c r="FXK21" s="84"/>
      <c r="FXL21" s="84"/>
      <c r="FXM21" s="84"/>
      <c r="FXN21" s="84"/>
      <c r="FXO21" s="84"/>
      <c r="FXP21" s="84"/>
      <c r="FXQ21" s="84"/>
      <c r="FXR21" s="84"/>
      <c r="FXS21" s="84"/>
      <c r="FXT21" s="84"/>
      <c r="FXU21" s="84"/>
      <c r="FXV21" s="84"/>
      <c r="FXW21" s="84"/>
      <c r="FXX21" s="84"/>
      <c r="FXY21" s="84"/>
      <c r="FXZ21" s="84"/>
      <c r="FYA21" s="84"/>
      <c r="FYB21" s="84"/>
      <c r="FYC21" s="84"/>
      <c r="FYD21" s="84"/>
      <c r="FYE21" s="84"/>
      <c r="FYF21" s="84"/>
      <c r="FYG21" s="84"/>
      <c r="FYH21" s="84"/>
      <c r="FYI21" s="84"/>
      <c r="FYJ21" s="84"/>
      <c r="FYK21" s="84"/>
      <c r="FYL21" s="84"/>
      <c r="FYM21" s="84"/>
      <c r="FYN21" s="84"/>
      <c r="FYO21" s="84"/>
      <c r="FYP21" s="84"/>
      <c r="FYQ21" s="84"/>
      <c r="FYR21" s="84"/>
      <c r="FYS21" s="84"/>
      <c r="FYT21" s="84"/>
      <c r="FYU21" s="84"/>
      <c r="FYV21" s="84"/>
      <c r="FYW21" s="84"/>
      <c r="FYX21" s="84"/>
      <c r="FYY21" s="84"/>
      <c r="FYZ21" s="84"/>
      <c r="FZA21" s="84"/>
      <c r="FZB21" s="84"/>
      <c r="FZC21" s="84"/>
      <c r="FZD21" s="84"/>
      <c r="FZE21" s="84"/>
      <c r="FZF21" s="84"/>
      <c r="FZG21" s="84"/>
      <c r="FZH21" s="84"/>
      <c r="FZI21" s="84"/>
      <c r="FZJ21" s="84"/>
      <c r="FZK21" s="84"/>
      <c r="FZL21" s="84"/>
      <c r="FZM21" s="84"/>
      <c r="FZN21" s="84"/>
      <c r="FZO21" s="84"/>
      <c r="FZP21" s="84"/>
      <c r="FZQ21" s="84"/>
      <c r="FZR21" s="84"/>
      <c r="FZS21" s="84"/>
      <c r="FZT21" s="84"/>
      <c r="FZU21" s="84"/>
      <c r="FZV21" s="84"/>
      <c r="FZW21" s="84"/>
      <c r="FZX21" s="84"/>
      <c r="FZY21" s="84"/>
      <c r="FZZ21" s="84"/>
      <c r="GAA21" s="84"/>
      <c r="GAB21" s="84"/>
      <c r="GAC21" s="84"/>
      <c r="GAD21" s="84"/>
      <c r="GAE21" s="84"/>
      <c r="GAF21" s="84"/>
      <c r="GAG21" s="84"/>
      <c r="GAH21" s="84"/>
      <c r="GAI21" s="84"/>
      <c r="GAJ21" s="84"/>
      <c r="GAK21" s="84"/>
      <c r="GAL21" s="84"/>
      <c r="GAM21" s="84"/>
      <c r="GAN21" s="84"/>
      <c r="GAO21" s="84"/>
      <c r="GAP21" s="84"/>
      <c r="GAQ21" s="84"/>
      <c r="GAR21" s="84"/>
      <c r="GAS21" s="84"/>
      <c r="GAT21" s="84"/>
      <c r="GAU21" s="84"/>
      <c r="GAV21" s="84"/>
      <c r="GAW21" s="84"/>
      <c r="GAX21" s="84"/>
      <c r="GAY21" s="84"/>
      <c r="GAZ21" s="84"/>
      <c r="GBA21" s="84"/>
      <c r="GBB21" s="84"/>
      <c r="GBC21" s="84"/>
      <c r="GBD21" s="84"/>
      <c r="GBE21" s="84"/>
      <c r="GBF21" s="84"/>
      <c r="GBG21" s="84"/>
      <c r="GBH21" s="84"/>
      <c r="GBI21" s="84"/>
      <c r="GBJ21" s="84"/>
      <c r="GBK21" s="84"/>
      <c r="GBL21" s="84"/>
      <c r="GBM21" s="84"/>
      <c r="GBN21" s="84"/>
      <c r="GBO21" s="84"/>
      <c r="GBP21" s="84"/>
      <c r="GBQ21" s="84"/>
      <c r="GBR21" s="84"/>
      <c r="GBS21" s="84"/>
      <c r="GBT21" s="84"/>
      <c r="GBU21" s="84"/>
      <c r="GBV21" s="84"/>
      <c r="GBW21" s="84"/>
      <c r="GBX21" s="84"/>
      <c r="GBY21" s="84"/>
      <c r="GBZ21" s="84"/>
      <c r="GCA21" s="84"/>
      <c r="GCB21" s="84"/>
      <c r="GCC21" s="84"/>
      <c r="GCD21" s="84"/>
      <c r="GCE21" s="84"/>
      <c r="GCF21" s="84"/>
      <c r="GCG21" s="84"/>
      <c r="GCH21" s="84"/>
      <c r="GCI21" s="84"/>
      <c r="GCJ21" s="84"/>
      <c r="GCK21" s="84"/>
      <c r="GCL21" s="84"/>
      <c r="GCM21" s="84"/>
      <c r="GCN21" s="84"/>
      <c r="GCO21" s="84"/>
      <c r="GCP21" s="84"/>
      <c r="GCQ21" s="84"/>
      <c r="GCR21" s="84"/>
      <c r="GCS21" s="84"/>
      <c r="GCT21" s="84"/>
      <c r="GCU21" s="84"/>
      <c r="GCV21" s="84"/>
      <c r="GCW21" s="84"/>
      <c r="GCX21" s="84"/>
      <c r="GCY21" s="84"/>
      <c r="GCZ21" s="84"/>
      <c r="GDA21" s="84"/>
      <c r="GDB21" s="84"/>
      <c r="GDC21" s="84"/>
      <c r="GDD21" s="84"/>
      <c r="GDE21" s="84"/>
      <c r="GDF21" s="84"/>
      <c r="GDG21" s="84"/>
      <c r="GDH21" s="84"/>
      <c r="GDI21" s="84"/>
      <c r="GDJ21" s="84"/>
      <c r="GDK21" s="84"/>
      <c r="GDL21" s="84"/>
      <c r="GDM21" s="84"/>
      <c r="GDN21" s="84"/>
      <c r="GDO21" s="84"/>
      <c r="GDP21" s="84"/>
      <c r="GDQ21" s="84"/>
      <c r="GDR21" s="84"/>
      <c r="GDS21" s="84"/>
      <c r="GDT21" s="84"/>
      <c r="GDU21" s="84"/>
      <c r="GDV21" s="84"/>
      <c r="GDW21" s="84"/>
      <c r="GDX21" s="84"/>
      <c r="GDY21" s="84"/>
      <c r="GDZ21" s="84"/>
      <c r="GEA21" s="84"/>
      <c r="GEB21" s="84"/>
      <c r="GEC21" s="84"/>
      <c r="GED21" s="84"/>
      <c r="GEE21" s="84"/>
      <c r="GEF21" s="84"/>
      <c r="GEG21" s="84"/>
      <c r="GEH21" s="84"/>
      <c r="GEI21" s="84"/>
      <c r="GEJ21" s="84"/>
      <c r="GEK21" s="84"/>
      <c r="GEL21" s="84"/>
      <c r="GEM21" s="84"/>
      <c r="GEN21" s="84"/>
      <c r="GEO21" s="84"/>
      <c r="GEP21" s="84"/>
      <c r="GEQ21" s="84"/>
      <c r="GER21" s="84"/>
      <c r="GES21" s="84"/>
      <c r="GET21" s="84"/>
      <c r="GEU21" s="84"/>
      <c r="GEV21" s="84"/>
      <c r="GEW21" s="84"/>
      <c r="GEX21" s="84"/>
      <c r="GEY21" s="84"/>
      <c r="GEZ21" s="84"/>
      <c r="GFA21" s="84"/>
      <c r="GFB21" s="84"/>
      <c r="GFC21" s="84"/>
      <c r="GFD21" s="84"/>
      <c r="GFE21" s="84"/>
      <c r="GFF21" s="84"/>
      <c r="GFG21" s="84"/>
      <c r="GFH21" s="84"/>
      <c r="GFI21" s="84"/>
      <c r="GFJ21" s="84"/>
      <c r="GFK21" s="84"/>
      <c r="GFL21" s="84"/>
      <c r="GFM21" s="84"/>
      <c r="GFN21" s="84"/>
      <c r="GFO21" s="84"/>
      <c r="GFP21" s="84"/>
      <c r="GFQ21" s="84"/>
      <c r="GFR21" s="84"/>
      <c r="GFS21" s="84"/>
      <c r="GFT21" s="84"/>
      <c r="GFU21" s="84"/>
      <c r="GFV21" s="84"/>
      <c r="GFW21" s="84"/>
      <c r="GFX21" s="84"/>
      <c r="GFY21" s="84"/>
      <c r="GFZ21" s="84"/>
      <c r="GGA21" s="84"/>
      <c r="GGB21" s="84"/>
      <c r="GGC21" s="84"/>
      <c r="GGD21" s="84"/>
      <c r="GGE21" s="84"/>
      <c r="GGF21" s="84"/>
      <c r="GGG21" s="84"/>
      <c r="GGH21" s="84"/>
      <c r="GGI21" s="84"/>
      <c r="GGJ21" s="84"/>
      <c r="GGK21" s="84"/>
      <c r="GGL21" s="84"/>
      <c r="GGM21" s="84"/>
      <c r="GGN21" s="84"/>
      <c r="GGO21" s="84"/>
      <c r="GGP21" s="84"/>
      <c r="GGQ21" s="84"/>
      <c r="GGR21" s="84"/>
      <c r="GGS21" s="84"/>
      <c r="GGT21" s="84"/>
      <c r="GGU21" s="84"/>
      <c r="GGV21" s="84"/>
      <c r="GGW21" s="84"/>
      <c r="GGX21" s="84"/>
      <c r="GGY21" s="84"/>
      <c r="GGZ21" s="84"/>
      <c r="GHA21" s="84"/>
      <c r="GHB21" s="84"/>
      <c r="GHC21" s="84"/>
      <c r="GHD21" s="84"/>
      <c r="GHE21" s="84"/>
      <c r="GHF21" s="84"/>
      <c r="GHG21" s="84"/>
      <c r="GHH21" s="84"/>
      <c r="GHI21" s="84"/>
      <c r="GHJ21" s="84"/>
      <c r="GHK21" s="84"/>
      <c r="GHL21" s="84"/>
      <c r="GHM21" s="84"/>
      <c r="GHN21" s="84"/>
      <c r="GHO21" s="84"/>
      <c r="GHP21" s="84"/>
      <c r="GHQ21" s="84"/>
      <c r="GHR21" s="84"/>
      <c r="GHS21" s="84"/>
      <c r="GHT21" s="84"/>
      <c r="GHU21" s="84"/>
      <c r="GHV21" s="84"/>
      <c r="GHW21" s="84"/>
      <c r="GHX21" s="84"/>
      <c r="GHY21" s="84"/>
      <c r="GHZ21" s="84"/>
      <c r="GIA21" s="84"/>
      <c r="GIB21" s="84"/>
      <c r="GIC21" s="84"/>
      <c r="GID21" s="84"/>
      <c r="GIE21" s="84"/>
      <c r="GIF21" s="84"/>
      <c r="GIG21" s="84"/>
      <c r="GIH21" s="84"/>
      <c r="GII21" s="84"/>
      <c r="GIJ21" s="84"/>
      <c r="GIK21" s="84"/>
      <c r="GIL21" s="84"/>
      <c r="GIM21" s="84"/>
      <c r="GIN21" s="84"/>
      <c r="GIO21" s="84"/>
      <c r="GIP21" s="84"/>
      <c r="GIQ21" s="84"/>
      <c r="GIR21" s="84"/>
      <c r="GIS21" s="84"/>
      <c r="GIT21" s="84"/>
      <c r="GIU21" s="84"/>
      <c r="GIV21" s="84"/>
      <c r="GIW21" s="84"/>
      <c r="GIX21" s="84"/>
      <c r="GIY21" s="84"/>
      <c r="GIZ21" s="84"/>
      <c r="GJA21" s="84"/>
      <c r="GJB21" s="84"/>
      <c r="GJC21" s="84"/>
      <c r="GJD21" s="84"/>
      <c r="GJE21" s="84"/>
      <c r="GJF21" s="84"/>
      <c r="GJG21" s="84"/>
      <c r="GJH21" s="84"/>
      <c r="GJI21" s="84"/>
      <c r="GJJ21" s="84"/>
      <c r="GJK21" s="84"/>
      <c r="GJL21" s="84"/>
      <c r="GJM21" s="84"/>
      <c r="GJN21" s="84"/>
      <c r="GJO21" s="84"/>
      <c r="GJP21" s="84"/>
      <c r="GJQ21" s="84"/>
      <c r="GJR21" s="84"/>
      <c r="GJS21" s="84"/>
      <c r="GJT21" s="84"/>
      <c r="GJU21" s="84"/>
      <c r="GJV21" s="84"/>
      <c r="GJW21" s="84"/>
      <c r="GJX21" s="84"/>
      <c r="GJY21" s="84"/>
      <c r="GJZ21" s="84"/>
      <c r="GKA21" s="84"/>
      <c r="GKB21" s="84"/>
      <c r="GKC21" s="84"/>
      <c r="GKD21" s="84"/>
      <c r="GKE21" s="84"/>
      <c r="GKF21" s="84"/>
      <c r="GKG21" s="84"/>
      <c r="GKH21" s="84"/>
      <c r="GKI21" s="84"/>
      <c r="GKJ21" s="84"/>
      <c r="GKK21" s="84"/>
      <c r="GKL21" s="84"/>
      <c r="GKM21" s="84"/>
      <c r="GKN21" s="84"/>
      <c r="GKO21" s="84"/>
      <c r="GKP21" s="84"/>
      <c r="GKQ21" s="84"/>
      <c r="GKR21" s="84"/>
      <c r="GKS21" s="84"/>
      <c r="GKT21" s="84"/>
      <c r="GKU21" s="84"/>
      <c r="GKV21" s="84"/>
      <c r="GKW21" s="84"/>
      <c r="GKX21" s="84"/>
      <c r="GKY21" s="84"/>
      <c r="GKZ21" s="84"/>
      <c r="GLA21" s="84"/>
      <c r="GLB21" s="84"/>
      <c r="GLC21" s="84"/>
      <c r="GLD21" s="84"/>
      <c r="GLE21" s="84"/>
      <c r="GLF21" s="84"/>
      <c r="GLG21" s="84"/>
      <c r="GLH21" s="84"/>
      <c r="GLI21" s="84"/>
      <c r="GLJ21" s="84"/>
      <c r="GLK21" s="84"/>
      <c r="GLL21" s="84"/>
      <c r="GLM21" s="84"/>
      <c r="GLN21" s="84"/>
      <c r="GLO21" s="84"/>
      <c r="GLP21" s="84"/>
      <c r="GLQ21" s="84"/>
      <c r="GLR21" s="84"/>
      <c r="GLS21" s="84"/>
      <c r="GLT21" s="84"/>
      <c r="GLU21" s="84"/>
      <c r="GLV21" s="84"/>
      <c r="GLW21" s="84"/>
      <c r="GLX21" s="84"/>
      <c r="GLY21" s="84"/>
      <c r="GLZ21" s="84"/>
      <c r="GMA21" s="84"/>
      <c r="GMB21" s="84"/>
      <c r="GMC21" s="84"/>
      <c r="GMD21" s="84"/>
      <c r="GME21" s="84"/>
      <c r="GMF21" s="84"/>
      <c r="GMG21" s="84"/>
      <c r="GMH21" s="84"/>
      <c r="GMI21" s="84"/>
      <c r="GMJ21" s="84"/>
      <c r="GMK21" s="84"/>
      <c r="GML21" s="84"/>
      <c r="GMM21" s="84"/>
      <c r="GMN21" s="84"/>
      <c r="GMO21" s="84"/>
      <c r="GMP21" s="84"/>
      <c r="GMQ21" s="84"/>
      <c r="GMR21" s="84"/>
      <c r="GMS21" s="84"/>
      <c r="GMT21" s="84"/>
      <c r="GMU21" s="84"/>
      <c r="GMV21" s="84"/>
      <c r="GMW21" s="84"/>
      <c r="GMX21" s="84"/>
      <c r="GMY21" s="84"/>
      <c r="GMZ21" s="84"/>
      <c r="GNA21" s="84"/>
      <c r="GNB21" s="84"/>
      <c r="GNC21" s="84"/>
      <c r="GND21" s="84"/>
      <c r="GNE21" s="84"/>
      <c r="GNF21" s="84"/>
      <c r="GNG21" s="84"/>
      <c r="GNH21" s="84"/>
      <c r="GNI21" s="84"/>
      <c r="GNJ21" s="84"/>
      <c r="GNK21" s="84"/>
      <c r="GNL21" s="84"/>
      <c r="GNM21" s="84"/>
      <c r="GNN21" s="84"/>
      <c r="GNO21" s="84"/>
      <c r="GNP21" s="84"/>
      <c r="GNQ21" s="84"/>
      <c r="GNR21" s="84"/>
      <c r="GNS21" s="84"/>
      <c r="GNT21" s="84"/>
      <c r="GNU21" s="84"/>
      <c r="GNV21" s="84"/>
      <c r="GNW21" s="84"/>
      <c r="GNX21" s="84"/>
      <c r="GNY21" s="84"/>
      <c r="GNZ21" s="84"/>
      <c r="GOA21" s="84"/>
      <c r="GOB21" s="84"/>
      <c r="GOC21" s="84"/>
      <c r="GOD21" s="84"/>
      <c r="GOE21" s="84"/>
      <c r="GOF21" s="84"/>
      <c r="GOG21" s="84"/>
      <c r="GOH21" s="84"/>
      <c r="GOI21" s="84"/>
      <c r="GOJ21" s="84"/>
      <c r="GOK21" s="84"/>
      <c r="GOL21" s="84"/>
      <c r="GOM21" s="84"/>
      <c r="GON21" s="84"/>
      <c r="GOO21" s="84"/>
      <c r="GOP21" s="84"/>
      <c r="GOQ21" s="84"/>
      <c r="GOR21" s="84"/>
      <c r="GOS21" s="84"/>
      <c r="GOT21" s="84"/>
      <c r="GOU21" s="84"/>
      <c r="GOV21" s="84"/>
      <c r="GOW21" s="84"/>
      <c r="GOX21" s="84"/>
      <c r="GOY21" s="84"/>
      <c r="GOZ21" s="84"/>
      <c r="GPA21" s="84"/>
      <c r="GPB21" s="84"/>
      <c r="GPC21" s="84"/>
      <c r="GPD21" s="84"/>
      <c r="GPE21" s="84"/>
      <c r="GPF21" s="84"/>
      <c r="GPG21" s="84"/>
      <c r="GPH21" s="84"/>
      <c r="GPI21" s="84"/>
      <c r="GPJ21" s="84"/>
      <c r="GPK21" s="84"/>
      <c r="GPL21" s="84"/>
      <c r="GPM21" s="84"/>
      <c r="GPN21" s="84"/>
      <c r="GPO21" s="84"/>
      <c r="GPP21" s="84"/>
      <c r="GPQ21" s="84"/>
      <c r="GPR21" s="84"/>
      <c r="GPS21" s="84"/>
      <c r="GPT21" s="84"/>
      <c r="GPU21" s="84"/>
      <c r="GPV21" s="84"/>
      <c r="GPW21" s="84"/>
      <c r="GPX21" s="84"/>
      <c r="GPY21" s="84"/>
      <c r="GPZ21" s="84"/>
      <c r="GQA21" s="84"/>
      <c r="GQB21" s="84"/>
      <c r="GQC21" s="84"/>
      <c r="GQD21" s="84"/>
      <c r="GQE21" s="84"/>
      <c r="GQF21" s="84"/>
      <c r="GQG21" s="84"/>
      <c r="GQH21" s="84"/>
      <c r="GQI21" s="84"/>
      <c r="GQJ21" s="84"/>
      <c r="GQK21" s="84"/>
      <c r="GQL21" s="84"/>
      <c r="GQM21" s="84"/>
      <c r="GQN21" s="84"/>
      <c r="GQO21" s="84"/>
      <c r="GQP21" s="84"/>
      <c r="GQQ21" s="84"/>
      <c r="GQR21" s="84"/>
      <c r="GQS21" s="84"/>
      <c r="GQT21" s="84"/>
      <c r="GQU21" s="84"/>
      <c r="GQV21" s="84"/>
      <c r="GQW21" s="84"/>
      <c r="GQX21" s="84"/>
      <c r="GQY21" s="84"/>
      <c r="GQZ21" s="84"/>
      <c r="GRA21" s="84"/>
      <c r="GRB21" s="84"/>
      <c r="GRC21" s="84"/>
      <c r="GRD21" s="84"/>
      <c r="GRE21" s="84"/>
      <c r="GRF21" s="84"/>
      <c r="GRG21" s="84"/>
      <c r="GRH21" s="84"/>
      <c r="GRI21" s="84"/>
      <c r="GRJ21" s="84"/>
      <c r="GRK21" s="84"/>
      <c r="GRL21" s="84"/>
      <c r="GRM21" s="84"/>
      <c r="GRN21" s="84"/>
      <c r="GRO21" s="84"/>
      <c r="GRP21" s="84"/>
      <c r="GRQ21" s="84"/>
      <c r="GRR21" s="84"/>
      <c r="GRS21" s="84"/>
      <c r="GRT21" s="84"/>
      <c r="GRU21" s="84"/>
      <c r="GRV21" s="84"/>
      <c r="GRW21" s="84"/>
      <c r="GRX21" s="84"/>
      <c r="GRY21" s="84"/>
      <c r="GRZ21" s="84"/>
      <c r="GSA21" s="84"/>
      <c r="GSB21" s="84"/>
      <c r="GSC21" s="84"/>
      <c r="GSD21" s="84"/>
      <c r="GSE21" s="84"/>
      <c r="GSF21" s="84"/>
      <c r="GSG21" s="84"/>
      <c r="GSH21" s="84"/>
      <c r="GSI21" s="84"/>
      <c r="GSJ21" s="84"/>
      <c r="GSK21" s="84"/>
      <c r="GSL21" s="84"/>
      <c r="GSM21" s="84"/>
      <c r="GSN21" s="84"/>
      <c r="GSO21" s="84"/>
      <c r="GSP21" s="84"/>
      <c r="GSQ21" s="84"/>
      <c r="GSR21" s="84"/>
      <c r="GSS21" s="84"/>
      <c r="GST21" s="84"/>
      <c r="GSU21" s="84"/>
      <c r="GSV21" s="84"/>
      <c r="GSW21" s="84"/>
      <c r="GSX21" s="84"/>
      <c r="GSY21" s="84"/>
      <c r="GSZ21" s="84"/>
      <c r="GTA21" s="84"/>
      <c r="GTB21" s="84"/>
      <c r="GTC21" s="84"/>
      <c r="GTD21" s="84"/>
      <c r="GTE21" s="84"/>
      <c r="GTF21" s="84"/>
      <c r="GTG21" s="84"/>
      <c r="GTH21" s="84"/>
      <c r="GTI21" s="84"/>
      <c r="GTJ21" s="84"/>
      <c r="GTK21" s="84"/>
      <c r="GTL21" s="84"/>
      <c r="GTM21" s="84"/>
      <c r="GTN21" s="84"/>
      <c r="GTO21" s="84"/>
      <c r="GTP21" s="84"/>
      <c r="GTQ21" s="84"/>
      <c r="GTR21" s="84"/>
      <c r="GTS21" s="84"/>
      <c r="GTT21" s="84"/>
      <c r="GTU21" s="84"/>
      <c r="GTV21" s="84"/>
      <c r="GTW21" s="84"/>
      <c r="GTX21" s="84"/>
      <c r="GTY21" s="84"/>
      <c r="GTZ21" s="84"/>
      <c r="GUA21" s="84"/>
      <c r="GUB21" s="84"/>
      <c r="GUC21" s="84"/>
      <c r="GUD21" s="84"/>
      <c r="GUE21" s="84"/>
      <c r="GUF21" s="84"/>
      <c r="GUG21" s="84"/>
      <c r="GUH21" s="84"/>
      <c r="GUI21" s="84"/>
      <c r="GUJ21" s="84"/>
      <c r="GUK21" s="84"/>
      <c r="GUL21" s="84"/>
      <c r="GUM21" s="84"/>
      <c r="GUN21" s="84"/>
      <c r="GUO21" s="84"/>
      <c r="GUP21" s="84"/>
      <c r="GUQ21" s="84"/>
      <c r="GUR21" s="84"/>
      <c r="GUS21" s="84"/>
      <c r="GUT21" s="84"/>
      <c r="GUU21" s="84"/>
      <c r="GUV21" s="84"/>
      <c r="GUW21" s="84"/>
      <c r="GUX21" s="84"/>
      <c r="GUY21" s="84"/>
      <c r="GUZ21" s="84"/>
      <c r="GVA21" s="84"/>
      <c r="GVB21" s="84"/>
      <c r="GVC21" s="84"/>
      <c r="GVD21" s="84"/>
      <c r="GVE21" s="84"/>
      <c r="GVF21" s="84"/>
      <c r="GVG21" s="84"/>
      <c r="GVH21" s="84"/>
      <c r="GVI21" s="84"/>
      <c r="GVJ21" s="84"/>
      <c r="GVK21" s="84"/>
      <c r="GVL21" s="84"/>
      <c r="GVM21" s="84"/>
      <c r="GVN21" s="84"/>
      <c r="GVO21" s="84"/>
      <c r="GVP21" s="84"/>
      <c r="GVQ21" s="84"/>
      <c r="GVR21" s="84"/>
      <c r="GVS21" s="84"/>
      <c r="GVT21" s="84"/>
      <c r="GVU21" s="84"/>
      <c r="GVV21" s="84"/>
      <c r="GVW21" s="84"/>
      <c r="GVX21" s="84"/>
      <c r="GVY21" s="84"/>
      <c r="GVZ21" s="84"/>
      <c r="GWA21" s="84"/>
      <c r="GWB21" s="84"/>
      <c r="GWC21" s="84"/>
      <c r="GWD21" s="84"/>
      <c r="GWE21" s="84"/>
      <c r="GWF21" s="84"/>
      <c r="GWG21" s="84"/>
      <c r="GWH21" s="84"/>
      <c r="GWI21" s="84"/>
      <c r="GWJ21" s="84"/>
      <c r="GWK21" s="84"/>
      <c r="GWL21" s="84"/>
      <c r="GWM21" s="84"/>
      <c r="GWN21" s="84"/>
      <c r="GWO21" s="84"/>
      <c r="GWP21" s="84"/>
      <c r="GWQ21" s="84"/>
      <c r="GWR21" s="84"/>
      <c r="GWS21" s="84"/>
      <c r="GWT21" s="84"/>
      <c r="GWU21" s="84"/>
      <c r="GWV21" s="84"/>
      <c r="GWW21" s="84"/>
      <c r="GWX21" s="84"/>
      <c r="GWY21" s="84"/>
      <c r="GWZ21" s="84"/>
      <c r="GXA21" s="84"/>
      <c r="GXB21" s="84"/>
      <c r="GXC21" s="84"/>
      <c r="GXD21" s="84"/>
      <c r="GXE21" s="84"/>
      <c r="GXF21" s="84"/>
      <c r="GXG21" s="84"/>
      <c r="GXH21" s="84"/>
      <c r="GXI21" s="84"/>
      <c r="GXJ21" s="84"/>
      <c r="GXK21" s="84"/>
      <c r="GXL21" s="84"/>
      <c r="GXM21" s="84"/>
      <c r="GXN21" s="84"/>
      <c r="GXO21" s="84"/>
      <c r="GXP21" s="84"/>
      <c r="GXQ21" s="84"/>
      <c r="GXR21" s="84"/>
      <c r="GXS21" s="84"/>
      <c r="GXT21" s="84"/>
      <c r="GXU21" s="84"/>
      <c r="GXV21" s="84"/>
      <c r="GXW21" s="84"/>
      <c r="GXX21" s="84"/>
      <c r="GXY21" s="84"/>
      <c r="GXZ21" s="84"/>
      <c r="GYA21" s="84"/>
      <c r="GYB21" s="84"/>
      <c r="GYC21" s="84"/>
      <c r="GYD21" s="84"/>
      <c r="GYE21" s="84"/>
      <c r="GYF21" s="84"/>
      <c r="GYG21" s="84"/>
      <c r="GYH21" s="84"/>
      <c r="GYI21" s="84"/>
      <c r="GYJ21" s="84"/>
      <c r="GYK21" s="84"/>
      <c r="GYL21" s="84"/>
      <c r="GYM21" s="84"/>
      <c r="GYN21" s="84"/>
      <c r="GYO21" s="84"/>
      <c r="GYP21" s="84"/>
      <c r="GYQ21" s="84"/>
      <c r="GYR21" s="84"/>
      <c r="GYS21" s="84"/>
      <c r="GYT21" s="84"/>
      <c r="GYU21" s="84"/>
      <c r="GYV21" s="84"/>
      <c r="GYW21" s="84"/>
      <c r="GYX21" s="84"/>
      <c r="GYY21" s="84"/>
      <c r="GYZ21" s="84"/>
      <c r="GZA21" s="84"/>
      <c r="GZB21" s="84"/>
      <c r="GZC21" s="84"/>
      <c r="GZD21" s="84"/>
      <c r="GZE21" s="84"/>
      <c r="GZF21" s="84"/>
      <c r="GZG21" s="84"/>
      <c r="GZH21" s="84"/>
      <c r="GZI21" s="84"/>
      <c r="GZJ21" s="84"/>
      <c r="GZK21" s="84"/>
      <c r="GZL21" s="84"/>
      <c r="GZM21" s="84"/>
      <c r="GZN21" s="84"/>
      <c r="GZO21" s="84"/>
      <c r="GZP21" s="84"/>
      <c r="GZQ21" s="84"/>
      <c r="GZR21" s="84"/>
      <c r="GZS21" s="84"/>
      <c r="GZT21" s="84"/>
      <c r="GZU21" s="84"/>
      <c r="GZV21" s="84"/>
      <c r="GZW21" s="84"/>
      <c r="GZX21" s="84"/>
      <c r="GZY21" s="84"/>
      <c r="GZZ21" s="84"/>
      <c r="HAA21" s="84"/>
      <c r="HAB21" s="84"/>
      <c r="HAC21" s="84"/>
      <c r="HAD21" s="84"/>
      <c r="HAE21" s="84"/>
      <c r="HAF21" s="84"/>
      <c r="HAG21" s="84"/>
      <c r="HAH21" s="84"/>
      <c r="HAI21" s="84"/>
      <c r="HAJ21" s="84"/>
      <c r="HAK21" s="84"/>
      <c r="HAL21" s="84"/>
      <c r="HAM21" s="84"/>
      <c r="HAN21" s="84"/>
      <c r="HAO21" s="84"/>
      <c r="HAP21" s="84"/>
      <c r="HAQ21" s="84"/>
      <c r="HAR21" s="84"/>
      <c r="HAS21" s="84"/>
      <c r="HAT21" s="84"/>
      <c r="HAU21" s="84"/>
      <c r="HAV21" s="84"/>
      <c r="HAW21" s="84"/>
      <c r="HAX21" s="84"/>
      <c r="HAY21" s="84"/>
      <c r="HAZ21" s="84"/>
      <c r="HBA21" s="84"/>
      <c r="HBB21" s="84"/>
      <c r="HBC21" s="84"/>
      <c r="HBD21" s="84"/>
      <c r="HBE21" s="84"/>
      <c r="HBF21" s="84"/>
      <c r="HBG21" s="84"/>
      <c r="HBH21" s="84"/>
      <c r="HBI21" s="84"/>
      <c r="HBJ21" s="84"/>
      <c r="HBK21" s="84"/>
      <c r="HBL21" s="84"/>
      <c r="HBM21" s="386"/>
    </row>
    <row r="22" spans="1:5473" s="82" customFormat="1" x14ac:dyDescent="0.3">
      <c r="A22" s="11">
        <v>17</v>
      </c>
      <c r="B22" s="40" t="s">
        <v>1526</v>
      </c>
      <c r="C22" s="12" t="s">
        <v>1527</v>
      </c>
      <c r="D22" s="299">
        <v>901114035358</v>
      </c>
      <c r="E22" s="299" t="s">
        <v>1525</v>
      </c>
      <c r="F22" s="12" t="s">
        <v>7</v>
      </c>
      <c r="G22" s="11" t="s">
        <v>1528</v>
      </c>
      <c r="H22" s="86" t="s">
        <v>1495</v>
      </c>
      <c r="I22" s="550">
        <v>10000</v>
      </c>
      <c r="J22" s="89"/>
      <c r="K22" s="89">
        <v>4800</v>
      </c>
      <c r="L22" s="121">
        <v>4560</v>
      </c>
      <c r="M22" s="122">
        <f t="shared" si="0"/>
        <v>5440</v>
      </c>
      <c r="N22" s="295"/>
      <c r="O22" s="121"/>
      <c r="P22" s="547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  <c r="IX22" s="24"/>
      <c r="IY22" s="24"/>
      <c r="IZ22" s="24"/>
      <c r="JA22" s="24"/>
      <c r="JB22" s="24"/>
      <c r="JC22" s="24"/>
      <c r="JD22" s="24"/>
      <c r="JE22" s="24"/>
      <c r="JF22" s="24"/>
      <c r="JG22" s="24"/>
      <c r="JH22" s="24"/>
      <c r="JI22" s="24"/>
      <c r="JJ22" s="24"/>
      <c r="JK22" s="24"/>
      <c r="JL22" s="24"/>
      <c r="JM22" s="24"/>
      <c r="JN22" s="24"/>
      <c r="JO22" s="24"/>
      <c r="JP22" s="24"/>
      <c r="JQ22" s="24"/>
      <c r="JR22" s="24"/>
      <c r="JS22" s="24"/>
      <c r="JT22" s="24"/>
      <c r="JU22" s="24"/>
      <c r="JV22" s="24"/>
      <c r="JW22" s="24"/>
      <c r="JX22" s="24"/>
      <c r="JY22" s="24"/>
      <c r="JZ22" s="24"/>
      <c r="KA22" s="24"/>
      <c r="KB22" s="24"/>
      <c r="KC22" s="24"/>
      <c r="KD22" s="24"/>
      <c r="KE22" s="24"/>
      <c r="KF22" s="24"/>
      <c r="KG22" s="24"/>
      <c r="KH22" s="24"/>
      <c r="KI22" s="24"/>
      <c r="KJ22" s="24"/>
      <c r="KK22" s="24"/>
      <c r="KL22" s="24"/>
      <c r="KM22" s="24"/>
      <c r="KN22" s="24"/>
      <c r="KO22" s="24"/>
      <c r="KP22" s="24"/>
      <c r="KQ22" s="24"/>
      <c r="KR22" s="24"/>
      <c r="KS22" s="24"/>
      <c r="KT22" s="24"/>
      <c r="KU22" s="24"/>
      <c r="KV22" s="24"/>
      <c r="KW22" s="24"/>
      <c r="KX22" s="24"/>
      <c r="KY22" s="24"/>
      <c r="KZ22" s="24"/>
      <c r="LA22" s="24"/>
      <c r="LB22" s="24"/>
      <c r="LC22" s="24"/>
      <c r="LD22" s="24"/>
      <c r="LE22" s="24"/>
      <c r="LF22" s="24"/>
      <c r="LG22" s="24"/>
      <c r="LH22" s="24"/>
      <c r="LI22" s="24"/>
      <c r="LJ22" s="24"/>
      <c r="LK22" s="24"/>
      <c r="LL22" s="24"/>
      <c r="LM22" s="24"/>
      <c r="LN22" s="24"/>
      <c r="LO22" s="24"/>
      <c r="LP22" s="24"/>
      <c r="LQ22" s="24"/>
      <c r="LR22" s="24"/>
      <c r="LS22" s="24"/>
      <c r="LT22" s="24"/>
      <c r="LU22" s="24"/>
      <c r="LV22" s="24"/>
      <c r="LW22" s="24"/>
      <c r="LX22" s="24"/>
      <c r="LY22" s="24"/>
      <c r="LZ22" s="24"/>
      <c r="MA22" s="24"/>
      <c r="MB22" s="24"/>
      <c r="MC22" s="24"/>
      <c r="MD22" s="24"/>
      <c r="ME22" s="24"/>
      <c r="MF22" s="24"/>
      <c r="MG22" s="24"/>
      <c r="MH22" s="24"/>
      <c r="MI22" s="24"/>
      <c r="MJ22" s="24"/>
      <c r="MK22" s="24"/>
      <c r="ML22" s="24"/>
      <c r="MM22" s="24"/>
      <c r="MN22" s="24"/>
      <c r="MO22" s="24"/>
      <c r="MP22" s="24"/>
      <c r="MQ22" s="24"/>
      <c r="MR22" s="24"/>
      <c r="MS22" s="24"/>
      <c r="MT22" s="24"/>
      <c r="MU22" s="24"/>
      <c r="MV22" s="24"/>
      <c r="MW22" s="24"/>
      <c r="MX22" s="24"/>
      <c r="MY22" s="24"/>
      <c r="MZ22" s="24"/>
      <c r="NA22" s="24"/>
      <c r="NB22" s="24"/>
      <c r="NC22" s="24"/>
      <c r="ND22" s="24"/>
      <c r="NE22" s="24"/>
      <c r="NF22" s="24"/>
      <c r="NG22" s="24"/>
      <c r="NH22" s="24"/>
      <c r="NI22" s="24"/>
      <c r="NJ22" s="24"/>
      <c r="NK22" s="24"/>
      <c r="NL22" s="24"/>
      <c r="NM22" s="24"/>
      <c r="NN22" s="24"/>
      <c r="NO22" s="24"/>
      <c r="NP22" s="24"/>
      <c r="NQ22" s="24"/>
      <c r="NR22" s="24"/>
      <c r="NS22" s="24"/>
      <c r="NT22" s="24"/>
      <c r="NU22" s="24"/>
      <c r="NV22" s="24"/>
      <c r="NW22" s="24"/>
      <c r="NX22" s="24"/>
      <c r="NY22" s="24"/>
      <c r="NZ22" s="24"/>
      <c r="OA22" s="24"/>
      <c r="OB22" s="24"/>
      <c r="OC22" s="24"/>
      <c r="OD22" s="24"/>
      <c r="OE22" s="24"/>
      <c r="OF22" s="24"/>
      <c r="OG22" s="24"/>
      <c r="OH22" s="24"/>
      <c r="OI22" s="24"/>
      <c r="OJ22" s="24"/>
      <c r="OK22" s="24"/>
      <c r="OL22" s="24"/>
      <c r="OM22" s="24"/>
      <c r="ON22" s="24"/>
      <c r="OO22" s="24"/>
      <c r="OP22" s="24"/>
      <c r="OQ22" s="24"/>
      <c r="OR22" s="24"/>
      <c r="OS22" s="24"/>
      <c r="OT22" s="24"/>
      <c r="OU22" s="24"/>
      <c r="OV22" s="24"/>
      <c r="OW22" s="24"/>
      <c r="OX22" s="24"/>
      <c r="OY22" s="24"/>
      <c r="OZ22" s="24"/>
      <c r="PA22" s="24"/>
      <c r="PB22" s="24"/>
      <c r="PC22" s="24"/>
      <c r="PD22" s="24"/>
      <c r="PE22" s="24"/>
      <c r="PF22" s="24"/>
      <c r="PG22" s="24"/>
      <c r="PH22" s="24"/>
      <c r="PI22" s="24"/>
      <c r="PJ22" s="24"/>
      <c r="PK22" s="24"/>
      <c r="PL22" s="24"/>
      <c r="PM22" s="24"/>
      <c r="PN22" s="24"/>
      <c r="PO22" s="24"/>
      <c r="PP22" s="24"/>
      <c r="PQ22" s="24"/>
      <c r="PR22" s="24"/>
      <c r="PS22" s="24"/>
      <c r="PT22" s="24"/>
      <c r="PU22" s="24"/>
      <c r="PV22" s="24"/>
      <c r="PW22" s="24"/>
      <c r="PX22" s="24"/>
      <c r="PY22" s="24"/>
      <c r="PZ22" s="24"/>
      <c r="QA22" s="24"/>
      <c r="QB22" s="24"/>
      <c r="QC22" s="24"/>
      <c r="QD22" s="24"/>
      <c r="QE22" s="24"/>
      <c r="QF22" s="24"/>
      <c r="QG22" s="24"/>
      <c r="QH22" s="24"/>
      <c r="QI22" s="24"/>
      <c r="QJ22" s="24"/>
      <c r="QK22" s="24"/>
      <c r="QL22" s="24"/>
      <c r="QM22" s="24"/>
      <c r="QN22" s="24"/>
      <c r="QO22" s="24"/>
      <c r="QP22" s="24"/>
      <c r="QQ22" s="24"/>
      <c r="QR22" s="24"/>
      <c r="QS22" s="24"/>
      <c r="QT22" s="24"/>
      <c r="QU22" s="24"/>
      <c r="QV22" s="24"/>
      <c r="QW22" s="24"/>
      <c r="QX22" s="24"/>
      <c r="QY22" s="24"/>
      <c r="QZ22" s="24"/>
      <c r="RA22" s="24"/>
      <c r="RB22" s="24"/>
      <c r="RC22" s="24"/>
      <c r="RD22" s="24"/>
      <c r="RE22" s="24"/>
      <c r="RF22" s="24"/>
      <c r="RG22" s="24"/>
      <c r="RH22" s="24"/>
      <c r="RI22" s="24"/>
      <c r="RJ22" s="24"/>
      <c r="RK22" s="24"/>
      <c r="RL22" s="24"/>
      <c r="RM22" s="24"/>
      <c r="RN22" s="24"/>
      <c r="RO22" s="24"/>
      <c r="RP22" s="24"/>
      <c r="RQ22" s="24"/>
      <c r="RR22" s="24"/>
      <c r="RS22" s="24"/>
      <c r="RT22" s="24"/>
      <c r="RU22" s="24"/>
      <c r="RV22" s="24"/>
      <c r="RW22" s="24"/>
      <c r="RX22" s="24"/>
      <c r="RY22" s="24"/>
      <c r="RZ22" s="24"/>
      <c r="SA22" s="24"/>
      <c r="SB22" s="24"/>
      <c r="SC22" s="24"/>
      <c r="SD22" s="24"/>
      <c r="SE22" s="24"/>
      <c r="SF22" s="24"/>
      <c r="SG22" s="24"/>
      <c r="SH22" s="24"/>
      <c r="SI22" s="24"/>
      <c r="SJ22" s="24"/>
      <c r="SK22" s="24"/>
      <c r="SL22" s="24"/>
      <c r="SM22" s="24"/>
      <c r="SN22" s="24"/>
      <c r="SO22" s="24"/>
      <c r="SP22" s="24"/>
      <c r="SQ22" s="24"/>
      <c r="SR22" s="24"/>
      <c r="SS22" s="24"/>
      <c r="ST22" s="24"/>
      <c r="SU22" s="24"/>
      <c r="SV22" s="24"/>
      <c r="SW22" s="24"/>
      <c r="SX22" s="24"/>
      <c r="SY22" s="24"/>
      <c r="SZ22" s="24"/>
      <c r="TA22" s="24"/>
      <c r="TB22" s="24"/>
      <c r="TC22" s="24"/>
      <c r="TD22" s="24"/>
      <c r="TE22" s="24"/>
      <c r="TF22" s="24"/>
      <c r="TG22" s="24"/>
      <c r="TH22" s="24"/>
      <c r="TI22" s="24"/>
      <c r="TJ22" s="24"/>
      <c r="TK22" s="24"/>
      <c r="TL22" s="24"/>
      <c r="TM22" s="24"/>
      <c r="TN22" s="24"/>
      <c r="TO22" s="24"/>
      <c r="TP22" s="24"/>
      <c r="TQ22" s="24"/>
      <c r="TR22" s="24"/>
      <c r="TS22" s="24"/>
      <c r="TT22" s="24"/>
      <c r="TU22" s="24"/>
      <c r="TV22" s="24"/>
      <c r="TW22" s="24"/>
      <c r="TX22" s="24"/>
      <c r="TY22" s="24"/>
      <c r="TZ22" s="24"/>
      <c r="UA22" s="24"/>
      <c r="UB22" s="24"/>
      <c r="UC22" s="24"/>
      <c r="UD22" s="24"/>
      <c r="UE22" s="24"/>
      <c r="UF22" s="24"/>
      <c r="UG22" s="24"/>
      <c r="UH22" s="24"/>
      <c r="UI22" s="24"/>
      <c r="UJ22" s="24"/>
      <c r="UK22" s="24"/>
      <c r="UL22" s="24"/>
      <c r="UM22" s="24"/>
      <c r="UN22" s="24"/>
      <c r="UO22" s="24"/>
      <c r="UP22" s="24"/>
      <c r="UQ22" s="24"/>
      <c r="UR22" s="24"/>
      <c r="US22" s="24"/>
      <c r="UT22" s="24"/>
      <c r="UU22" s="24"/>
      <c r="UV22" s="24"/>
      <c r="UW22" s="24"/>
      <c r="UX22" s="24"/>
      <c r="UY22" s="24"/>
      <c r="UZ22" s="24"/>
      <c r="VA22" s="24"/>
      <c r="VB22" s="24"/>
      <c r="VC22" s="24"/>
      <c r="VD22" s="24"/>
      <c r="VE22" s="24"/>
      <c r="VF22" s="24"/>
      <c r="VG22" s="24"/>
      <c r="VH22" s="24"/>
      <c r="VI22" s="24"/>
      <c r="VJ22" s="24"/>
      <c r="VK22" s="24"/>
      <c r="VL22" s="24"/>
      <c r="VM22" s="24"/>
      <c r="VN22" s="24"/>
      <c r="VO22" s="24"/>
      <c r="VP22" s="24"/>
      <c r="VQ22" s="24"/>
      <c r="VR22" s="24"/>
      <c r="VS22" s="24"/>
      <c r="VT22" s="24"/>
      <c r="VU22" s="24"/>
      <c r="VV22" s="24"/>
      <c r="VW22" s="24"/>
      <c r="VX22" s="24"/>
      <c r="VY22" s="24"/>
      <c r="VZ22" s="24"/>
      <c r="WA22" s="24"/>
      <c r="WB22" s="24"/>
      <c r="WC22" s="24"/>
      <c r="WD22" s="24"/>
      <c r="WE22" s="24"/>
      <c r="WF22" s="24"/>
      <c r="WG22" s="24"/>
      <c r="WH22" s="24"/>
      <c r="WI22" s="24"/>
      <c r="WJ22" s="24"/>
      <c r="WK22" s="24"/>
      <c r="WL22" s="24"/>
      <c r="WM22" s="24"/>
      <c r="WN22" s="24"/>
      <c r="WO22" s="24"/>
      <c r="WP22" s="24"/>
      <c r="WQ22" s="24"/>
      <c r="WR22" s="24"/>
      <c r="WS22" s="24"/>
      <c r="WT22" s="24"/>
      <c r="WU22" s="24"/>
      <c r="WV22" s="24"/>
      <c r="WW22" s="24"/>
      <c r="WX22" s="24"/>
      <c r="WY22" s="24"/>
      <c r="WZ22" s="24"/>
      <c r="XA22" s="24"/>
      <c r="XB22" s="24"/>
      <c r="XC22" s="24"/>
      <c r="XD22" s="24"/>
      <c r="XE22" s="24"/>
      <c r="XF22" s="24"/>
      <c r="XG22" s="24"/>
      <c r="XH22" s="24"/>
      <c r="XI22" s="24"/>
      <c r="XJ22" s="24"/>
      <c r="XK22" s="24"/>
      <c r="XL22" s="24"/>
      <c r="XM22" s="24"/>
      <c r="XN22" s="24"/>
      <c r="XO22" s="24"/>
      <c r="XP22" s="24"/>
      <c r="XQ22" s="24"/>
      <c r="XR22" s="24"/>
      <c r="XS22" s="24"/>
      <c r="XT22" s="24"/>
      <c r="XU22" s="24"/>
      <c r="XV22" s="24"/>
      <c r="XW22" s="24"/>
      <c r="XX22" s="24"/>
      <c r="XY22" s="24"/>
      <c r="XZ22" s="24"/>
      <c r="YA22" s="24"/>
      <c r="YB22" s="24"/>
      <c r="YC22" s="24"/>
      <c r="YD22" s="24"/>
      <c r="YE22" s="24"/>
      <c r="YF22" s="24"/>
      <c r="YG22" s="24"/>
      <c r="YH22" s="24"/>
      <c r="YI22" s="24"/>
      <c r="YJ22" s="24"/>
      <c r="YK22" s="24"/>
      <c r="YL22" s="24"/>
      <c r="YM22" s="24"/>
      <c r="YN22" s="24"/>
      <c r="YO22" s="24"/>
      <c r="YP22" s="24"/>
      <c r="YQ22" s="24"/>
      <c r="YR22" s="24"/>
      <c r="YS22" s="24"/>
      <c r="YT22" s="24"/>
      <c r="YU22" s="24"/>
      <c r="YV22" s="24"/>
      <c r="YW22" s="24"/>
      <c r="YX22" s="24"/>
      <c r="YY22" s="24"/>
      <c r="YZ22" s="24"/>
      <c r="ZA22" s="24"/>
      <c r="ZB22" s="24"/>
      <c r="ZC22" s="24"/>
      <c r="ZD22" s="24"/>
      <c r="ZE22" s="24"/>
      <c r="ZF22" s="24"/>
      <c r="ZG22" s="24"/>
      <c r="ZH22" s="24"/>
      <c r="ZI22" s="24"/>
      <c r="ZJ22" s="24"/>
      <c r="ZK22" s="24"/>
      <c r="ZL22" s="24"/>
      <c r="ZM22" s="24"/>
      <c r="ZN22" s="24"/>
      <c r="ZO22" s="24"/>
      <c r="ZP22" s="24"/>
      <c r="ZQ22" s="24"/>
      <c r="ZR22" s="24"/>
      <c r="ZS22" s="24"/>
      <c r="ZT22" s="24"/>
      <c r="ZU22" s="24"/>
      <c r="ZV22" s="24"/>
      <c r="ZW22" s="24"/>
      <c r="ZX22" s="24"/>
      <c r="ZY22" s="24"/>
      <c r="ZZ22" s="24"/>
      <c r="AAA22" s="24"/>
      <c r="AAB22" s="24"/>
      <c r="AAC22" s="24"/>
      <c r="AAD22" s="24"/>
      <c r="AAE22" s="24"/>
      <c r="AAF22" s="24"/>
      <c r="AAG22" s="24"/>
      <c r="AAH22" s="24"/>
      <c r="AAI22" s="24"/>
      <c r="AAJ22" s="24"/>
      <c r="AAK22" s="24"/>
      <c r="AAL22" s="24"/>
      <c r="AAM22" s="24"/>
      <c r="AAN22" s="24"/>
      <c r="AAO22" s="24"/>
      <c r="AAP22" s="24"/>
      <c r="AAQ22" s="24"/>
      <c r="AAR22" s="24"/>
      <c r="AAS22" s="24"/>
      <c r="AAT22" s="24"/>
      <c r="AAU22" s="24"/>
      <c r="AAV22" s="24"/>
      <c r="AAW22" s="24"/>
      <c r="AAX22" s="24"/>
      <c r="AAY22" s="24"/>
      <c r="AAZ22" s="24"/>
      <c r="ABA22" s="24"/>
      <c r="ABB22" s="24"/>
      <c r="ABC22" s="24"/>
      <c r="ABD22" s="24"/>
      <c r="ABE22" s="24"/>
      <c r="ABF22" s="24"/>
      <c r="ABG22" s="24"/>
      <c r="ABH22" s="24"/>
      <c r="ABI22" s="24"/>
      <c r="ABJ22" s="24"/>
      <c r="ABK22" s="24"/>
      <c r="ABL22" s="24"/>
      <c r="ABM22" s="24"/>
      <c r="ABN22" s="24"/>
      <c r="ABO22" s="24"/>
      <c r="ABP22" s="24"/>
      <c r="ABQ22" s="24"/>
      <c r="ABR22" s="24"/>
      <c r="ABS22" s="24"/>
      <c r="ABT22" s="24"/>
      <c r="ABU22" s="24"/>
      <c r="ABV22" s="24"/>
      <c r="ABW22" s="24"/>
      <c r="ABX22" s="24"/>
      <c r="ABY22" s="24"/>
      <c r="ABZ22" s="24"/>
      <c r="ACA22" s="24"/>
      <c r="ACB22" s="24"/>
      <c r="ACC22" s="24"/>
      <c r="ACD22" s="24"/>
      <c r="ACE22" s="24"/>
      <c r="ACF22" s="24"/>
      <c r="ACG22" s="24"/>
      <c r="ACH22" s="24"/>
      <c r="ACI22" s="24"/>
      <c r="ACJ22" s="24"/>
      <c r="ACK22" s="24"/>
      <c r="ACL22" s="24"/>
      <c r="ACM22" s="24"/>
      <c r="ACN22" s="24"/>
      <c r="ACO22" s="24"/>
      <c r="ACP22" s="24"/>
      <c r="ACQ22" s="24"/>
      <c r="ACR22" s="24"/>
      <c r="ACS22" s="24"/>
      <c r="ACT22" s="24"/>
      <c r="ACU22" s="24"/>
      <c r="ACV22" s="24"/>
      <c r="ACW22" s="24"/>
      <c r="ACX22" s="24"/>
      <c r="ACY22" s="24"/>
      <c r="ACZ22" s="24"/>
      <c r="ADA22" s="24"/>
      <c r="ADB22" s="24"/>
      <c r="ADC22" s="24"/>
      <c r="ADD22" s="24"/>
      <c r="ADE22" s="24"/>
      <c r="ADF22" s="24"/>
      <c r="ADG22" s="24"/>
      <c r="ADH22" s="24"/>
      <c r="ADI22" s="24"/>
      <c r="ADJ22" s="24"/>
      <c r="ADK22" s="24"/>
      <c r="ADL22" s="24"/>
      <c r="ADM22" s="24"/>
      <c r="ADN22" s="24"/>
      <c r="ADO22" s="24"/>
      <c r="ADP22" s="24"/>
      <c r="ADQ22" s="24"/>
      <c r="ADR22" s="24"/>
      <c r="ADS22" s="24"/>
      <c r="ADT22" s="24"/>
      <c r="ADU22" s="24"/>
      <c r="ADV22" s="24"/>
      <c r="ADW22" s="24"/>
      <c r="ADX22" s="24"/>
      <c r="ADY22" s="24"/>
      <c r="ADZ22" s="24"/>
      <c r="AEA22" s="24"/>
      <c r="AEB22" s="24"/>
      <c r="AEC22" s="24"/>
      <c r="AED22" s="24"/>
      <c r="AEE22" s="24"/>
      <c r="AEF22" s="24"/>
      <c r="AEG22" s="24"/>
      <c r="AEH22" s="24"/>
      <c r="AEI22" s="24"/>
      <c r="AEJ22" s="24"/>
      <c r="AEK22" s="24"/>
      <c r="AEL22" s="24"/>
      <c r="AEM22" s="24"/>
      <c r="AEN22" s="24"/>
      <c r="AEO22" s="24"/>
      <c r="AEP22" s="24"/>
      <c r="AEQ22" s="24"/>
      <c r="AER22" s="24"/>
      <c r="AES22" s="24"/>
      <c r="AET22" s="24"/>
      <c r="AEU22" s="24"/>
      <c r="AEV22" s="24"/>
      <c r="AEW22" s="24"/>
      <c r="AEX22" s="24"/>
      <c r="AEY22" s="24"/>
      <c r="AEZ22" s="24"/>
      <c r="AFA22" s="24"/>
      <c r="AFB22" s="24"/>
      <c r="AFC22" s="24"/>
      <c r="AFD22" s="24"/>
      <c r="AFE22" s="24"/>
      <c r="AFF22" s="24"/>
      <c r="AFG22" s="24"/>
      <c r="AFH22" s="24"/>
      <c r="AFI22" s="24"/>
      <c r="AFJ22" s="24"/>
      <c r="AFK22" s="24"/>
      <c r="AFL22" s="24"/>
      <c r="AFM22" s="24"/>
      <c r="AFN22" s="24"/>
      <c r="AFO22" s="24"/>
      <c r="AFP22" s="24"/>
      <c r="AFQ22" s="24"/>
      <c r="AFR22" s="24"/>
      <c r="AFS22" s="24"/>
      <c r="AFT22" s="24"/>
      <c r="AFU22" s="24"/>
      <c r="AFV22" s="24"/>
      <c r="AFW22" s="24"/>
      <c r="AFX22" s="24"/>
      <c r="AFY22" s="24"/>
      <c r="AFZ22" s="24"/>
      <c r="AGA22" s="24"/>
      <c r="AGB22" s="24"/>
      <c r="AGC22" s="24"/>
      <c r="AGD22" s="24"/>
      <c r="AGE22" s="24"/>
      <c r="AGF22" s="24"/>
      <c r="AGG22" s="24"/>
      <c r="AGH22" s="24"/>
      <c r="AGI22" s="24"/>
      <c r="AGJ22" s="24"/>
      <c r="AGK22" s="24"/>
      <c r="AGL22" s="24"/>
      <c r="AGM22" s="24"/>
      <c r="AGN22" s="24"/>
      <c r="AGO22" s="24"/>
      <c r="AGP22" s="24"/>
      <c r="AGQ22" s="24"/>
      <c r="AGR22" s="24"/>
      <c r="AGS22" s="24"/>
      <c r="AGT22" s="24"/>
      <c r="AGU22" s="24"/>
      <c r="AGV22" s="24"/>
      <c r="AGW22" s="24"/>
      <c r="AGX22" s="24"/>
      <c r="AGY22" s="24"/>
      <c r="AGZ22" s="24"/>
      <c r="AHA22" s="24"/>
      <c r="AHB22" s="24"/>
      <c r="AHC22" s="24"/>
      <c r="AHD22" s="24"/>
      <c r="AHE22" s="24"/>
      <c r="AHF22" s="24"/>
      <c r="AHG22" s="24"/>
      <c r="AHH22" s="24"/>
      <c r="AHI22" s="24"/>
      <c r="AHJ22" s="24"/>
      <c r="AHK22" s="24"/>
      <c r="AHL22" s="24"/>
      <c r="AHM22" s="24"/>
      <c r="AHN22" s="24"/>
      <c r="AHO22" s="24"/>
      <c r="AHP22" s="24"/>
      <c r="AHQ22" s="24"/>
      <c r="AHR22" s="24"/>
      <c r="AHS22" s="24"/>
      <c r="AHT22" s="24"/>
      <c r="AHU22" s="24"/>
      <c r="AHV22" s="24"/>
      <c r="AHW22" s="24"/>
      <c r="AHX22" s="24"/>
      <c r="AHY22" s="24"/>
      <c r="AHZ22" s="24"/>
      <c r="AIA22" s="24"/>
      <c r="AIB22" s="24"/>
      <c r="AIC22" s="24"/>
      <c r="AID22" s="24"/>
      <c r="AIE22" s="24"/>
      <c r="AIF22" s="24"/>
      <c r="AIG22" s="24"/>
      <c r="AIH22" s="24"/>
      <c r="AII22" s="24"/>
      <c r="AIJ22" s="24"/>
      <c r="AIK22" s="24"/>
      <c r="AIL22" s="24"/>
      <c r="AIM22" s="24"/>
      <c r="AIN22" s="24"/>
      <c r="AIO22" s="24"/>
      <c r="AIP22" s="24"/>
      <c r="AIQ22" s="24"/>
      <c r="AIR22" s="24"/>
      <c r="AIS22" s="24"/>
      <c r="AIT22" s="24"/>
      <c r="AIU22" s="24"/>
      <c r="AIV22" s="24"/>
      <c r="AIW22" s="24"/>
      <c r="AIX22" s="24"/>
      <c r="AIY22" s="24"/>
      <c r="AIZ22" s="24"/>
      <c r="AJA22" s="24"/>
      <c r="AJB22" s="24"/>
      <c r="AJC22" s="24"/>
      <c r="AJD22" s="24"/>
      <c r="AJE22" s="24"/>
      <c r="AJF22" s="24"/>
      <c r="AJG22" s="24"/>
      <c r="AJH22" s="24"/>
      <c r="AJI22" s="24"/>
      <c r="AJJ22" s="24"/>
      <c r="AJK22" s="24"/>
      <c r="AJL22" s="24"/>
      <c r="AJM22" s="24"/>
      <c r="AJN22" s="24"/>
      <c r="AJO22" s="24"/>
      <c r="AJP22" s="24"/>
      <c r="AJQ22" s="24"/>
      <c r="AJR22" s="24"/>
      <c r="AJS22" s="24"/>
      <c r="AJT22" s="24"/>
      <c r="AJU22" s="24"/>
      <c r="AJV22" s="24"/>
      <c r="AJW22" s="24"/>
      <c r="AJX22" s="24"/>
      <c r="AJY22" s="24"/>
      <c r="AJZ22" s="24"/>
      <c r="AKA22" s="24"/>
      <c r="AKB22" s="24"/>
      <c r="AKC22" s="24"/>
      <c r="AKD22" s="24"/>
      <c r="AKE22" s="24"/>
      <c r="AKF22" s="24"/>
      <c r="AKG22" s="24"/>
      <c r="AKH22" s="24"/>
      <c r="AKI22" s="24"/>
      <c r="AKJ22" s="24"/>
      <c r="AKK22" s="24"/>
      <c r="AKL22" s="24"/>
      <c r="AKM22" s="24"/>
      <c r="AKN22" s="24"/>
      <c r="AKO22" s="24"/>
      <c r="AKP22" s="24"/>
      <c r="AKQ22" s="24"/>
      <c r="AKR22" s="24"/>
      <c r="AKS22" s="24"/>
      <c r="AKT22" s="24"/>
      <c r="AKU22" s="24"/>
      <c r="AKV22" s="24"/>
      <c r="AKW22" s="24"/>
      <c r="AKX22" s="24"/>
      <c r="AKY22" s="24"/>
      <c r="AKZ22" s="24"/>
      <c r="ALA22" s="24"/>
      <c r="ALB22" s="24"/>
      <c r="ALC22" s="24"/>
      <c r="ALD22" s="24"/>
      <c r="ALE22" s="24"/>
      <c r="ALF22" s="24"/>
      <c r="ALG22" s="24"/>
      <c r="ALH22" s="24"/>
      <c r="ALI22" s="24"/>
      <c r="ALJ22" s="24"/>
      <c r="ALK22" s="24"/>
      <c r="ALL22" s="24"/>
      <c r="ALM22" s="24"/>
      <c r="ALN22" s="24"/>
      <c r="ALO22" s="24"/>
      <c r="ALP22" s="24"/>
      <c r="ALQ22" s="24"/>
      <c r="ALR22" s="24"/>
      <c r="ALS22" s="24"/>
      <c r="ALT22" s="24"/>
      <c r="ALU22" s="24"/>
      <c r="ALV22" s="24"/>
      <c r="ALW22" s="24"/>
      <c r="ALX22" s="24"/>
      <c r="ALY22" s="24"/>
      <c r="ALZ22" s="24"/>
      <c r="AMA22" s="24"/>
      <c r="AMB22" s="24"/>
      <c r="AMC22" s="24"/>
      <c r="AMD22" s="24"/>
      <c r="AME22" s="24"/>
      <c r="AMF22" s="24"/>
      <c r="AMG22" s="24"/>
      <c r="AMH22" s="24"/>
      <c r="AMI22" s="24"/>
      <c r="AMJ22" s="24"/>
      <c r="AMK22" s="24"/>
      <c r="AML22" s="24"/>
      <c r="AMM22" s="24"/>
      <c r="AMN22" s="24"/>
      <c r="AMO22" s="24"/>
      <c r="AMP22" s="24"/>
      <c r="AMQ22" s="24"/>
      <c r="AMR22" s="24"/>
      <c r="AMS22" s="24"/>
      <c r="AMT22" s="24"/>
      <c r="AMU22" s="24"/>
      <c r="AMV22" s="24"/>
      <c r="AMW22" s="24"/>
      <c r="AMX22" s="24"/>
      <c r="AMY22" s="24"/>
      <c r="AMZ22" s="24"/>
      <c r="ANA22" s="24"/>
      <c r="ANB22" s="24"/>
      <c r="ANC22" s="24"/>
      <c r="AND22" s="24"/>
      <c r="ANE22" s="24"/>
      <c r="ANF22" s="24"/>
      <c r="ANG22" s="24"/>
      <c r="ANH22" s="24"/>
      <c r="ANI22" s="24"/>
      <c r="ANJ22" s="24"/>
      <c r="ANK22" s="24"/>
      <c r="ANL22" s="24"/>
      <c r="ANM22" s="24"/>
      <c r="ANN22" s="24"/>
      <c r="ANO22" s="24"/>
      <c r="ANP22" s="24"/>
      <c r="ANQ22" s="24"/>
      <c r="ANR22" s="24"/>
      <c r="ANS22" s="24"/>
      <c r="ANT22" s="24"/>
      <c r="ANU22" s="24"/>
      <c r="ANV22" s="24"/>
      <c r="ANW22" s="24"/>
      <c r="ANX22" s="24"/>
      <c r="ANY22" s="24"/>
      <c r="ANZ22" s="24"/>
      <c r="AOA22" s="24"/>
      <c r="AOB22" s="24"/>
      <c r="AOC22" s="24"/>
      <c r="AOD22" s="24"/>
      <c r="AOE22" s="24"/>
      <c r="AOF22" s="24"/>
      <c r="AOG22" s="24"/>
      <c r="AOH22" s="24"/>
      <c r="AOI22" s="24"/>
      <c r="AOJ22" s="24"/>
      <c r="AOK22" s="24"/>
      <c r="AOL22" s="24"/>
      <c r="AOM22" s="24"/>
      <c r="AON22" s="24"/>
      <c r="AOO22" s="24"/>
      <c r="AOP22" s="24"/>
      <c r="AOQ22" s="24"/>
      <c r="AOR22" s="24"/>
      <c r="AOS22" s="24"/>
      <c r="AOT22" s="24"/>
      <c r="AOU22" s="24"/>
      <c r="AOV22" s="24"/>
      <c r="AOW22" s="24"/>
      <c r="AOX22" s="24"/>
      <c r="AOY22" s="24"/>
      <c r="AOZ22" s="24"/>
      <c r="APA22" s="24"/>
      <c r="APB22" s="24"/>
      <c r="APC22" s="24"/>
      <c r="APD22" s="24"/>
      <c r="APE22" s="24"/>
      <c r="APF22" s="24"/>
      <c r="APG22" s="24"/>
      <c r="APH22" s="24"/>
      <c r="API22" s="24"/>
      <c r="APJ22" s="24"/>
      <c r="APK22" s="24"/>
      <c r="APL22" s="24"/>
      <c r="APM22" s="24"/>
      <c r="APN22" s="24"/>
      <c r="APO22" s="24"/>
      <c r="APP22" s="24"/>
      <c r="APQ22" s="24"/>
      <c r="APR22" s="24"/>
      <c r="APS22" s="24"/>
      <c r="APT22" s="24"/>
      <c r="APU22" s="24"/>
      <c r="APV22" s="24"/>
      <c r="APW22" s="24"/>
      <c r="APX22" s="24"/>
      <c r="APY22" s="24"/>
      <c r="APZ22" s="24"/>
      <c r="AQA22" s="24"/>
      <c r="AQB22" s="24"/>
      <c r="AQC22" s="24"/>
      <c r="AQD22" s="24"/>
      <c r="AQE22" s="24"/>
      <c r="AQF22" s="24"/>
      <c r="AQG22" s="24"/>
      <c r="AQH22" s="24"/>
      <c r="AQI22" s="24"/>
      <c r="AQJ22" s="24"/>
      <c r="AQK22" s="24"/>
      <c r="AQL22" s="24"/>
      <c r="AQM22" s="24"/>
      <c r="AQN22" s="24"/>
      <c r="AQO22" s="24"/>
      <c r="AQP22" s="24"/>
      <c r="AQQ22" s="24"/>
      <c r="AQR22" s="24"/>
      <c r="AQS22" s="24"/>
      <c r="AQT22" s="24"/>
      <c r="AQU22" s="24"/>
      <c r="AQV22" s="24"/>
      <c r="AQW22" s="24"/>
      <c r="AQX22" s="24"/>
      <c r="AQY22" s="24"/>
      <c r="AQZ22" s="24"/>
      <c r="ARA22" s="24"/>
      <c r="ARB22" s="24"/>
      <c r="ARC22" s="24"/>
      <c r="ARD22" s="24"/>
      <c r="ARE22" s="24"/>
      <c r="ARF22" s="24"/>
      <c r="ARG22" s="24"/>
      <c r="ARH22" s="24"/>
      <c r="ARI22" s="24"/>
      <c r="ARJ22" s="24"/>
      <c r="ARK22" s="24"/>
      <c r="ARL22" s="24"/>
      <c r="ARM22" s="24"/>
      <c r="ARN22" s="24"/>
      <c r="ARO22" s="24"/>
      <c r="ARP22" s="24"/>
      <c r="ARQ22" s="24"/>
      <c r="ARR22" s="24"/>
      <c r="ARS22" s="24"/>
      <c r="ART22" s="24"/>
      <c r="ARU22" s="24"/>
      <c r="ARV22" s="24"/>
      <c r="ARW22" s="24"/>
      <c r="ARX22" s="24"/>
      <c r="ARY22" s="24"/>
      <c r="ARZ22" s="24"/>
      <c r="ASA22" s="24"/>
      <c r="ASB22" s="24"/>
      <c r="ASC22" s="24"/>
      <c r="ASD22" s="24"/>
      <c r="ASE22" s="24"/>
      <c r="ASF22" s="24"/>
      <c r="ASG22" s="24"/>
      <c r="ASH22" s="24"/>
      <c r="ASI22" s="24"/>
      <c r="ASJ22" s="24"/>
      <c r="ASK22" s="24"/>
      <c r="ASL22" s="24"/>
      <c r="ASM22" s="24"/>
      <c r="ASN22" s="24"/>
      <c r="ASO22" s="24"/>
      <c r="ASP22" s="24"/>
      <c r="ASQ22" s="24"/>
      <c r="ASR22" s="24"/>
      <c r="ASS22" s="24"/>
      <c r="AST22" s="24"/>
      <c r="ASU22" s="24"/>
      <c r="ASV22" s="24"/>
      <c r="ASW22" s="24"/>
      <c r="ASX22" s="24"/>
      <c r="ASY22" s="24"/>
      <c r="ASZ22" s="24"/>
      <c r="ATA22" s="24"/>
      <c r="ATB22" s="24"/>
      <c r="ATC22" s="24"/>
      <c r="ATD22" s="24"/>
      <c r="ATE22" s="24"/>
      <c r="ATF22" s="24"/>
      <c r="ATG22" s="24"/>
      <c r="ATH22" s="24"/>
      <c r="ATI22" s="24"/>
      <c r="ATJ22" s="24"/>
      <c r="ATK22" s="24"/>
      <c r="ATL22" s="24"/>
      <c r="ATM22" s="24"/>
      <c r="ATN22" s="24"/>
      <c r="ATO22" s="24"/>
      <c r="ATP22" s="24"/>
      <c r="ATQ22" s="24"/>
      <c r="ATR22" s="24"/>
      <c r="ATS22" s="24"/>
      <c r="ATT22" s="24"/>
      <c r="ATU22" s="24"/>
      <c r="ATV22" s="24"/>
      <c r="ATW22" s="24"/>
      <c r="ATX22" s="24"/>
      <c r="ATY22" s="24"/>
      <c r="ATZ22" s="24"/>
      <c r="AUA22" s="24"/>
      <c r="AUB22" s="24"/>
      <c r="AUC22" s="24"/>
      <c r="AUD22" s="24"/>
      <c r="AUE22" s="24"/>
      <c r="AUF22" s="24"/>
      <c r="AUG22" s="24"/>
      <c r="AUH22" s="24"/>
      <c r="AUI22" s="24"/>
      <c r="AUJ22" s="24"/>
      <c r="AUK22" s="24"/>
      <c r="AUL22" s="24"/>
      <c r="AUM22" s="24"/>
      <c r="AUN22" s="24"/>
      <c r="AUO22" s="24"/>
      <c r="AUP22" s="24"/>
      <c r="AUQ22" s="24"/>
      <c r="AUR22" s="24"/>
      <c r="AUS22" s="24"/>
      <c r="AUT22" s="24"/>
      <c r="AUU22" s="24"/>
      <c r="AUV22" s="24"/>
      <c r="AUW22" s="24"/>
      <c r="AUX22" s="24"/>
      <c r="AUY22" s="24"/>
      <c r="AUZ22" s="24"/>
      <c r="AVA22" s="24"/>
      <c r="AVB22" s="24"/>
      <c r="AVC22" s="24"/>
      <c r="AVD22" s="24"/>
      <c r="AVE22" s="24"/>
      <c r="AVF22" s="24"/>
      <c r="AVG22" s="24"/>
      <c r="AVH22" s="24"/>
      <c r="AVI22" s="24"/>
      <c r="AVJ22" s="24"/>
      <c r="AVK22" s="24"/>
      <c r="AVL22" s="24"/>
      <c r="AVM22" s="24"/>
      <c r="AVN22" s="24"/>
      <c r="AVO22" s="24"/>
      <c r="AVP22" s="24"/>
      <c r="AVQ22" s="24"/>
      <c r="AVR22" s="24"/>
      <c r="AVS22" s="24"/>
      <c r="AVT22" s="24"/>
      <c r="AVU22" s="24"/>
      <c r="AVV22" s="24"/>
      <c r="AVW22" s="24"/>
      <c r="AVX22" s="24"/>
      <c r="AVY22" s="24"/>
      <c r="AVZ22" s="24"/>
      <c r="AWA22" s="24"/>
      <c r="AWB22" s="24"/>
      <c r="AWC22" s="24"/>
      <c r="AWD22" s="24"/>
      <c r="AWE22" s="24"/>
      <c r="AWF22" s="24"/>
      <c r="AWG22" s="24"/>
      <c r="AWH22" s="24"/>
      <c r="AWI22" s="24"/>
      <c r="AWJ22" s="24"/>
      <c r="AWK22" s="24"/>
      <c r="AWL22" s="24"/>
      <c r="AWM22" s="24"/>
      <c r="AWN22" s="24"/>
      <c r="AWO22" s="24"/>
      <c r="AWP22" s="24"/>
      <c r="AWQ22" s="24"/>
      <c r="AWR22" s="24"/>
      <c r="AWS22" s="24"/>
      <c r="AWT22" s="24"/>
      <c r="AWU22" s="24"/>
      <c r="AWV22" s="24"/>
      <c r="AWW22" s="24"/>
      <c r="AWX22" s="24"/>
      <c r="AWY22" s="24"/>
      <c r="AWZ22" s="24"/>
      <c r="AXA22" s="24"/>
      <c r="AXB22" s="24"/>
      <c r="AXC22" s="24"/>
      <c r="AXD22" s="24"/>
      <c r="AXE22" s="24"/>
      <c r="AXF22" s="24"/>
      <c r="AXG22" s="24"/>
      <c r="AXH22" s="24"/>
      <c r="AXI22" s="24"/>
      <c r="AXJ22" s="24"/>
      <c r="AXK22" s="24"/>
      <c r="AXL22" s="24"/>
      <c r="AXM22" s="24"/>
      <c r="AXN22" s="24"/>
      <c r="AXO22" s="24"/>
      <c r="AXP22" s="24"/>
      <c r="AXQ22" s="24"/>
      <c r="AXR22" s="24"/>
      <c r="AXS22" s="24"/>
      <c r="AXT22" s="24"/>
      <c r="AXU22" s="24"/>
      <c r="AXV22" s="24"/>
      <c r="AXW22" s="24"/>
      <c r="AXX22" s="24"/>
      <c r="AXY22" s="24"/>
      <c r="AXZ22" s="24"/>
      <c r="AYA22" s="24"/>
      <c r="AYB22" s="24"/>
      <c r="AYC22" s="24"/>
      <c r="AYD22" s="24"/>
      <c r="AYE22" s="24"/>
      <c r="AYF22" s="24"/>
      <c r="AYG22" s="24"/>
      <c r="AYH22" s="24"/>
      <c r="AYI22" s="24"/>
      <c r="AYJ22" s="24"/>
      <c r="AYK22" s="24"/>
      <c r="AYL22" s="24"/>
      <c r="AYM22" s="24"/>
      <c r="AYN22" s="24"/>
      <c r="AYO22" s="24"/>
      <c r="AYP22" s="24"/>
      <c r="AYQ22" s="24"/>
      <c r="AYR22" s="24"/>
      <c r="AYS22" s="24"/>
      <c r="AYT22" s="24"/>
      <c r="AYU22" s="24"/>
      <c r="AYV22" s="24"/>
      <c r="AYW22" s="24"/>
      <c r="AYX22" s="24"/>
      <c r="AYY22" s="24"/>
      <c r="AYZ22" s="24"/>
      <c r="AZA22" s="24"/>
      <c r="AZB22" s="24"/>
      <c r="AZC22" s="24"/>
      <c r="AZD22" s="24"/>
      <c r="AZE22" s="24"/>
      <c r="AZF22" s="24"/>
      <c r="AZG22" s="24"/>
      <c r="AZH22" s="24"/>
      <c r="AZI22" s="24"/>
      <c r="AZJ22" s="24"/>
      <c r="AZK22" s="24"/>
      <c r="AZL22" s="24"/>
      <c r="AZM22" s="24"/>
      <c r="AZN22" s="24"/>
      <c r="AZO22" s="24"/>
      <c r="AZP22" s="24"/>
      <c r="AZQ22" s="24"/>
      <c r="AZR22" s="24"/>
      <c r="AZS22" s="24"/>
      <c r="AZT22" s="24"/>
      <c r="AZU22" s="24"/>
      <c r="AZV22" s="24"/>
      <c r="AZW22" s="24"/>
      <c r="AZX22" s="24"/>
      <c r="AZY22" s="24"/>
      <c r="AZZ22" s="24"/>
      <c r="BAA22" s="24"/>
      <c r="BAB22" s="24"/>
      <c r="BAC22" s="24"/>
      <c r="BAD22" s="24"/>
      <c r="BAE22" s="24"/>
      <c r="BAF22" s="24"/>
      <c r="BAG22" s="24"/>
      <c r="BAH22" s="24"/>
      <c r="BAI22" s="24"/>
      <c r="BAJ22" s="24"/>
      <c r="BAK22" s="24"/>
      <c r="BAL22" s="24"/>
      <c r="BAM22" s="24"/>
      <c r="BAN22" s="24"/>
      <c r="BAO22" s="24"/>
      <c r="BAP22" s="24"/>
      <c r="BAQ22" s="24"/>
      <c r="BAR22" s="24"/>
      <c r="BAS22" s="24"/>
      <c r="BAT22" s="24"/>
      <c r="BAU22" s="24"/>
      <c r="BAV22" s="24"/>
      <c r="BAW22" s="24"/>
      <c r="BAX22" s="24"/>
      <c r="BAY22" s="24"/>
      <c r="BAZ22" s="24"/>
      <c r="BBA22" s="24"/>
      <c r="BBB22" s="24"/>
      <c r="BBC22" s="24"/>
      <c r="BBD22" s="24"/>
      <c r="BBE22" s="24"/>
      <c r="BBF22" s="24"/>
      <c r="BBG22" s="24"/>
      <c r="BBH22" s="24"/>
      <c r="BBI22" s="24"/>
      <c r="BBJ22" s="24"/>
      <c r="BBK22" s="24"/>
      <c r="BBL22" s="24"/>
      <c r="BBM22" s="24"/>
      <c r="BBN22" s="24"/>
      <c r="BBO22" s="24"/>
      <c r="BBP22" s="24"/>
      <c r="BBQ22" s="24"/>
      <c r="BBR22" s="24"/>
      <c r="BBS22" s="24"/>
      <c r="BBT22" s="24"/>
      <c r="BBU22" s="24"/>
      <c r="BBV22" s="24"/>
      <c r="BBW22" s="24"/>
      <c r="BBX22" s="24"/>
      <c r="BBY22" s="24"/>
      <c r="BBZ22" s="24"/>
      <c r="BCA22" s="24"/>
      <c r="BCB22" s="24"/>
      <c r="BCC22" s="24"/>
      <c r="BCD22" s="24"/>
      <c r="BCE22" s="24"/>
      <c r="BCF22" s="24"/>
      <c r="BCG22" s="24"/>
      <c r="BCH22" s="24"/>
      <c r="BCI22" s="24"/>
      <c r="BCJ22" s="24"/>
      <c r="BCK22" s="24"/>
      <c r="BCL22" s="24"/>
      <c r="BCM22" s="24"/>
      <c r="BCN22" s="24"/>
      <c r="BCO22" s="24"/>
      <c r="BCP22" s="24"/>
      <c r="BCQ22" s="24"/>
      <c r="BCR22" s="24"/>
      <c r="BCS22" s="24"/>
      <c r="BCT22" s="24"/>
      <c r="BCU22" s="24"/>
      <c r="BCV22" s="24"/>
      <c r="BCW22" s="24"/>
      <c r="BCX22" s="24"/>
      <c r="BCY22" s="24"/>
      <c r="BCZ22" s="24"/>
      <c r="BDA22" s="24"/>
      <c r="BDB22" s="24"/>
      <c r="BDC22" s="24"/>
      <c r="BDD22" s="24"/>
      <c r="BDE22" s="24"/>
      <c r="BDF22" s="24"/>
      <c r="BDG22" s="24"/>
      <c r="BDH22" s="24"/>
      <c r="BDI22" s="24"/>
      <c r="BDJ22" s="24"/>
      <c r="BDK22" s="24"/>
      <c r="BDL22" s="24"/>
      <c r="BDM22" s="24"/>
      <c r="BDN22" s="24"/>
      <c r="BDO22" s="24"/>
      <c r="BDP22" s="24"/>
      <c r="BDQ22" s="24"/>
      <c r="BDR22" s="24"/>
      <c r="BDS22" s="24"/>
      <c r="BDT22" s="24"/>
      <c r="BDU22" s="24"/>
      <c r="BDV22" s="24"/>
      <c r="BDW22" s="24"/>
      <c r="BDX22" s="24"/>
      <c r="BDY22" s="24"/>
      <c r="BDZ22" s="24"/>
      <c r="BEA22" s="24"/>
      <c r="BEB22" s="24"/>
      <c r="BEC22" s="24"/>
      <c r="BED22" s="24"/>
      <c r="BEE22" s="24"/>
      <c r="BEF22" s="24"/>
      <c r="BEG22" s="24"/>
      <c r="BEH22" s="24"/>
      <c r="BEI22" s="24"/>
      <c r="BEJ22" s="24"/>
      <c r="BEK22" s="24"/>
      <c r="BEL22" s="24"/>
      <c r="BEM22" s="24"/>
      <c r="BEN22" s="24"/>
      <c r="BEO22" s="24"/>
      <c r="BEP22" s="24"/>
      <c r="BEQ22" s="24"/>
      <c r="BER22" s="24"/>
      <c r="BES22" s="24"/>
      <c r="BET22" s="24"/>
      <c r="BEU22" s="24"/>
      <c r="BEV22" s="24"/>
      <c r="BEW22" s="24"/>
      <c r="BEX22" s="24"/>
      <c r="BEY22" s="24"/>
      <c r="BEZ22" s="24"/>
      <c r="BFA22" s="24"/>
      <c r="BFB22" s="24"/>
      <c r="BFC22" s="24"/>
      <c r="BFD22" s="24"/>
      <c r="BFE22" s="24"/>
      <c r="BFF22" s="24"/>
      <c r="BFG22" s="24"/>
      <c r="BFH22" s="24"/>
      <c r="BFI22" s="24"/>
      <c r="BFJ22" s="24"/>
      <c r="BFK22" s="24"/>
      <c r="BFL22" s="24"/>
      <c r="BFM22" s="24"/>
      <c r="BFN22" s="24"/>
      <c r="BFO22" s="24"/>
      <c r="BFP22" s="24"/>
      <c r="BFQ22" s="24"/>
      <c r="BFR22" s="24"/>
      <c r="BFS22" s="24"/>
      <c r="BFT22" s="24"/>
      <c r="BFU22" s="24"/>
      <c r="BFV22" s="24"/>
      <c r="BFW22" s="24"/>
      <c r="BFX22" s="24"/>
      <c r="BFY22" s="24"/>
      <c r="BFZ22" s="24"/>
      <c r="BGA22" s="24"/>
      <c r="BGB22" s="24"/>
      <c r="BGC22" s="24"/>
      <c r="BGD22" s="24"/>
      <c r="BGE22" s="24"/>
      <c r="BGF22" s="24"/>
      <c r="BGG22" s="24"/>
      <c r="BGH22" s="24"/>
      <c r="BGI22" s="24"/>
      <c r="BGJ22" s="24"/>
      <c r="BGK22" s="24"/>
      <c r="BGL22" s="24"/>
      <c r="BGM22" s="24"/>
      <c r="BGN22" s="24"/>
      <c r="BGO22" s="24"/>
      <c r="BGP22" s="24"/>
      <c r="BGQ22" s="24"/>
      <c r="BGR22" s="24"/>
      <c r="BGS22" s="24"/>
      <c r="BGT22" s="24"/>
      <c r="BGU22" s="24"/>
      <c r="BGV22" s="24"/>
      <c r="BGW22" s="24"/>
      <c r="BGX22" s="24"/>
      <c r="BGY22" s="24"/>
      <c r="BGZ22" s="24"/>
      <c r="BHA22" s="24"/>
      <c r="BHB22" s="24"/>
      <c r="BHC22" s="24"/>
      <c r="BHD22" s="24"/>
      <c r="BHE22" s="24"/>
      <c r="BHF22" s="24"/>
      <c r="BHG22" s="24"/>
      <c r="BHH22" s="24"/>
      <c r="BHI22" s="24"/>
      <c r="BHJ22" s="24"/>
      <c r="BHK22" s="24"/>
      <c r="BHL22" s="24"/>
      <c r="BHM22" s="24"/>
      <c r="BHN22" s="24"/>
      <c r="BHO22" s="24"/>
      <c r="BHP22" s="24"/>
      <c r="BHQ22" s="24"/>
      <c r="BHR22" s="24"/>
      <c r="BHS22" s="24"/>
      <c r="BHT22" s="24"/>
      <c r="BHU22" s="24"/>
      <c r="BHV22" s="24"/>
      <c r="BHW22" s="24"/>
      <c r="BHX22" s="24"/>
      <c r="BHY22" s="24"/>
      <c r="BHZ22" s="24"/>
      <c r="BIA22" s="24"/>
      <c r="BIB22" s="24"/>
      <c r="BIC22" s="24"/>
      <c r="BID22" s="24"/>
      <c r="BIE22" s="24"/>
      <c r="BIF22" s="24"/>
      <c r="BIG22" s="24"/>
      <c r="BIH22" s="24"/>
      <c r="BII22" s="24"/>
      <c r="BIJ22" s="24"/>
      <c r="BIK22" s="24"/>
      <c r="BIL22" s="24"/>
      <c r="BIM22" s="24"/>
      <c r="BIN22" s="24"/>
      <c r="BIO22" s="24"/>
      <c r="BIP22" s="24"/>
      <c r="BIQ22" s="24"/>
      <c r="BIR22" s="24"/>
      <c r="BIS22" s="24"/>
      <c r="BIT22" s="24"/>
      <c r="BIU22" s="24"/>
      <c r="BIV22" s="24"/>
      <c r="BIW22" s="24"/>
      <c r="BIX22" s="24"/>
      <c r="BIY22" s="24"/>
      <c r="BIZ22" s="24"/>
      <c r="BJA22" s="24"/>
      <c r="BJB22" s="24"/>
      <c r="BJC22" s="24"/>
      <c r="BJD22" s="24"/>
      <c r="BJE22" s="24"/>
      <c r="BJF22" s="24"/>
      <c r="BJG22" s="24"/>
      <c r="BJH22" s="24"/>
      <c r="BJI22" s="24"/>
      <c r="BJJ22" s="24"/>
      <c r="BJK22" s="24"/>
      <c r="BJL22" s="24"/>
      <c r="BJM22" s="24"/>
      <c r="BJN22" s="24"/>
      <c r="BJO22" s="24"/>
      <c r="BJP22" s="24"/>
      <c r="BJQ22" s="24"/>
      <c r="BJR22" s="24"/>
      <c r="BJS22" s="24"/>
      <c r="BJT22" s="24"/>
      <c r="BJU22" s="24"/>
      <c r="BJV22" s="24"/>
      <c r="BJW22" s="24"/>
      <c r="BJX22" s="24"/>
      <c r="BJY22" s="24"/>
      <c r="BJZ22" s="24"/>
      <c r="BKA22" s="24"/>
      <c r="BKB22" s="24"/>
      <c r="BKC22" s="24"/>
      <c r="BKD22" s="24"/>
      <c r="BKE22" s="24"/>
      <c r="BKF22" s="24"/>
      <c r="BKG22" s="24"/>
      <c r="BKH22" s="24"/>
      <c r="BKI22" s="24"/>
      <c r="BKJ22" s="24"/>
      <c r="BKK22" s="24"/>
      <c r="BKL22" s="24"/>
      <c r="BKM22" s="24"/>
      <c r="BKN22" s="24"/>
      <c r="BKO22" s="24"/>
      <c r="BKP22" s="24"/>
      <c r="BKQ22" s="24"/>
      <c r="BKR22" s="24"/>
      <c r="BKS22" s="24"/>
      <c r="BKT22" s="24"/>
      <c r="BKU22" s="24"/>
      <c r="BKV22" s="24"/>
      <c r="BKW22" s="24"/>
      <c r="BKX22" s="24"/>
      <c r="BKY22" s="24"/>
      <c r="BKZ22" s="24"/>
      <c r="BLA22" s="24"/>
      <c r="BLB22" s="24"/>
      <c r="BLC22" s="24"/>
      <c r="BLD22" s="24"/>
      <c r="BLE22" s="24"/>
      <c r="BLF22" s="24"/>
      <c r="BLG22" s="24"/>
      <c r="BLH22" s="24"/>
      <c r="BLI22" s="24"/>
      <c r="BLJ22" s="24"/>
      <c r="BLK22" s="24"/>
      <c r="BLL22" s="24"/>
      <c r="BLM22" s="24"/>
      <c r="BLN22" s="24"/>
      <c r="BLO22" s="24"/>
      <c r="BLP22" s="24"/>
      <c r="BLQ22" s="24"/>
      <c r="BLR22" s="24"/>
      <c r="BLS22" s="24"/>
      <c r="BLT22" s="24"/>
      <c r="BLU22" s="24"/>
      <c r="BLV22" s="24"/>
      <c r="BLW22" s="24"/>
      <c r="BLX22" s="24"/>
      <c r="BLY22" s="24"/>
      <c r="BLZ22" s="24"/>
      <c r="BMA22" s="24"/>
      <c r="BMB22" s="24"/>
      <c r="BMC22" s="24"/>
      <c r="BMD22" s="24"/>
      <c r="BME22" s="24"/>
      <c r="BMF22" s="24"/>
      <c r="BMG22" s="24"/>
      <c r="BMH22" s="24"/>
      <c r="BMI22" s="24"/>
      <c r="BMJ22" s="24"/>
      <c r="BMK22" s="24"/>
      <c r="BML22" s="24"/>
      <c r="BMM22" s="24"/>
      <c r="BMN22" s="24"/>
      <c r="BMO22" s="24"/>
      <c r="BMP22" s="24"/>
      <c r="BMQ22" s="24"/>
      <c r="BMR22" s="24"/>
      <c r="BMS22" s="24"/>
      <c r="BMT22" s="24"/>
      <c r="BMU22" s="24"/>
      <c r="BMV22" s="24"/>
      <c r="BMW22" s="24"/>
      <c r="BMX22" s="24"/>
      <c r="BMY22" s="24"/>
      <c r="BMZ22" s="24"/>
      <c r="BNA22" s="24"/>
      <c r="BNB22" s="24"/>
      <c r="BNC22" s="24"/>
      <c r="BND22" s="24"/>
      <c r="BNE22" s="24"/>
      <c r="BNF22" s="24"/>
      <c r="BNG22" s="24"/>
      <c r="BNH22" s="24"/>
      <c r="BNI22" s="24"/>
      <c r="BNJ22" s="24"/>
      <c r="BNK22" s="24"/>
      <c r="BNL22" s="24"/>
      <c r="BNM22" s="24"/>
      <c r="BNN22" s="24"/>
      <c r="BNO22" s="24"/>
      <c r="BNP22" s="24"/>
      <c r="BNQ22" s="24"/>
      <c r="BNR22" s="24"/>
      <c r="BNS22" s="24"/>
      <c r="BNT22" s="24"/>
      <c r="BNU22" s="24"/>
      <c r="BNV22" s="24"/>
      <c r="BNW22" s="24"/>
      <c r="BNX22" s="24"/>
      <c r="BNY22" s="24"/>
      <c r="BNZ22" s="24"/>
      <c r="BOA22" s="24"/>
      <c r="BOB22" s="24"/>
      <c r="BOC22" s="24"/>
      <c r="BOD22" s="24"/>
      <c r="BOE22" s="24"/>
      <c r="BOF22" s="24"/>
      <c r="BOG22" s="24"/>
      <c r="BOH22" s="24"/>
      <c r="BOI22" s="24"/>
      <c r="BOJ22" s="24"/>
      <c r="BOK22" s="24"/>
      <c r="BOL22" s="24"/>
      <c r="BOM22" s="24"/>
      <c r="BON22" s="24"/>
      <c r="BOO22" s="24"/>
      <c r="BOP22" s="24"/>
      <c r="BOQ22" s="24"/>
      <c r="BOR22" s="24"/>
      <c r="BOS22" s="24"/>
      <c r="BOT22" s="24"/>
      <c r="BOU22" s="24"/>
      <c r="BOV22" s="24"/>
      <c r="BOW22" s="24"/>
      <c r="BOX22" s="24"/>
      <c r="BOY22" s="24"/>
      <c r="BOZ22" s="24"/>
      <c r="BPA22" s="24"/>
      <c r="BPB22" s="24"/>
      <c r="BPC22" s="24"/>
      <c r="BPD22" s="24"/>
      <c r="BPE22" s="24"/>
      <c r="BPF22" s="24"/>
      <c r="BPG22" s="24"/>
      <c r="BPH22" s="24"/>
      <c r="BPI22" s="24"/>
      <c r="BPJ22" s="24"/>
      <c r="BPK22" s="24"/>
      <c r="BPL22" s="24"/>
      <c r="BPM22" s="24"/>
      <c r="BPN22" s="24"/>
      <c r="BPO22" s="24"/>
      <c r="BPP22" s="24"/>
      <c r="BPQ22" s="24"/>
      <c r="BPR22" s="24"/>
      <c r="BPS22" s="24"/>
      <c r="BPT22" s="24"/>
      <c r="BPU22" s="24"/>
      <c r="BPV22" s="24"/>
      <c r="BPW22" s="24"/>
      <c r="BPX22" s="24"/>
      <c r="BPY22" s="24"/>
      <c r="BPZ22" s="24"/>
      <c r="BQA22" s="24"/>
      <c r="BQB22" s="24"/>
      <c r="BQC22" s="24"/>
      <c r="BQD22" s="24"/>
      <c r="BQE22" s="24"/>
      <c r="BQF22" s="24"/>
      <c r="BQG22" s="24"/>
      <c r="BQH22" s="24"/>
      <c r="BQI22" s="24"/>
      <c r="BQJ22" s="24"/>
      <c r="BQK22" s="24"/>
      <c r="BQL22" s="24"/>
      <c r="BQM22" s="24"/>
      <c r="BQN22" s="24"/>
      <c r="BQO22" s="24"/>
      <c r="BQP22" s="24"/>
      <c r="BQQ22" s="24"/>
      <c r="BQR22" s="24"/>
      <c r="BQS22" s="24"/>
      <c r="BQT22" s="24"/>
      <c r="BQU22" s="24"/>
      <c r="BQV22" s="24"/>
      <c r="BQW22" s="24"/>
      <c r="BQX22" s="24"/>
      <c r="BQY22" s="24"/>
      <c r="BQZ22" s="24"/>
      <c r="BRA22" s="24"/>
      <c r="BRB22" s="24"/>
      <c r="BRC22" s="24"/>
      <c r="BRD22" s="24"/>
      <c r="BRE22" s="24"/>
      <c r="BRF22" s="24"/>
      <c r="BRG22" s="24"/>
      <c r="BRH22" s="24"/>
      <c r="BRI22" s="24"/>
      <c r="BRJ22" s="24"/>
      <c r="BRK22" s="24"/>
      <c r="BRL22" s="24"/>
      <c r="BRM22" s="24"/>
      <c r="BRN22" s="24"/>
      <c r="BRO22" s="24"/>
      <c r="BRP22" s="24"/>
      <c r="BRQ22" s="24"/>
      <c r="BRR22" s="24"/>
      <c r="BRS22" s="24"/>
      <c r="BRT22" s="24"/>
      <c r="BRU22" s="24"/>
      <c r="BRV22" s="24"/>
      <c r="BRW22" s="24"/>
      <c r="BRX22" s="24"/>
      <c r="BRY22" s="24"/>
      <c r="BRZ22" s="24"/>
      <c r="BSA22" s="24"/>
      <c r="BSB22" s="24"/>
      <c r="BSC22" s="24"/>
      <c r="BSD22" s="24"/>
      <c r="BSE22" s="24"/>
      <c r="BSF22" s="24"/>
      <c r="BSG22" s="24"/>
      <c r="BSH22" s="24"/>
      <c r="BSI22" s="24"/>
      <c r="BSJ22" s="24"/>
      <c r="BSK22" s="24"/>
      <c r="BSL22" s="24"/>
      <c r="BSM22" s="24"/>
      <c r="BSN22" s="24"/>
      <c r="BSO22" s="24"/>
      <c r="BSP22" s="24"/>
      <c r="BSQ22" s="24"/>
      <c r="BSR22" s="24"/>
      <c r="BSS22" s="24"/>
      <c r="BST22" s="24"/>
      <c r="BSU22" s="24"/>
      <c r="BSV22" s="24"/>
      <c r="BSW22" s="24"/>
      <c r="BSX22" s="24"/>
      <c r="BSY22" s="24"/>
      <c r="BSZ22" s="24"/>
      <c r="BTA22" s="24"/>
      <c r="BTB22" s="24"/>
      <c r="BTC22" s="24"/>
      <c r="BTD22" s="24"/>
      <c r="BTE22" s="24"/>
      <c r="BTF22" s="24"/>
      <c r="BTG22" s="24"/>
      <c r="BTH22" s="24"/>
      <c r="BTI22" s="24"/>
      <c r="BTJ22" s="24"/>
      <c r="BTK22" s="24"/>
      <c r="BTL22" s="24"/>
      <c r="BTM22" s="24"/>
      <c r="BTN22" s="24"/>
      <c r="BTO22" s="24"/>
      <c r="BTP22" s="24"/>
      <c r="BTQ22" s="24"/>
      <c r="BTR22" s="24"/>
      <c r="BTS22" s="24"/>
      <c r="BTT22" s="24"/>
      <c r="BTU22" s="24"/>
      <c r="BTV22" s="24"/>
      <c r="BTW22" s="24"/>
      <c r="BTX22" s="24"/>
      <c r="BTY22" s="24"/>
      <c r="BTZ22" s="24"/>
      <c r="BUA22" s="24"/>
      <c r="BUB22" s="24"/>
      <c r="BUC22" s="24"/>
      <c r="BUD22" s="24"/>
      <c r="BUE22" s="24"/>
      <c r="BUF22" s="24"/>
      <c r="BUG22" s="24"/>
      <c r="BUH22" s="24"/>
      <c r="BUI22" s="24"/>
      <c r="BUJ22" s="24"/>
      <c r="BUK22" s="24"/>
      <c r="BUL22" s="24"/>
      <c r="BUM22" s="24"/>
      <c r="BUN22" s="24"/>
      <c r="BUO22" s="24"/>
      <c r="BUP22" s="24"/>
      <c r="BUQ22" s="24"/>
      <c r="BUR22" s="24"/>
      <c r="BUS22" s="24"/>
      <c r="BUT22" s="24"/>
      <c r="BUU22" s="24"/>
      <c r="BUV22" s="24"/>
      <c r="BUW22" s="24"/>
      <c r="BUX22" s="24"/>
      <c r="BUY22" s="24"/>
      <c r="BUZ22" s="24"/>
      <c r="BVA22" s="24"/>
      <c r="BVB22" s="24"/>
      <c r="BVC22" s="24"/>
      <c r="BVD22" s="24"/>
      <c r="BVE22" s="24"/>
      <c r="BVF22" s="24"/>
      <c r="BVG22" s="24"/>
      <c r="BVH22" s="24"/>
      <c r="BVI22" s="24"/>
      <c r="BVJ22" s="24"/>
      <c r="BVK22" s="24"/>
      <c r="BVL22" s="24"/>
      <c r="BVM22" s="24"/>
      <c r="BVN22" s="24"/>
      <c r="BVO22" s="24"/>
      <c r="BVP22" s="24"/>
      <c r="BVQ22" s="24"/>
      <c r="BVR22" s="24"/>
      <c r="BVS22" s="24"/>
      <c r="BVT22" s="24"/>
      <c r="BVU22" s="24"/>
      <c r="BVV22" s="24"/>
      <c r="BVW22" s="24"/>
      <c r="BVX22" s="24"/>
      <c r="BVY22" s="24"/>
      <c r="BVZ22" s="24"/>
      <c r="BWA22" s="24"/>
      <c r="BWB22" s="24"/>
      <c r="BWC22" s="24"/>
      <c r="BWD22" s="24"/>
      <c r="BWE22" s="24"/>
      <c r="BWF22" s="24"/>
      <c r="BWG22" s="24"/>
      <c r="BWH22" s="24"/>
      <c r="BWI22" s="24"/>
      <c r="BWJ22" s="24"/>
      <c r="BWK22" s="24"/>
      <c r="BWL22" s="24"/>
      <c r="BWM22" s="24"/>
      <c r="BWN22" s="24"/>
      <c r="BWO22" s="24"/>
      <c r="BWP22" s="24"/>
      <c r="BWQ22" s="24"/>
      <c r="BWR22" s="24"/>
      <c r="BWS22" s="24"/>
      <c r="BWT22" s="24"/>
      <c r="BWU22" s="24"/>
      <c r="BWV22" s="24"/>
      <c r="BWW22" s="24"/>
      <c r="BWX22" s="24"/>
      <c r="BWY22" s="24"/>
      <c r="BWZ22" s="24"/>
      <c r="BXA22" s="24"/>
      <c r="BXB22" s="24"/>
      <c r="BXC22" s="24"/>
      <c r="BXD22" s="24"/>
      <c r="BXE22" s="24"/>
      <c r="BXF22" s="24"/>
      <c r="BXG22" s="24"/>
      <c r="BXH22" s="24"/>
      <c r="BXI22" s="24"/>
      <c r="BXJ22" s="24"/>
      <c r="BXK22" s="24"/>
      <c r="BXL22" s="24"/>
      <c r="BXM22" s="24"/>
      <c r="BXN22" s="24"/>
      <c r="BXO22" s="24"/>
      <c r="BXP22" s="24"/>
      <c r="BXQ22" s="24"/>
      <c r="BXR22" s="24"/>
      <c r="BXS22" s="24"/>
      <c r="BXT22" s="24"/>
      <c r="BXU22" s="24"/>
      <c r="BXV22" s="24"/>
      <c r="BXW22" s="24"/>
      <c r="BXX22" s="24"/>
      <c r="BXY22" s="24"/>
      <c r="BXZ22" s="24"/>
      <c r="BYA22" s="24"/>
      <c r="BYB22" s="24"/>
      <c r="BYC22" s="24"/>
      <c r="BYD22" s="24"/>
      <c r="BYE22" s="24"/>
      <c r="BYF22" s="24"/>
      <c r="BYG22" s="24"/>
      <c r="BYH22" s="24"/>
      <c r="BYI22" s="24"/>
      <c r="BYJ22" s="24"/>
      <c r="BYK22" s="24"/>
      <c r="BYL22" s="24"/>
      <c r="BYM22" s="24"/>
      <c r="BYN22" s="24"/>
      <c r="BYO22" s="24"/>
      <c r="BYP22" s="24"/>
      <c r="BYQ22" s="24"/>
      <c r="BYR22" s="24"/>
      <c r="BYS22" s="24"/>
      <c r="BYT22" s="24"/>
      <c r="BYU22" s="24"/>
      <c r="BYV22" s="24"/>
      <c r="BYW22" s="24"/>
      <c r="BYX22" s="24"/>
      <c r="BYY22" s="24"/>
      <c r="BYZ22" s="24"/>
      <c r="BZA22" s="24"/>
      <c r="BZB22" s="24"/>
      <c r="BZC22" s="24"/>
      <c r="BZD22" s="24"/>
      <c r="BZE22" s="24"/>
      <c r="BZF22" s="24"/>
      <c r="BZG22" s="24"/>
      <c r="BZH22" s="24"/>
      <c r="BZI22" s="24"/>
      <c r="BZJ22" s="24"/>
      <c r="BZK22" s="24"/>
      <c r="BZL22" s="24"/>
      <c r="BZM22" s="24"/>
      <c r="BZN22" s="24"/>
      <c r="BZO22" s="24"/>
      <c r="BZP22" s="24"/>
      <c r="BZQ22" s="24"/>
      <c r="BZR22" s="24"/>
      <c r="BZS22" s="24"/>
      <c r="BZT22" s="24"/>
      <c r="BZU22" s="24"/>
      <c r="BZV22" s="24"/>
      <c r="BZW22" s="24"/>
      <c r="BZX22" s="24"/>
      <c r="BZY22" s="24"/>
      <c r="BZZ22" s="24"/>
      <c r="CAA22" s="24"/>
      <c r="CAB22" s="24"/>
      <c r="CAC22" s="24"/>
      <c r="CAD22" s="24"/>
      <c r="CAE22" s="24"/>
      <c r="CAF22" s="24"/>
      <c r="CAG22" s="24"/>
      <c r="CAH22" s="24"/>
      <c r="CAI22" s="24"/>
      <c r="CAJ22" s="24"/>
      <c r="CAK22" s="24"/>
      <c r="CAL22" s="24"/>
      <c r="CAM22" s="24"/>
      <c r="CAN22" s="24"/>
      <c r="CAO22" s="24"/>
      <c r="CAP22" s="24"/>
      <c r="CAQ22" s="24"/>
      <c r="CAR22" s="24"/>
      <c r="CAS22" s="24"/>
      <c r="CAT22" s="24"/>
      <c r="CAU22" s="24"/>
      <c r="CAV22" s="24"/>
      <c r="CAW22" s="24"/>
      <c r="CAX22" s="24"/>
      <c r="CAY22" s="24"/>
      <c r="CAZ22" s="24"/>
      <c r="CBA22" s="24"/>
      <c r="CBB22" s="24"/>
      <c r="CBC22" s="24"/>
      <c r="CBD22" s="24"/>
      <c r="CBE22" s="24"/>
      <c r="CBF22" s="24"/>
      <c r="CBG22" s="24"/>
      <c r="CBH22" s="24"/>
      <c r="CBI22" s="24"/>
      <c r="CBJ22" s="24"/>
      <c r="CBK22" s="24"/>
      <c r="CBL22" s="24"/>
      <c r="CBM22" s="24"/>
      <c r="CBN22" s="24"/>
      <c r="CBO22" s="24"/>
      <c r="CBP22" s="24"/>
      <c r="CBQ22" s="24"/>
      <c r="CBR22" s="24"/>
      <c r="CBS22" s="24"/>
      <c r="CBT22" s="24"/>
      <c r="CBU22" s="24"/>
      <c r="CBV22" s="24"/>
      <c r="CBW22" s="24"/>
      <c r="CBX22" s="24"/>
      <c r="CBY22" s="24"/>
      <c r="CBZ22" s="24"/>
      <c r="CCA22" s="24"/>
      <c r="CCB22" s="24"/>
      <c r="CCC22" s="24"/>
      <c r="CCD22" s="24"/>
      <c r="CCE22" s="24"/>
      <c r="CCF22" s="24"/>
      <c r="CCG22" s="24"/>
      <c r="CCH22" s="24"/>
      <c r="CCI22" s="24"/>
      <c r="CCJ22" s="24"/>
      <c r="CCK22" s="24"/>
      <c r="CCL22" s="24"/>
      <c r="CCM22" s="24"/>
      <c r="CCN22" s="24"/>
      <c r="CCO22" s="24"/>
      <c r="CCP22" s="24"/>
      <c r="CCQ22" s="24"/>
      <c r="CCR22" s="24"/>
      <c r="CCS22" s="24"/>
      <c r="CCT22" s="24"/>
      <c r="CCU22" s="24"/>
      <c r="CCV22" s="24"/>
      <c r="CCW22" s="24"/>
      <c r="CCX22" s="24"/>
      <c r="CCY22" s="24"/>
      <c r="CCZ22" s="24"/>
      <c r="CDA22" s="24"/>
      <c r="CDB22" s="24"/>
      <c r="CDC22" s="24"/>
      <c r="CDD22" s="24"/>
      <c r="CDE22" s="24"/>
      <c r="CDF22" s="24"/>
      <c r="CDG22" s="24"/>
      <c r="CDH22" s="24"/>
      <c r="CDI22" s="24"/>
      <c r="CDJ22" s="24"/>
      <c r="CDK22" s="24"/>
      <c r="CDL22" s="24"/>
      <c r="CDM22" s="24"/>
      <c r="CDN22" s="24"/>
      <c r="CDO22" s="24"/>
      <c r="CDP22" s="24"/>
      <c r="CDQ22" s="24"/>
      <c r="CDR22" s="24"/>
      <c r="CDS22" s="24"/>
      <c r="CDT22" s="24"/>
      <c r="CDU22" s="24"/>
      <c r="CDV22" s="24"/>
      <c r="CDW22" s="24"/>
      <c r="CDX22" s="24"/>
      <c r="CDY22" s="24"/>
      <c r="CDZ22" s="24"/>
      <c r="CEA22" s="24"/>
      <c r="CEB22" s="24"/>
      <c r="CEC22" s="24"/>
      <c r="CED22" s="24"/>
      <c r="CEE22" s="24"/>
      <c r="CEF22" s="24"/>
      <c r="CEG22" s="24"/>
      <c r="CEH22" s="24"/>
      <c r="CEI22" s="24"/>
      <c r="CEJ22" s="24"/>
      <c r="CEK22" s="24"/>
      <c r="CEL22" s="24"/>
      <c r="CEM22" s="24"/>
      <c r="CEN22" s="24"/>
      <c r="CEO22" s="24"/>
      <c r="CEP22" s="24"/>
      <c r="CEQ22" s="24"/>
      <c r="CER22" s="24"/>
      <c r="CES22" s="24"/>
      <c r="CET22" s="24"/>
      <c r="CEU22" s="24"/>
      <c r="CEV22" s="24"/>
      <c r="CEW22" s="24"/>
      <c r="CEX22" s="24"/>
      <c r="CEY22" s="24"/>
      <c r="CEZ22" s="24"/>
      <c r="CFA22" s="24"/>
      <c r="CFB22" s="24"/>
      <c r="CFC22" s="24"/>
      <c r="CFD22" s="24"/>
      <c r="CFE22" s="24"/>
      <c r="CFF22" s="24"/>
      <c r="CFG22" s="24"/>
      <c r="CFH22" s="24"/>
      <c r="CFI22" s="24"/>
      <c r="CFJ22" s="24"/>
      <c r="CFK22" s="24"/>
      <c r="CFL22" s="24"/>
      <c r="CFM22" s="24"/>
      <c r="CFN22" s="24"/>
      <c r="CFO22" s="24"/>
      <c r="CFP22" s="24"/>
      <c r="CFQ22" s="24"/>
      <c r="CFR22" s="24"/>
      <c r="CFS22" s="24"/>
      <c r="CFT22" s="24"/>
      <c r="CFU22" s="24"/>
      <c r="CFV22" s="24"/>
      <c r="CFW22" s="24"/>
      <c r="CFX22" s="24"/>
      <c r="CFY22" s="24"/>
      <c r="CFZ22" s="24"/>
      <c r="CGA22" s="24"/>
      <c r="CGB22" s="24"/>
      <c r="CGC22" s="24"/>
      <c r="CGD22" s="24"/>
      <c r="CGE22" s="24"/>
      <c r="CGF22" s="24"/>
      <c r="CGG22" s="24"/>
      <c r="CGH22" s="24"/>
      <c r="CGI22" s="24"/>
      <c r="CGJ22" s="24"/>
      <c r="CGK22" s="24"/>
      <c r="CGL22" s="24"/>
      <c r="CGM22" s="24"/>
      <c r="CGN22" s="24"/>
      <c r="CGO22" s="24"/>
      <c r="CGP22" s="24"/>
      <c r="CGQ22" s="24"/>
      <c r="CGR22" s="24"/>
      <c r="CGS22" s="24"/>
      <c r="CGT22" s="24"/>
      <c r="CGU22" s="24"/>
      <c r="CGV22" s="24"/>
      <c r="CGW22" s="24"/>
      <c r="CGX22" s="24"/>
      <c r="CGY22" s="24"/>
      <c r="CGZ22" s="24"/>
      <c r="CHA22" s="24"/>
      <c r="CHB22" s="24"/>
      <c r="CHC22" s="24"/>
      <c r="CHD22" s="24"/>
      <c r="CHE22" s="24"/>
      <c r="CHF22" s="24"/>
      <c r="CHG22" s="24"/>
      <c r="CHH22" s="24"/>
      <c r="CHI22" s="24"/>
      <c r="CHJ22" s="24"/>
      <c r="CHK22" s="24"/>
      <c r="CHL22" s="24"/>
      <c r="CHM22" s="24"/>
      <c r="CHN22" s="24"/>
      <c r="CHO22" s="24"/>
      <c r="CHP22" s="24"/>
      <c r="CHQ22" s="24"/>
      <c r="CHR22" s="24"/>
      <c r="CHS22" s="24"/>
      <c r="CHT22" s="24"/>
      <c r="CHU22" s="24"/>
      <c r="CHV22" s="24"/>
      <c r="CHW22" s="24"/>
      <c r="CHX22" s="24"/>
      <c r="CHY22" s="24"/>
      <c r="CHZ22" s="24"/>
      <c r="CIA22" s="24"/>
      <c r="CIB22" s="24"/>
      <c r="CIC22" s="24"/>
      <c r="CID22" s="24"/>
      <c r="CIE22" s="24"/>
      <c r="CIF22" s="24"/>
      <c r="CIG22" s="24"/>
      <c r="CIH22" s="24"/>
      <c r="CII22" s="24"/>
      <c r="CIJ22" s="24"/>
      <c r="CIK22" s="24"/>
      <c r="CIL22" s="24"/>
      <c r="CIM22" s="24"/>
      <c r="CIN22" s="24"/>
      <c r="CIO22" s="24"/>
      <c r="CIP22" s="24"/>
      <c r="CIQ22" s="24"/>
      <c r="CIR22" s="24"/>
      <c r="CIS22" s="24"/>
      <c r="CIT22" s="24"/>
      <c r="CIU22" s="24"/>
      <c r="CIV22" s="24"/>
      <c r="CIW22" s="24"/>
      <c r="CIX22" s="24"/>
      <c r="CIY22" s="24"/>
      <c r="CIZ22" s="24"/>
      <c r="CJA22" s="24"/>
      <c r="CJB22" s="24"/>
      <c r="CJC22" s="24"/>
      <c r="CJD22" s="24"/>
      <c r="CJE22" s="24"/>
      <c r="CJF22" s="24"/>
      <c r="CJG22" s="24"/>
      <c r="CJH22" s="24"/>
      <c r="CJI22" s="24"/>
      <c r="CJJ22" s="24"/>
      <c r="CJK22" s="24"/>
      <c r="CJL22" s="24"/>
      <c r="CJM22" s="24"/>
      <c r="CJN22" s="24"/>
      <c r="CJO22" s="24"/>
      <c r="CJP22" s="24"/>
      <c r="CJQ22" s="24"/>
      <c r="CJR22" s="24"/>
      <c r="CJS22" s="24"/>
      <c r="CJT22" s="24"/>
      <c r="CJU22" s="24"/>
      <c r="CJV22" s="24"/>
      <c r="CJW22" s="24"/>
      <c r="CJX22" s="24"/>
      <c r="CJY22" s="24"/>
      <c r="CJZ22" s="24"/>
      <c r="CKA22" s="24"/>
      <c r="CKB22" s="24"/>
      <c r="CKC22" s="24"/>
      <c r="CKD22" s="24"/>
      <c r="CKE22" s="24"/>
      <c r="CKF22" s="24"/>
      <c r="CKG22" s="24"/>
      <c r="CKH22" s="24"/>
      <c r="CKI22" s="24"/>
      <c r="CKJ22" s="24"/>
      <c r="CKK22" s="24"/>
      <c r="CKL22" s="24"/>
      <c r="CKM22" s="24"/>
      <c r="CKN22" s="24"/>
      <c r="CKO22" s="24"/>
      <c r="CKP22" s="24"/>
      <c r="CKQ22" s="24"/>
      <c r="CKR22" s="24"/>
      <c r="CKS22" s="24"/>
      <c r="CKT22" s="24"/>
      <c r="CKU22" s="24"/>
      <c r="CKV22" s="24"/>
      <c r="CKW22" s="24"/>
      <c r="CKX22" s="24"/>
      <c r="CKY22" s="24"/>
      <c r="CKZ22" s="24"/>
      <c r="CLA22" s="24"/>
      <c r="CLB22" s="24"/>
      <c r="CLC22" s="24"/>
      <c r="CLD22" s="24"/>
      <c r="CLE22" s="24"/>
      <c r="CLF22" s="24"/>
      <c r="CLG22" s="24"/>
      <c r="CLH22" s="24"/>
      <c r="CLI22" s="24"/>
      <c r="CLJ22" s="24"/>
      <c r="CLK22" s="24"/>
      <c r="CLL22" s="24"/>
      <c r="CLM22" s="24"/>
      <c r="CLN22" s="24"/>
      <c r="CLO22" s="24"/>
      <c r="CLP22" s="24"/>
      <c r="CLQ22" s="24"/>
      <c r="CLR22" s="24"/>
      <c r="CLS22" s="24"/>
      <c r="CLT22" s="24"/>
      <c r="CLU22" s="24"/>
      <c r="CLV22" s="24"/>
      <c r="CLW22" s="24"/>
      <c r="CLX22" s="24"/>
      <c r="CLY22" s="24"/>
      <c r="CLZ22" s="24"/>
      <c r="CMA22" s="24"/>
      <c r="CMB22" s="24"/>
      <c r="CMC22" s="24"/>
      <c r="CMD22" s="24"/>
      <c r="CME22" s="24"/>
      <c r="CMF22" s="24"/>
      <c r="CMG22" s="24"/>
      <c r="CMH22" s="24"/>
      <c r="CMI22" s="24"/>
      <c r="CMJ22" s="24"/>
      <c r="CMK22" s="24"/>
      <c r="CML22" s="24"/>
      <c r="CMM22" s="24"/>
      <c r="CMN22" s="24"/>
      <c r="CMO22" s="24"/>
      <c r="CMP22" s="24"/>
      <c r="CMQ22" s="24"/>
      <c r="CMR22" s="24"/>
      <c r="CMS22" s="24"/>
      <c r="CMT22" s="24"/>
      <c r="CMU22" s="24"/>
      <c r="CMV22" s="24"/>
      <c r="CMW22" s="24"/>
      <c r="CMX22" s="24"/>
      <c r="CMY22" s="24"/>
      <c r="CMZ22" s="24"/>
      <c r="CNA22" s="24"/>
      <c r="CNB22" s="24"/>
      <c r="CNC22" s="24"/>
      <c r="CND22" s="24"/>
      <c r="CNE22" s="24"/>
      <c r="CNF22" s="24"/>
      <c r="CNG22" s="24"/>
      <c r="CNH22" s="24"/>
      <c r="CNI22" s="24"/>
      <c r="CNJ22" s="24"/>
      <c r="CNK22" s="24"/>
      <c r="CNL22" s="24"/>
      <c r="CNM22" s="24"/>
      <c r="CNN22" s="24"/>
      <c r="CNO22" s="24"/>
      <c r="CNP22" s="24"/>
      <c r="CNQ22" s="24"/>
      <c r="CNR22" s="24"/>
      <c r="CNS22" s="24"/>
      <c r="CNT22" s="24"/>
      <c r="CNU22" s="24"/>
      <c r="CNV22" s="24"/>
      <c r="CNW22" s="24"/>
      <c r="CNX22" s="24"/>
      <c r="CNY22" s="24"/>
      <c r="CNZ22" s="24"/>
      <c r="COA22" s="24"/>
      <c r="COB22" s="24"/>
      <c r="COC22" s="24"/>
      <c r="COD22" s="24"/>
      <c r="COE22" s="24"/>
      <c r="COF22" s="24"/>
      <c r="COG22" s="24"/>
      <c r="COH22" s="24"/>
      <c r="COI22" s="24"/>
      <c r="COJ22" s="24"/>
      <c r="COK22" s="24"/>
      <c r="COL22" s="24"/>
      <c r="COM22" s="24"/>
      <c r="CON22" s="24"/>
      <c r="COO22" s="24"/>
      <c r="COP22" s="24"/>
      <c r="COQ22" s="24"/>
      <c r="COR22" s="24"/>
      <c r="COS22" s="24"/>
      <c r="COT22" s="24"/>
      <c r="COU22" s="24"/>
      <c r="COV22" s="24"/>
      <c r="COW22" s="24"/>
      <c r="COX22" s="24"/>
      <c r="COY22" s="24"/>
      <c r="COZ22" s="24"/>
      <c r="CPA22" s="24"/>
      <c r="CPB22" s="24"/>
      <c r="CPC22" s="24"/>
      <c r="CPD22" s="24"/>
      <c r="CPE22" s="24"/>
      <c r="CPF22" s="24"/>
      <c r="CPG22" s="24"/>
      <c r="CPH22" s="24"/>
      <c r="CPI22" s="24"/>
      <c r="CPJ22" s="24"/>
      <c r="CPK22" s="24"/>
      <c r="CPL22" s="24"/>
      <c r="CPM22" s="24"/>
      <c r="CPN22" s="24"/>
      <c r="CPO22" s="24"/>
      <c r="CPP22" s="24"/>
      <c r="CPQ22" s="24"/>
      <c r="CPR22" s="24"/>
      <c r="CPS22" s="24"/>
      <c r="CPT22" s="24"/>
      <c r="CPU22" s="24"/>
      <c r="CPV22" s="24"/>
      <c r="CPW22" s="24"/>
      <c r="CPX22" s="24"/>
      <c r="CPY22" s="24"/>
      <c r="CPZ22" s="24"/>
      <c r="CQA22" s="24"/>
      <c r="CQB22" s="24"/>
      <c r="CQC22" s="24"/>
      <c r="CQD22" s="24"/>
      <c r="CQE22" s="24"/>
      <c r="CQF22" s="24"/>
      <c r="CQG22" s="24"/>
      <c r="CQH22" s="24"/>
      <c r="CQI22" s="24"/>
      <c r="CQJ22" s="24"/>
      <c r="CQK22" s="24"/>
      <c r="CQL22" s="24"/>
      <c r="CQM22" s="24"/>
      <c r="CQN22" s="24"/>
      <c r="CQO22" s="24"/>
      <c r="CQP22" s="24"/>
      <c r="CQQ22" s="24"/>
      <c r="CQR22" s="24"/>
      <c r="CQS22" s="24"/>
      <c r="CQT22" s="24"/>
      <c r="CQU22" s="24"/>
      <c r="CQV22" s="24"/>
      <c r="CQW22" s="24"/>
      <c r="CQX22" s="24"/>
      <c r="CQY22" s="24"/>
      <c r="CQZ22" s="24"/>
      <c r="CRA22" s="24"/>
      <c r="CRB22" s="24"/>
      <c r="CRC22" s="24"/>
      <c r="CRD22" s="24"/>
      <c r="CRE22" s="24"/>
      <c r="CRF22" s="24"/>
      <c r="CRG22" s="24"/>
      <c r="CRH22" s="24"/>
      <c r="CRI22" s="24"/>
      <c r="CRJ22" s="24"/>
      <c r="CRK22" s="24"/>
      <c r="CRL22" s="24"/>
      <c r="CRM22" s="24"/>
      <c r="CRN22" s="24"/>
      <c r="CRO22" s="24"/>
      <c r="CRP22" s="24"/>
      <c r="CRQ22" s="24"/>
      <c r="CRR22" s="24"/>
      <c r="CRS22" s="24"/>
      <c r="CRT22" s="24"/>
      <c r="CRU22" s="24"/>
      <c r="CRV22" s="24"/>
      <c r="CRW22" s="24"/>
      <c r="CRX22" s="24"/>
      <c r="CRY22" s="24"/>
      <c r="CRZ22" s="24"/>
      <c r="CSA22" s="24"/>
      <c r="CSB22" s="24"/>
      <c r="CSC22" s="24"/>
      <c r="CSD22" s="24"/>
      <c r="CSE22" s="24"/>
      <c r="CSF22" s="24"/>
      <c r="CSG22" s="24"/>
      <c r="CSH22" s="24"/>
      <c r="CSI22" s="24"/>
      <c r="CSJ22" s="24"/>
      <c r="CSK22" s="24"/>
      <c r="CSL22" s="24"/>
      <c r="CSM22" s="24"/>
      <c r="CSN22" s="24"/>
      <c r="CSO22" s="24"/>
      <c r="CSP22" s="24"/>
      <c r="CSQ22" s="24"/>
      <c r="CSR22" s="24"/>
      <c r="CSS22" s="24"/>
      <c r="CST22" s="24"/>
      <c r="CSU22" s="24"/>
      <c r="CSV22" s="24"/>
      <c r="CSW22" s="24"/>
      <c r="CSX22" s="24"/>
      <c r="CSY22" s="24"/>
      <c r="CSZ22" s="24"/>
      <c r="CTA22" s="24"/>
      <c r="CTB22" s="24"/>
      <c r="CTC22" s="24"/>
      <c r="CTD22" s="24"/>
      <c r="CTE22" s="24"/>
      <c r="CTF22" s="24"/>
      <c r="CTG22" s="24"/>
      <c r="CTH22" s="24"/>
      <c r="CTI22" s="24"/>
      <c r="CTJ22" s="24"/>
      <c r="CTK22" s="24"/>
      <c r="CTL22" s="24"/>
      <c r="CTM22" s="24"/>
      <c r="CTN22" s="24"/>
      <c r="CTO22" s="24"/>
      <c r="CTP22" s="24"/>
      <c r="CTQ22" s="24"/>
      <c r="CTR22" s="24"/>
      <c r="CTS22" s="24"/>
      <c r="CTT22" s="24"/>
      <c r="CTU22" s="24"/>
      <c r="CTV22" s="24"/>
      <c r="CTW22" s="24"/>
      <c r="CTX22" s="24"/>
      <c r="CTY22" s="24"/>
      <c r="CTZ22" s="24"/>
      <c r="CUA22" s="24"/>
      <c r="CUB22" s="24"/>
      <c r="CUC22" s="24"/>
      <c r="CUD22" s="24"/>
      <c r="CUE22" s="24"/>
      <c r="CUF22" s="24"/>
      <c r="CUG22" s="24"/>
      <c r="CUH22" s="24"/>
      <c r="CUI22" s="24"/>
      <c r="CUJ22" s="24"/>
      <c r="CUK22" s="24"/>
      <c r="CUL22" s="24"/>
      <c r="CUM22" s="24"/>
      <c r="CUN22" s="24"/>
      <c r="CUO22" s="24"/>
      <c r="CUP22" s="24"/>
      <c r="CUQ22" s="24"/>
      <c r="CUR22" s="24"/>
      <c r="CUS22" s="24"/>
      <c r="CUT22" s="24"/>
      <c r="CUU22" s="24"/>
      <c r="CUV22" s="24"/>
      <c r="CUW22" s="24"/>
      <c r="CUX22" s="24"/>
      <c r="CUY22" s="24"/>
      <c r="CUZ22" s="24"/>
      <c r="CVA22" s="24"/>
      <c r="CVB22" s="24"/>
      <c r="CVC22" s="24"/>
      <c r="CVD22" s="24"/>
      <c r="CVE22" s="24"/>
      <c r="CVF22" s="24"/>
      <c r="CVG22" s="24"/>
      <c r="CVH22" s="24"/>
      <c r="CVI22" s="24"/>
      <c r="CVJ22" s="24"/>
      <c r="CVK22" s="24"/>
      <c r="CVL22" s="24"/>
      <c r="CVM22" s="24"/>
      <c r="CVN22" s="24"/>
      <c r="CVO22" s="24"/>
      <c r="CVP22" s="24"/>
      <c r="CVQ22" s="24"/>
      <c r="CVR22" s="24"/>
      <c r="CVS22" s="24"/>
      <c r="CVT22" s="24"/>
      <c r="CVU22" s="24"/>
      <c r="CVV22" s="24"/>
      <c r="CVW22" s="24"/>
      <c r="CVX22" s="24"/>
      <c r="CVY22" s="24"/>
      <c r="CVZ22" s="24"/>
      <c r="CWA22" s="24"/>
      <c r="CWB22" s="24"/>
      <c r="CWC22" s="24"/>
      <c r="CWD22" s="24"/>
      <c r="CWE22" s="24"/>
      <c r="CWF22" s="24"/>
      <c r="CWG22" s="24"/>
      <c r="CWH22" s="24"/>
      <c r="CWI22" s="24"/>
      <c r="CWJ22" s="24"/>
      <c r="CWK22" s="24"/>
      <c r="CWL22" s="24"/>
      <c r="CWM22" s="24"/>
      <c r="CWN22" s="24"/>
      <c r="CWO22" s="24"/>
      <c r="CWP22" s="24"/>
      <c r="CWQ22" s="24"/>
      <c r="CWR22" s="24"/>
      <c r="CWS22" s="24"/>
      <c r="CWT22" s="24"/>
      <c r="CWU22" s="24"/>
      <c r="CWV22" s="24"/>
      <c r="CWW22" s="24"/>
      <c r="CWX22" s="24"/>
      <c r="CWY22" s="24"/>
      <c r="CWZ22" s="24"/>
      <c r="CXA22" s="24"/>
      <c r="CXB22" s="24"/>
      <c r="CXC22" s="24"/>
      <c r="CXD22" s="24"/>
      <c r="CXE22" s="24"/>
      <c r="CXF22" s="24"/>
      <c r="CXG22" s="24"/>
      <c r="CXH22" s="24"/>
      <c r="CXI22" s="24"/>
      <c r="CXJ22" s="24"/>
      <c r="CXK22" s="24"/>
      <c r="CXL22" s="24"/>
      <c r="CXM22" s="24"/>
      <c r="CXN22" s="24"/>
      <c r="CXO22" s="24"/>
      <c r="CXP22" s="24"/>
      <c r="CXQ22" s="24"/>
      <c r="CXR22" s="24"/>
      <c r="CXS22" s="24"/>
      <c r="CXT22" s="24"/>
      <c r="CXU22" s="24"/>
      <c r="CXV22" s="24"/>
      <c r="CXW22" s="24"/>
      <c r="CXX22" s="24"/>
      <c r="CXY22" s="24"/>
      <c r="CXZ22" s="24"/>
      <c r="CYA22" s="24"/>
      <c r="CYB22" s="24"/>
      <c r="CYC22" s="24"/>
      <c r="CYD22" s="24"/>
      <c r="CYE22" s="24"/>
      <c r="CYF22" s="24"/>
      <c r="CYG22" s="24"/>
      <c r="CYH22" s="24"/>
      <c r="CYI22" s="24"/>
      <c r="CYJ22" s="24"/>
      <c r="CYK22" s="24"/>
      <c r="CYL22" s="24"/>
      <c r="CYM22" s="24"/>
      <c r="CYN22" s="24"/>
      <c r="CYO22" s="24"/>
      <c r="CYP22" s="24"/>
      <c r="CYQ22" s="24"/>
      <c r="CYR22" s="24"/>
      <c r="CYS22" s="24"/>
      <c r="CYT22" s="24"/>
      <c r="CYU22" s="24"/>
      <c r="CYV22" s="24"/>
      <c r="CYW22" s="24"/>
      <c r="CYX22" s="24"/>
      <c r="CYY22" s="24"/>
      <c r="CYZ22" s="24"/>
      <c r="CZA22" s="24"/>
      <c r="CZB22" s="24"/>
      <c r="CZC22" s="24"/>
      <c r="CZD22" s="24"/>
      <c r="CZE22" s="24"/>
      <c r="CZF22" s="24"/>
      <c r="CZG22" s="24"/>
      <c r="CZH22" s="24"/>
      <c r="CZI22" s="24"/>
      <c r="CZJ22" s="24"/>
      <c r="CZK22" s="24"/>
      <c r="CZL22" s="24"/>
      <c r="CZM22" s="24"/>
      <c r="CZN22" s="24"/>
      <c r="CZO22" s="24"/>
      <c r="CZP22" s="24"/>
      <c r="CZQ22" s="24"/>
      <c r="CZR22" s="24"/>
      <c r="CZS22" s="24"/>
      <c r="CZT22" s="24"/>
      <c r="CZU22" s="24"/>
      <c r="CZV22" s="24"/>
      <c r="CZW22" s="24"/>
      <c r="CZX22" s="24"/>
      <c r="CZY22" s="24"/>
      <c r="CZZ22" s="24"/>
      <c r="DAA22" s="24"/>
      <c r="DAB22" s="24"/>
      <c r="DAC22" s="24"/>
      <c r="DAD22" s="24"/>
      <c r="DAE22" s="24"/>
      <c r="DAF22" s="24"/>
      <c r="DAG22" s="24"/>
      <c r="DAH22" s="24"/>
      <c r="DAI22" s="24"/>
      <c r="DAJ22" s="24"/>
      <c r="DAK22" s="24"/>
      <c r="DAL22" s="24"/>
      <c r="DAM22" s="24"/>
      <c r="DAN22" s="24"/>
      <c r="DAO22" s="24"/>
      <c r="DAP22" s="24"/>
      <c r="DAQ22" s="24"/>
      <c r="DAR22" s="24"/>
      <c r="DAS22" s="24"/>
      <c r="DAT22" s="24"/>
      <c r="DAU22" s="24"/>
      <c r="DAV22" s="24"/>
      <c r="DAW22" s="24"/>
      <c r="DAX22" s="24"/>
      <c r="DAY22" s="24"/>
      <c r="DAZ22" s="24"/>
      <c r="DBA22" s="24"/>
      <c r="DBB22" s="24"/>
      <c r="DBC22" s="24"/>
      <c r="DBD22" s="24"/>
      <c r="DBE22" s="24"/>
      <c r="DBF22" s="24"/>
      <c r="DBG22" s="24"/>
      <c r="DBH22" s="24"/>
      <c r="DBI22" s="24"/>
      <c r="DBJ22" s="24"/>
      <c r="DBK22" s="24"/>
      <c r="DBL22" s="24"/>
      <c r="DBM22" s="24"/>
      <c r="DBN22" s="24"/>
      <c r="DBO22" s="24"/>
      <c r="DBP22" s="24"/>
      <c r="DBQ22" s="24"/>
      <c r="DBR22" s="24"/>
      <c r="DBS22" s="24"/>
      <c r="DBT22" s="24"/>
      <c r="DBU22" s="24"/>
      <c r="DBV22" s="24"/>
      <c r="DBW22" s="24"/>
      <c r="DBX22" s="24"/>
      <c r="DBY22" s="24"/>
      <c r="DBZ22" s="24"/>
      <c r="DCA22" s="24"/>
      <c r="DCB22" s="24"/>
      <c r="DCC22" s="24"/>
      <c r="DCD22" s="24"/>
      <c r="DCE22" s="24"/>
      <c r="DCF22" s="24"/>
      <c r="DCG22" s="24"/>
      <c r="DCH22" s="24"/>
      <c r="DCI22" s="24"/>
      <c r="DCJ22" s="24"/>
      <c r="DCK22" s="24"/>
      <c r="DCL22" s="24"/>
      <c r="DCM22" s="24"/>
      <c r="DCN22" s="24"/>
      <c r="DCO22" s="24"/>
      <c r="DCP22" s="24"/>
      <c r="DCQ22" s="24"/>
      <c r="DCR22" s="24"/>
      <c r="DCS22" s="24"/>
      <c r="DCT22" s="24"/>
      <c r="DCU22" s="24"/>
      <c r="DCV22" s="24"/>
      <c r="DCW22" s="24"/>
      <c r="DCX22" s="24"/>
      <c r="DCY22" s="24"/>
      <c r="DCZ22" s="24"/>
      <c r="DDA22" s="24"/>
      <c r="DDB22" s="24"/>
      <c r="DDC22" s="24"/>
      <c r="DDD22" s="24"/>
      <c r="DDE22" s="24"/>
      <c r="DDF22" s="24"/>
      <c r="DDG22" s="24"/>
      <c r="DDH22" s="24"/>
      <c r="DDI22" s="24"/>
      <c r="DDJ22" s="24"/>
      <c r="DDK22" s="24"/>
      <c r="DDL22" s="24"/>
      <c r="DDM22" s="24"/>
      <c r="DDN22" s="24"/>
      <c r="DDO22" s="24"/>
      <c r="DDP22" s="24"/>
      <c r="DDQ22" s="24"/>
      <c r="DDR22" s="24"/>
      <c r="DDS22" s="24"/>
      <c r="DDT22" s="24"/>
      <c r="DDU22" s="24"/>
      <c r="DDV22" s="24"/>
      <c r="DDW22" s="24"/>
      <c r="DDX22" s="24"/>
      <c r="DDY22" s="24"/>
      <c r="DDZ22" s="24"/>
      <c r="DEA22" s="24"/>
      <c r="DEB22" s="24"/>
      <c r="DEC22" s="24"/>
      <c r="DED22" s="24"/>
      <c r="DEE22" s="24"/>
      <c r="DEF22" s="24"/>
      <c r="DEG22" s="24"/>
      <c r="DEH22" s="24"/>
      <c r="DEI22" s="24"/>
      <c r="DEJ22" s="24"/>
      <c r="DEK22" s="24"/>
      <c r="DEL22" s="24"/>
      <c r="DEM22" s="24"/>
      <c r="DEN22" s="24"/>
      <c r="DEO22" s="24"/>
      <c r="DEP22" s="24"/>
      <c r="DEQ22" s="24"/>
      <c r="DER22" s="24"/>
      <c r="DES22" s="24"/>
      <c r="DET22" s="24"/>
      <c r="DEU22" s="24"/>
      <c r="DEV22" s="24"/>
      <c r="DEW22" s="24"/>
      <c r="DEX22" s="24"/>
      <c r="DEY22" s="24"/>
      <c r="DEZ22" s="24"/>
      <c r="DFA22" s="24"/>
      <c r="DFB22" s="24"/>
      <c r="DFC22" s="24"/>
      <c r="DFD22" s="24"/>
      <c r="DFE22" s="24"/>
      <c r="DFF22" s="24"/>
      <c r="DFG22" s="24"/>
      <c r="DFH22" s="24"/>
      <c r="DFI22" s="24"/>
      <c r="DFJ22" s="24"/>
      <c r="DFK22" s="24"/>
      <c r="DFL22" s="24"/>
      <c r="DFM22" s="24"/>
      <c r="DFN22" s="24"/>
      <c r="DFO22" s="24"/>
      <c r="DFP22" s="24"/>
      <c r="DFQ22" s="24"/>
      <c r="DFR22" s="24"/>
      <c r="DFS22" s="24"/>
      <c r="DFT22" s="24"/>
      <c r="DFU22" s="24"/>
      <c r="DFV22" s="24"/>
      <c r="DFW22" s="24"/>
      <c r="DFX22" s="24"/>
      <c r="DFY22" s="24"/>
      <c r="DFZ22" s="24"/>
      <c r="DGA22" s="24"/>
      <c r="DGB22" s="24"/>
      <c r="DGC22" s="24"/>
      <c r="DGD22" s="24"/>
      <c r="DGE22" s="24"/>
      <c r="DGF22" s="24"/>
      <c r="DGG22" s="24"/>
      <c r="DGH22" s="24"/>
      <c r="DGI22" s="24"/>
      <c r="DGJ22" s="24"/>
      <c r="DGK22" s="24"/>
      <c r="DGL22" s="24"/>
      <c r="DGM22" s="24"/>
      <c r="DGN22" s="24"/>
      <c r="DGO22" s="24"/>
      <c r="DGP22" s="24"/>
      <c r="DGQ22" s="24"/>
      <c r="DGR22" s="24"/>
      <c r="DGS22" s="24"/>
      <c r="DGT22" s="24"/>
      <c r="DGU22" s="24"/>
      <c r="DGV22" s="24"/>
      <c r="DGW22" s="24"/>
      <c r="DGX22" s="24"/>
      <c r="DGY22" s="24"/>
      <c r="DGZ22" s="24"/>
      <c r="DHA22" s="24"/>
      <c r="DHB22" s="24"/>
      <c r="DHC22" s="24"/>
      <c r="DHD22" s="24"/>
      <c r="DHE22" s="24"/>
      <c r="DHF22" s="24"/>
      <c r="DHG22" s="24"/>
      <c r="DHH22" s="24"/>
      <c r="DHI22" s="24"/>
      <c r="DHJ22" s="24"/>
      <c r="DHK22" s="24"/>
      <c r="DHL22" s="24"/>
      <c r="DHM22" s="24"/>
      <c r="DHN22" s="24"/>
      <c r="DHO22" s="24"/>
      <c r="DHP22" s="24"/>
      <c r="DHQ22" s="24"/>
      <c r="DHR22" s="24"/>
      <c r="DHS22" s="24"/>
      <c r="DHT22" s="24"/>
      <c r="DHU22" s="24"/>
      <c r="DHV22" s="24"/>
      <c r="DHW22" s="24"/>
      <c r="DHX22" s="24"/>
      <c r="DHY22" s="24"/>
      <c r="DHZ22" s="24"/>
      <c r="DIA22" s="24"/>
      <c r="DIB22" s="24"/>
      <c r="DIC22" s="24"/>
      <c r="DID22" s="24"/>
      <c r="DIE22" s="24"/>
      <c r="DIF22" s="24"/>
      <c r="DIG22" s="24"/>
      <c r="DIH22" s="24"/>
      <c r="DII22" s="24"/>
      <c r="DIJ22" s="24"/>
      <c r="DIK22" s="24"/>
      <c r="DIL22" s="24"/>
      <c r="DIM22" s="24"/>
      <c r="DIN22" s="24"/>
      <c r="DIO22" s="24"/>
      <c r="DIP22" s="24"/>
      <c r="DIQ22" s="24"/>
      <c r="DIR22" s="24"/>
      <c r="DIS22" s="24"/>
      <c r="DIT22" s="24"/>
      <c r="DIU22" s="24"/>
      <c r="DIV22" s="24"/>
      <c r="DIW22" s="24"/>
      <c r="DIX22" s="24"/>
      <c r="DIY22" s="24"/>
      <c r="DIZ22" s="24"/>
      <c r="DJA22" s="24"/>
      <c r="DJB22" s="24"/>
      <c r="DJC22" s="24"/>
      <c r="DJD22" s="24"/>
      <c r="DJE22" s="24"/>
      <c r="DJF22" s="24"/>
      <c r="DJG22" s="24"/>
      <c r="DJH22" s="24"/>
      <c r="DJI22" s="24"/>
      <c r="DJJ22" s="24"/>
      <c r="DJK22" s="24"/>
      <c r="DJL22" s="24"/>
      <c r="DJM22" s="24"/>
      <c r="DJN22" s="24"/>
      <c r="DJO22" s="24"/>
      <c r="DJP22" s="24"/>
      <c r="DJQ22" s="24"/>
      <c r="DJR22" s="24"/>
      <c r="DJS22" s="24"/>
      <c r="DJT22" s="24"/>
      <c r="DJU22" s="24"/>
      <c r="DJV22" s="24"/>
      <c r="DJW22" s="24"/>
      <c r="DJX22" s="24"/>
      <c r="DJY22" s="24"/>
      <c r="DJZ22" s="24"/>
      <c r="DKA22" s="24"/>
      <c r="DKB22" s="24"/>
      <c r="DKC22" s="24"/>
      <c r="DKD22" s="24"/>
      <c r="DKE22" s="24"/>
      <c r="DKF22" s="24"/>
      <c r="DKG22" s="24"/>
      <c r="DKH22" s="24"/>
      <c r="DKI22" s="24"/>
      <c r="DKJ22" s="24"/>
      <c r="DKK22" s="24"/>
      <c r="DKL22" s="24"/>
      <c r="DKM22" s="24"/>
      <c r="DKN22" s="24"/>
      <c r="DKO22" s="24"/>
      <c r="DKP22" s="24"/>
      <c r="DKQ22" s="24"/>
      <c r="DKR22" s="24"/>
      <c r="DKS22" s="24"/>
      <c r="DKT22" s="24"/>
      <c r="DKU22" s="24"/>
      <c r="DKV22" s="24"/>
      <c r="DKW22" s="24"/>
      <c r="DKX22" s="24"/>
      <c r="DKY22" s="24"/>
      <c r="DKZ22" s="24"/>
      <c r="DLA22" s="24"/>
      <c r="DLB22" s="24"/>
      <c r="DLC22" s="24"/>
      <c r="DLD22" s="24"/>
      <c r="DLE22" s="24"/>
      <c r="DLF22" s="24"/>
      <c r="DLG22" s="24"/>
      <c r="DLH22" s="24"/>
      <c r="DLI22" s="24"/>
      <c r="DLJ22" s="24"/>
      <c r="DLK22" s="24"/>
      <c r="DLL22" s="24"/>
      <c r="DLM22" s="24"/>
      <c r="DLN22" s="24"/>
      <c r="DLO22" s="24"/>
      <c r="DLP22" s="24"/>
      <c r="DLQ22" s="24"/>
      <c r="DLR22" s="24"/>
      <c r="DLS22" s="24"/>
      <c r="DLT22" s="24"/>
      <c r="DLU22" s="24"/>
      <c r="DLV22" s="24"/>
      <c r="DLW22" s="24"/>
      <c r="DLX22" s="24"/>
      <c r="DLY22" s="24"/>
      <c r="DLZ22" s="24"/>
      <c r="DMA22" s="24"/>
      <c r="DMB22" s="24"/>
      <c r="DMC22" s="24"/>
      <c r="DMD22" s="24"/>
      <c r="DME22" s="24"/>
      <c r="DMF22" s="24"/>
      <c r="DMG22" s="24"/>
      <c r="DMH22" s="24"/>
      <c r="DMI22" s="24"/>
      <c r="DMJ22" s="24"/>
      <c r="DMK22" s="24"/>
      <c r="DML22" s="24"/>
      <c r="DMM22" s="24"/>
      <c r="DMN22" s="24"/>
      <c r="DMO22" s="24"/>
      <c r="DMP22" s="24"/>
      <c r="DMQ22" s="24"/>
      <c r="DMR22" s="24"/>
      <c r="DMS22" s="24"/>
      <c r="DMT22" s="24"/>
      <c r="DMU22" s="24"/>
      <c r="DMV22" s="24"/>
      <c r="DMW22" s="24"/>
      <c r="DMX22" s="24"/>
      <c r="DMY22" s="24"/>
      <c r="DMZ22" s="24"/>
      <c r="DNA22" s="24"/>
      <c r="DNB22" s="24"/>
      <c r="DNC22" s="24"/>
      <c r="DND22" s="24"/>
      <c r="DNE22" s="24"/>
      <c r="DNF22" s="24"/>
      <c r="DNG22" s="24"/>
      <c r="DNH22" s="24"/>
      <c r="DNI22" s="24"/>
      <c r="DNJ22" s="24"/>
      <c r="DNK22" s="24"/>
      <c r="DNL22" s="24"/>
      <c r="DNM22" s="24"/>
      <c r="DNN22" s="24"/>
      <c r="DNO22" s="24"/>
      <c r="DNP22" s="24"/>
      <c r="DNQ22" s="24"/>
      <c r="DNR22" s="24"/>
      <c r="DNS22" s="24"/>
      <c r="DNT22" s="24"/>
      <c r="DNU22" s="24"/>
      <c r="DNV22" s="24"/>
      <c r="DNW22" s="24"/>
      <c r="DNX22" s="24"/>
      <c r="DNY22" s="24"/>
      <c r="DNZ22" s="24"/>
      <c r="DOA22" s="24"/>
      <c r="DOB22" s="24"/>
      <c r="DOC22" s="24"/>
      <c r="DOD22" s="24"/>
      <c r="DOE22" s="24"/>
      <c r="DOF22" s="24"/>
      <c r="DOG22" s="24"/>
      <c r="DOH22" s="24"/>
      <c r="DOI22" s="24"/>
      <c r="DOJ22" s="24"/>
      <c r="DOK22" s="24"/>
      <c r="DOL22" s="24"/>
      <c r="DOM22" s="24"/>
      <c r="DON22" s="24"/>
      <c r="DOO22" s="24"/>
      <c r="DOP22" s="24"/>
      <c r="DOQ22" s="24"/>
      <c r="DOR22" s="24"/>
      <c r="DOS22" s="24"/>
      <c r="DOT22" s="24"/>
      <c r="DOU22" s="24"/>
      <c r="DOV22" s="24"/>
      <c r="DOW22" s="24"/>
      <c r="DOX22" s="24"/>
      <c r="DOY22" s="24"/>
      <c r="DOZ22" s="24"/>
      <c r="DPA22" s="24"/>
      <c r="DPB22" s="24"/>
      <c r="DPC22" s="24"/>
      <c r="DPD22" s="24"/>
      <c r="DPE22" s="24"/>
      <c r="DPF22" s="24"/>
      <c r="DPG22" s="24"/>
      <c r="DPH22" s="24"/>
      <c r="DPI22" s="24"/>
      <c r="DPJ22" s="24"/>
      <c r="DPK22" s="24"/>
      <c r="DPL22" s="24"/>
      <c r="DPM22" s="24"/>
      <c r="DPN22" s="24"/>
      <c r="DPO22" s="24"/>
      <c r="DPP22" s="24"/>
      <c r="DPQ22" s="24"/>
      <c r="DPR22" s="24"/>
      <c r="DPS22" s="24"/>
      <c r="DPT22" s="24"/>
      <c r="DPU22" s="24"/>
      <c r="DPV22" s="24"/>
      <c r="DPW22" s="24"/>
      <c r="DPX22" s="24"/>
      <c r="DPY22" s="24"/>
      <c r="DPZ22" s="24"/>
      <c r="DQA22" s="24"/>
      <c r="DQB22" s="24"/>
      <c r="DQC22" s="24"/>
      <c r="DQD22" s="24"/>
      <c r="DQE22" s="24"/>
      <c r="DQF22" s="24"/>
      <c r="DQG22" s="24"/>
      <c r="DQH22" s="24"/>
      <c r="DQI22" s="24"/>
      <c r="DQJ22" s="24"/>
      <c r="DQK22" s="24"/>
      <c r="DQL22" s="24"/>
      <c r="DQM22" s="24"/>
      <c r="DQN22" s="24"/>
      <c r="DQO22" s="24"/>
      <c r="DQP22" s="24"/>
      <c r="DQQ22" s="24"/>
      <c r="DQR22" s="24"/>
      <c r="DQS22" s="24"/>
      <c r="DQT22" s="24"/>
      <c r="DQU22" s="24"/>
      <c r="DQV22" s="24"/>
      <c r="DQW22" s="24"/>
      <c r="DQX22" s="24"/>
      <c r="DQY22" s="24"/>
      <c r="DQZ22" s="24"/>
      <c r="DRA22" s="24"/>
      <c r="DRB22" s="24"/>
      <c r="DRC22" s="24"/>
      <c r="DRD22" s="24"/>
      <c r="DRE22" s="24"/>
      <c r="DRF22" s="24"/>
      <c r="DRG22" s="24"/>
      <c r="DRH22" s="24"/>
      <c r="DRI22" s="24"/>
      <c r="DRJ22" s="24"/>
      <c r="DRK22" s="24"/>
      <c r="DRL22" s="24"/>
      <c r="DRM22" s="24"/>
      <c r="DRN22" s="24"/>
      <c r="DRO22" s="24"/>
      <c r="DRP22" s="24"/>
      <c r="DRQ22" s="24"/>
      <c r="DRR22" s="24"/>
      <c r="DRS22" s="24"/>
      <c r="DRT22" s="24"/>
      <c r="DRU22" s="24"/>
      <c r="DRV22" s="24"/>
      <c r="DRW22" s="24"/>
      <c r="DRX22" s="24"/>
      <c r="DRY22" s="24"/>
      <c r="DRZ22" s="24"/>
      <c r="DSA22" s="24"/>
      <c r="DSB22" s="24"/>
      <c r="DSC22" s="24"/>
      <c r="DSD22" s="24"/>
      <c r="DSE22" s="24"/>
      <c r="DSF22" s="24"/>
      <c r="DSG22" s="24"/>
      <c r="DSH22" s="24"/>
      <c r="DSI22" s="24"/>
      <c r="DSJ22" s="24"/>
      <c r="DSK22" s="24"/>
      <c r="DSL22" s="24"/>
      <c r="DSM22" s="24"/>
      <c r="DSN22" s="24"/>
      <c r="DSO22" s="24"/>
      <c r="DSP22" s="24"/>
      <c r="DSQ22" s="24"/>
      <c r="DSR22" s="24"/>
      <c r="DSS22" s="24"/>
      <c r="DST22" s="24"/>
      <c r="DSU22" s="24"/>
      <c r="DSV22" s="24"/>
      <c r="DSW22" s="24"/>
      <c r="DSX22" s="24"/>
      <c r="DSY22" s="24"/>
      <c r="DSZ22" s="24"/>
      <c r="DTA22" s="24"/>
      <c r="DTB22" s="24"/>
      <c r="DTC22" s="24"/>
      <c r="DTD22" s="24"/>
      <c r="DTE22" s="24"/>
      <c r="DTF22" s="24"/>
      <c r="DTG22" s="24"/>
      <c r="DTH22" s="24"/>
      <c r="DTI22" s="24"/>
      <c r="DTJ22" s="24"/>
      <c r="DTK22" s="24"/>
      <c r="DTL22" s="24"/>
      <c r="DTM22" s="24"/>
      <c r="DTN22" s="24"/>
      <c r="DTO22" s="24"/>
      <c r="DTP22" s="24"/>
      <c r="DTQ22" s="24"/>
      <c r="DTR22" s="24"/>
      <c r="DTS22" s="24"/>
      <c r="DTT22" s="24"/>
      <c r="DTU22" s="24"/>
      <c r="DTV22" s="24"/>
      <c r="DTW22" s="24"/>
      <c r="DTX22" s="24"/>
      <c r="DTY22" s="24"/>
      <c r="DTZ22" s="24"/>
      <c r="DUA22" s="24"/>
      <c r="DUB22" s="24"/>
      <c r="DUC22" s="24"/>
      <c r="DUD22" s="24"/>
      <c r="DUE22" s="24"/>
      <c r="DUF22" s="24"/>
      <c r="DUG22" s="24"/>
      <c r="DUH22" s="24"/>
      <c r="DUI22" s="24"/>
      <c r="DUJ22" s="24"/>
      <c r="DUK22" s="24"/>
      <c r="DUL22" s="24"/>
      <c r="DUM22" s="24"/>
      <c r="DUN22" s="24"/>
      <c r="DUO22" s="24"/>
      <c r="DUP22" s="24"/>
      <c r="DUQ22" s="24"/>
      <c r="DUR22" s="24"/>
      <c r="DUS22" s="24"/>
      <c r="DUT22" s="24"/>
      <c r="DUU22" s="24"/>
      <c r="DUV22" s="24"/>
      <c r="DUW22" s="24"/>
      <c r="DUX22" s="24"/>
      <c r="DUY22" s="24"/>
      <c r="DUZ22" s="24"/>
      <c r="DVA22" s="24"/>
      <c r="DVB22" s="24"/>
      <c r="DVC22" s="24"/>
      <c r="DVD22" s="24"/>
      <c r="DVE22" s="24"/>
      <c r="DVF22" s="24"/>
      <c r="DVG22" s="24"/>
      <c r="DVH22" s="24"/>
      <c r="DVI22" s="24"/>
      <c r="DVJ22" s="24"/>
      <c r="DVK22" s="24"/>
      <c r="DVL22" s="24"/>
      <c r="DVM22" s="24"/>
      <c r="DVN22" s="24"/>
      <c r="DVO22" s="24"/>
      <c r="DVP22" s="24"/>
      <c r="DVQ22" s="24"/>
      <c r="DVR22" s="24"/>
      <c r="DVS22" s="24"/>
      <c r="DVT22" s="24"/>
      <c r="DVU22" s="24"/>
      <c r="DVV22" s="24"/>
      <c r="DVW22" s="24"/>
      <c r="DVX22" s="24"/>
      <c r="DVY22" s="24"/>
      <c r="DVZ22" s="24"/>
      <c r="DWA22" s="24"/>
      <c r="DWB22" s="24"/>
      <c r="DWC22" s="24"/>
      <c r="DWD22" s="24"/>
      <c r="DWE22" s="24"/>
      <c r="DWF22" s="24"/>
      <c r="DWG22" s="24"/>
      <c r="DWH22" s="24"/>
      <c r="DWI22" s="24"/>
      <c r="DWJ22" s="24"/>
      <c r="DWK22" s="24"/>
      <c r="DWL22" s="24"/>
      <c r="DWM22" s="24"/>
      <c r="DWN22" s="24"/>
      <c r="DWO22" s="24"/>
      <c r="DWP22" s="24"/>
      <c r="DWQ22" s="24"/>
      <c r="DWR22" s="24"/>
      <c r="DWS22" s="24"/>
      <c r="DWT22" s="24"/>
      <c r="DWU22" s="24"/>
      <c r="DWV22" s="24"/>
      <c r="DWW22" s="24"/>
      <c r="DWX22" s="24"/>
      <c r="DWY22" s="24"/>
      <c r="DWZ22" s="24"/>
      <c r="DXA22" s="24"/>
      <c r="DXB22" s="24"/>
      <c r="DXC22" s="24"/>
      <c r="DXD22" s="24"/>
      <c r="DXE22" s="24"/>
      <c r="DXF22" s="24"/>
      <c r="DXG22" s="24"/>
      <c r="DXH22" s="24"/>
      <c r="DXI22" s="24"/>
      <c r="DXJ22" s="24"/>
      <c r="DXK22" s="24"/>
      <c r="DXL22" s="24"/>
      <c r="DXM22" s="24"/>
      <c r="DXN22" s="24"/>
      <c r="DXO22" s="24"/>
      <c r="DXP22" s="24"/>
      <c r="DXQ22" s="24"/>
      <c r="DXR22" s="24"/>
      <c r="DXS22" s="24"/>
      <c r="DXT22" s="24"/>
      <c r="DXU22" s="24"/>
      <c r="DXV22" s="24"/>
      <c r="DXW22" s="24"/>
      <c r="DXX22" s="24"/>
      <c r="DXY22" s="24"/>
      <c r="DXZ22" s="24"/>
      <c r="DYA22" s="24"/>
      <c r="DYB22" s="24"/>
      <c r="DYC22" s="24"/>
      <c r="DYD22" s="24"/>
      <c r="DYE22" s="24"/>
      <c r="DYF22" s="24"/>
      <c r="DYG22" s="24"/>
      <c r="DYH22" s="24"/>
      <c r="DYI22" s="24"/>
      <c r="DYJ22" s="24"/>
      <c r="DYK22" s="24"/>
      <c r="DYL22" s="24"/>
      <c r="DYM22" s="24"/>
      <c r="DYN22" s="24"/>
      <c r="DYO22" s="24"/>
      <c r="DYP22" s="24"/>
      <c r="DYQ22" s="24"/>
      <c r="DYR22" s="24"/>
      <c r="DYS22" s="24"/>
      <c r="DYT22" s="24"/>
      <c r="DYU22" s="24"/>
      <c r="DYV22" s="24"/>
      <c r="DYW22" s="24"/>
      <c r="DYX22" s="24"/>
      <c r="DYY22" s="24"/>
      <c r="DYZ22" s="24"/>
      <c r="DZA22" s="24"/>
      <c r="DZB22" s="24"/>
      <c r="DZC22" s="24"/>
      <c r="DZD22" s="24"/>
      <c r="DZE22" s="24"/>
      <c r="DZF22" s="24"/>
      <c r="DZG22" s="24"/>
      <c r="DZH22" s="24"/>
      <c r="DZI22" s="24"/>
      <c r="DZJ22" s="24"/>
      <c r="DZK22" s="24"/>
      <c r="DZL22" s="24"/>
      <c r="DZM22" s="24"/>
      <c r="DZN22" s="24"/>
      <c r="DZO22" s="24"/>
      <c r="DZP22" s="24"/>
      <c r="DZQ22" s="24"/>
      <c r="DZR22" s="24"/>
      <c r="DZS22" s="24"/>
      <c r="DZT22" s="24"/>
      <c r="DZU22" s="24"/>
      <c r="DZV22" s="24"/>
      <c r="DZW22" s="24"/>
      <c r="DZX22" s="24"/>
      <c r="DZY22" s="24"/>
      <c r="DZZ22" s="24"/>
      <c r="EAA22" s="24"/>
      <c r="EAB22" s="24"/>
      <c r="EAC22" s="24"/>
      <c r="EAD22" s="24"/>
      <c r="EAE22" s="24"/>
      <c r="EAF22" s="24"/>
      <c r="EAG22" s="24"/>
      <c r="EAH22" s="24"/>
      <c r="EAI22" s="24"/>
      <c r="EAJ22" s="24"/>
      <c r="EAK22" s="24"/>
      <c r="EAL22" s="24"/>
      <c r="EAM22" s="24"/>
      <c r="EAN22" s="24"/>
      <c r="EAO22" s="24"/>
      <c r="EAP22" s="24"/>
      <c r="EAQ22" s="24"/>
      <c r="EAR22" s="24"/>
      <c r="EAS22" s="24"/>
      <c r="EAT22" s="24"/>
      <c r="EAU22" s="24"/>
      <c r="EAV22" s="24"/>
      <c r="EAW22" s="24"/>
      <c r="EAX22" s="24"/>
      <c r="EAY22" s="24"/>
      <c r="EAZ22" s="24"/>
      <c r="EBA22" s="24"/>
      <c r="EBB22" s="24"/>
      <c r="EBC22" s="24"/>
      <c r="EBD22" s="24"/>
      <c r="EBE22" s="24"/>
      <c r="EBF22" s="24"/>
      <c r="EBG22" s="24"/>
      <c r="EBH22" s="24"/>
      <c r="EBI22" s="24"/>
      <c r="EBJ22" s="24"/>
      <c r="EBK22" s="24"/>
      <c r="EBL22" s="24"/>
      <c r="EBM22" s="24"/>
      <c r="EBN22" s="24"/>
      <c r="EBO22" s="24"/>
      <c r="EBP22" s="24"/>
      <c r="EBQ22" s="24"/>
      <c r="EBR22" s="24"/>
      <c r="EBS22" s="24"/>
      <c r="EBT22" s="24"/>
      <c r="EBU22" s="24"/>
      <c r="EBV22" s="24"/>
      <c r="EBW22" s="24"/>
      <c r="EBX22" s="24"/>
      <c r="EBY22" s="24"/>
      <c r="EBZ22" s="24"/>
      <c r="ECA22" s="24"/>
      <c r="ECB22" s="24"/>
      <c r="ECC22" s="24"/>
      <c r="ECD22" s="24"/>
      <c r="ECE22" s="24"/>
      <c r="ECF22" s="24"/>
      <c r="ECG22" s="24"/>
      <c r="ECH22" s="24"/>
      <c r="ECI22" s="24"/>
      <c r="ECJ22" s="24"/>
      <c r="ECK22" s="24"/>
      <c r="ECL22" s="24"/>
      <c r="ECM22" s="24"/>
      <c r="ECN22" s="24"/>
      <c r="ECO22" s="24"/>
      <c r="ECP22" s="24"/>
      <c r="ECQ22" s="24"/>
      <c r="ECR22" s="24"/>
      <c r="ECS22" s="24"/>
      <c r="ECT22" s="24"/>
      <c r="ECU22" s="24"/>
      <c r="ECV22" s="24"/>
      <c r="ECW22" s="24"/>
      <c r="ECX22" s="24"/>
      <c r="ECY22" s="24"/>
      <c r="ECZ22" s="24"/>
      <c r="EDA22" s="24"/>
      <c r="EDB22" s="24"/>
      <c r="EDC22" s="24"/>
      <c r="EDD22" s="24"/>
      <c r="EDE22" s="24"/>
      <c r="EDF22" s="24"/>
      <c r="EDG22" s="24"/>
      <c r="EDH22" s="24"/>
      <c r="EDI22" s="24"/>
      <c r="EDJ22" s="24"/>
      <c r="EDK22" s="24"/>
      <c r="EDL22" s="24"/>
      <c r="EDM22" s="24"/>
      <c r="EDN22" s="24"/>
      <c r="EDO22" s="24"/>
      <c r="EDP22" s="24"/>
      <c r="EDQ22" s="24"/>
      <c r="EDR22" s="24"/>
      <c r="EDS22" s="24"/>
      <c r="EDT22" s="24"/>
      <c r="EDU22" s="24"/>
      <c r="EDV22" s="24"/>
      <c r="EDW22" s="24"/>
      <c r="EDX22" s="24"/>
      <c r="EDY22" s="24"/>
      <c r="EDZ22" s="24"/>
      <c r="EEA22" s="24"/>
      <c r="EEB22" s="24"/>
      <c r="EEC22" s="24"/>
      <c r="EED22" s="24"/>
      <c r="EEE22" s="24"/>
      <c r="EEF22" s="24"/>
      <c r="EEG22" s="24"/>
      <c r="EEH22" s="24"/>
      <c r="EEI22" s="24"/>
      <c r="EEJ22" s="24"/>
      <c r="EEK22" s="24"/>
      <c r="EEL22" s="24"/>
      <c r="EEM22" s="24"/>
      <c r="EEN22" s="24"/>
      <c r="EEO22" s="24"/>
      <c r="EEP22" s="24"/>
      <c r="EEQ22" s="24"/>
      <c r="EER22" s="24"/>
      <c r="EES22" s="24"/>
      <c r="EET22" s="24"/>
      <c r="EEU22" s="24"/>
      <c r="EEV22" s="24"/>
      <c r="EEW22" s="24"/>
      <c r="EEX22" s="24"/>
      <c r="EEY22" s="24"/>
      <c r="EEZ22" s="24"/>
      <c r="EFA22" s="24"/>
      <c r="EFB22" s="24"/>
      <c r="EFC22" s="24"/>
      <c r="EFD22" s="24"/>
      <c r="EFE22" s="24"/>
      <c r="EFF22" s="24"/>
      <c r="EFG22" s="24"/>
      <c r="EFH22" s="24"/>
      <c r="EFI22" s="24"/>
      <c r="EFJ22" s="24"/>
      <c r="EFK22" s="24"/>
      <c r="EFL22" s="24"/>
      <c r="EFM22" s="24"/>
      <c r="EFN22" s="24"/>
      <c r="EFO22" s="24"/>
      <c r="EFP22" s="24"/>
      <c r="EFQ22" s="24"/>
      <c r="EFR22" s="24"/>
      <c r="EFS22" s="24"/>
      <c r="EFT22" s="24"/>
      <c r="EFU22" s="24"/>
      <c r="EFV22" s="24"/>
      <c r="EFW22" s="24"/>
      <c r="EFX22" s="24"/>
      <c r="EFY22" s="24"/>
      <c r="EFZ22" s="24"/>
      <c r="EGA22" s="24"/>
      <c r="EGB22" s="24"/>
      <c r="EGC22" s="24"/>
      <c r="EGD22" s="24"/>
      <c r="EGE22" s="24"/>
      <c r="EGF22" s="24"/>
      <c r="EGG22" s="24"/>
      <c r="EGH22" s="24"/>
      <c r="EGI22" s="24"/>
      <c r="EGJ22" s="24"/>
      <c r="EGK22" s="24"/>
      <c r="EGL22" s="24"/>
      <c r="EGM22" s="24"/>
      <c r="EGN22" s="24"/>
      <c r="EGO22" s="24"/>
      <c r="EGP22" s="24"/>
      <c r="EGQ22" s="24"/>
      <c r="EGR22" s="24"/>
      <c r="EGS22" s="24"/>
      <c r="EGT22" s="24"/>
      <c r="EGU22" s="24"/>
      <c r="EGV22" s="24"/>
      <c r="EGW22" s="24"/>
      <c r="EGX22" s="24"/>
      <c r="EGY22" s="24"/>
      <c r="EGZ22" s="24"/>
      <c r="EHA22" s="24"/>
      <c r="EHB22" s="24"/>
      <c r="EHC22" s="24"/>
      <c r="EHD22" s="24"/>
      <c r="EHE22" s="24"/>
      <c r="EHF22" s="24"/>
      <c r="EHG22" s="24"/>
      <c r="EHH22" s="24"/>
      <c r="EHI22" s="24"/>
      <c r="EHJ22" s="24"/>
      <c r="EHK22" s="24"/>
      <c r="EHL22" s="24"/>
      <c r="EHM22" s="24"/>
      <c r="EHN22" s="24"/>
      <c r="EHO22" s="24"/>
      <c r="EHP22" s="24"/>
      <c r="EHQ22" s="24"/>
      <c r="EHR22" s="24"/>
      <c r="EHS22" s="24"/>
      <c r="EHT22" s="24"/>
      <c r="EHU22" s="24"/>
      <c r="EHV22" s="24"/>
      <c r="EHW22" s="24"/>
      <c r="EHX22" s="24"/>
      <c r="EHY22" s="24"/>
      <c r="EHZ22" s="24"/>
      <c r="EIA22" s="24"/>
      <c r="EIB22" s="24"/>
      <c r="EIC22" s="24"/>
      <c r="EID22" s="24"/>
      <c r="EIE22" s="24"/>
      <c r="EIF22" s="24"/>
      <c r="EIG22" s="24"/>
      <c r="EIH22" s="24"/>
      <c r="EII22" s="24"/>
      <c r="EIJ22" s="24"/>
      <c r="EIK22" s="24"/>
      <c r="EIL22" s="24"/>
      <c r="EIM22" s="24"/>
      <c r="EIN22" s="24"/>
      <c r="EIO22" s="24"/>
      <c r="EIP22" s="24"/>
      <c r="EIQ22" s="24"/>
      <c r="EIR22" s="24"/>
      <c r="EIS22" s="24"/>
      <c r="EIT22" s="24"/>
      <c r="EIU22" s="24"/>
      <c r="EIV22" s="24"/>
      <c r="EIW22" s="24"/>
      <c r="EIX22" s="24"/>
      <c r="EIY22" s="24"/>
      <c r="EIZ22" s="24"/>
      <c r="EJA22" s="24"/>
      <c r="EJB22" s="24"/>
      <c r="EJC22" s="24"/>
      <c r="EJD22" s="24"/>
      <c r="EJE22" s="24"/>
      <c r="EJF22" s="24"/>
      <c r="EJG22" s="24"/>
      <c r="EJH22" s="24"/>
      <c r="EJI22" s="24"/>
      <c r="EJJ22" s="24"/>
      <c r="EJK22" s="24"/>
      <c r="EJL22" s="24"/>
      <c r="EJM22" s="24"/>
      <c r="EJN22" s="24"/>
      <c r="EJO22" s="24"/>
      <c r="EJP22" s="24"/>
      <c r="EJQ22" s="24"/>
      <c r="EJR22" s="24"/>
      <c r="EJS22" s="24"/>
      <c r="EJT22" s="24"/>
      <c r="EJU22" s="24"/>
      <c r="EJV22" s="24"/>
      <c r="EJW22" s="24"/>
      <c r="EJX22" s="24"/>
      <c r="EJY22" s="24"/>
      <c r="EJZ22" s="24"/>
      <c r="EKA22" s="24"/>
      <c r="EKB22" s="24"/>
      <c r="EKC22" s="24"/>
      <c r="EKD22" s="24"/>
      <c r="EKE22" s="24"/>
      <c r="EKF22" s="24"/>
      <c r="EKG22" s="24"/>
      <c r="EKH22" s="24"/>
      <c r="EKI22" s="24"/>
      <c r="EKJ22" s="24"/>
      <c r="EKK22" s="24"/>
      <c r="EKL22" s="24"/>
      <c r="EKM22" s="24"/>
      <c r="EKN22" s="24"/>
      <c r="EKO22" s="24"/>
      <c r="EKP22" s="24"/>
      <c r="EKQ22" s="24"/>
      <c r="EKR22" s="24"/>
      <c r="EKS22" s="24"/>
      <c r="EKT22" s="24"/>
      <c r="EKU22" s="24"/>
      <c r="EKV22" s="24"/>
      <c r="EKW22" s="24"/>
      <c r="EKX22" s="24"/>
      <c r="EKY22" s="24"/>
      <c r="EKZ22" s="24"/>
      <c r="ELA22" s="24"/>
      <c r="ELB22" s="24"/>
      <c r="ELC22" s="24"/>
      <c r="ELD22" s="24"/>
      <c r="ELE22" s="24"/>
      <c r="ELF22" s="24"/>
      <c r="ELG22" s="24"/>
      <c r="ELH22" s="24"/>
      <c r="ELI22" s="24"/>
      <c r="ELJ22" s="24"/>
      <c r="ELK22" s="24"/>
      <c r="ELL22" s="24"/>
      <c r="ELM22" s="24"/>
      <c r="ELN22" s="24"/>
      <c r="ELO22" s="24"/>
      <c r="ELP22" s="24"/>
      <c r="ELQ22" s="24"/>
      <c r="ELR22" s="24"/>
      <c r="ELS22" s="24"/>
      <c r="ELT22" s="24"/>
      <c r="ELU22" s="24"/>
      <c r="ELV22" s="24"/>
      <c r="ELW22" s="24"/>
      <c r="ELX22" s="24"/>
      <c r="ELY22" s="24"/>
      <c r="ELZ22" s="24"/>
      <c r="EMA22" s="24"/>
      <c r="EMB22" s="24"/>
      <c r="EMC22" s="24"/>
      <c r="EMD22" s="24"/>
      <c r="EME22" s="24"/>
      <c r="EMF22" s="24"/>
      <c r="EMG22" s="24"/>
      <c r="EMH22" s="24"/>
      <c r="EMI22" s="24"/>
      <c r="EMJ22" s="24"/>
      <c r="EMK22" s="24"/>
      <c r="EML22" s="24"/>
      <c r="EMM22" s="24"/>
      <c r="EMN22" s="24"/>
      <c r="EMO22" s="24"/>
      <c r="EMP22" s="24"/>
      <c r="EMQ22" s="24"/>
      <c r="EMR22" s="24"/>
      <c r="EMS22" s="24"/>
      <c r="EMT22" s="24"/>
      <c r="EMU22" s="24"/>
      <c r="EMV22" s="24"/>
      <c r="EMW22" s="24"/>
      <c r="EMX22" s="24"/>
      <c r="EMY22" s="24"/>
      <c r="EMZ22" s="24"/>
      <c r="ENA22" s="24"/>
      <c r="ENB22" s="24"/>
      <c r="ENC22" s="24"/>
      <c r="END22" s="24"/>
      <c r="ENE22" s="24"/>
      <c r="ENF22" s="24"/>
      <c r="ENG22" s="24"/>
      <c r="ENH22" s="24"/>
      <c r="ENI22" s="24"/>
      <c r="ENJ22" s="24"/>
      <c r="ENK22" s="24"/>
      <c r="ENL22" s="24"/>
      <c r="ENM22" s="24"/>
      <c r="ENN22" s="24"/>
      <c r="ENO22" s="24"/>
      <c r="ENP22" s="24"/>
      <c r="ENQ22" s="24"/>
      <c r="ENR22" s="24"/>
      <c r="ENS22" s="24"/>
      <c r="ENT22" s="24"/>
      <c r="ENU22" s="24"/>
      <c r="ENV22" s="24"/>
      <c r="ENW22" s="24"/>
      <c r="ENX22" s="24"/>
      <c r="ENY22" s="24"/>
      <c r="ENZ22" s="24"/>
      <c r="EOA22" s="24"/>
      <c r="EOB22" s="24"/>
      <c r="EOC22" s="24"/>
      <c r="EOD22" s="24"/>
      <c r="EOE22" s="24"/>
      <c r="EOF22" s="24"/>
      <c r="EOG22" s="24"/>
      <c r="EOH22" s="24"/>
      <c r="EOI22" s="24"/>
      <c r="EOJ22" s="24"/>
      <c r="EOK22" s="24"/>
      <c r="EOL22" s="24"/>
      <c r="EOM22" s="24"/>
      <c r="EON22" s="24"/>
      <c r="EOO22" s="24"/>
      <c r="EOP22" s="24"/>
      <c r="EOQ22" s="24"/>
      <c r="EOR22" s="24"/>
      <c r="EOS22" s="24"/>
      <c r="EOT22" s="24"/>
      <c r="EOU22" s="24"/>
      <c r="EOV22" s="24"/>
      <c r="EOW22" s="24"/>
      <c r="EOX22" s="24"/>
      <c r="EOY22" s="24"/>
      <c r="EOZ22" s="24"/>
      <c r="EPA22" s="24"/>
      <c r="EPB22" s="24"/>
      <c r="EPC22" s="24"/>
      <c r="EPD22" s="24"/>
      <c r="EPE22" s="24"/>
      <c r="EPF22" s="24"/>
      <c r="EPG22" s="24"/>
      <c r="EPH22" s="24"/>
      <c r="EPI22" s="24"/>
      <c r="EPJ22" s="24"/>
      <c r="EPK22" s="24"/>
      <c r="EPL22" s="24"/>
      <c r="EPM22" s="24"/>
      <c r="EPN22" s="24"/>
      <c r="EPO22" s="24"/>
      <c r="EPP22" s="24"/>
      <c r="EPQ22" s="24"/>
      <c r="EPR22" s="24"/>
      <c r="EPS22" s="24"/>
      <c r="EPT22" s="24"/>
      <c r="EPU22" s="24"/>
      <c r="EPV22" s="24"/>
      <c r="EPW22" s="24"/>
      <c r="EPX22" s="24"/>
      <c r="EPY22" s="24"/>
      <c r="EPZ22" s="24"/>
      <c r="EQA22" s="24"/>
      <c r="EQB22" s="24"/>
      <c r="EQC22" s="24"/>
      <c r="EQD22" s="24"/>
      <c r="EQE22" s="24"/>
      <c r="EQF22" s="24"/>
      <c r="EQG22" s="24"/>
      <c r="EQH22" s="24"/>
      <c r="EQI22" s="24"/>
      <c r="EQJ22" s="24"/>
      <c r="EQK22" s="24"/>
      <c r="EQL22" s="24"/>
      <c r="EQM22" s="24"/>
      <c r="EQN22" s="24"/>
      <c r="EQO22" s="24"/>
      <c r="EQP22" s="24"/>
      <c r="EQQ22" s="24"/>
      <c r="EQR22" s="24"/>
      <c r="EQS22" s="24"/>
      <c r="EQT22" s="24"/>
      <c r="EQU22" s="24"/>
      <c r="EQV22" s="24"/>
      <c r="EQW22" s="24"/>
      <c r="EQX22" s="24"/>
      <c r="EQY22" s="24"/>
      <c r="EQZ22" s="24"/>
      <c r="ERA22" s="24"/>
      <c r="ERB22" s="24"/>
      <c r="ERC22" s="24"/>
      <c r="ERD22" s="24"/>
      <c r="ERE22" s="24"/>
      <c r="ERF22" s="24"/>
      <c r="ERG22" s="24"/>
      <c r="ERH22" s="24"/>
      <c r="ERI22" s="24"/>
      <c r="ERJ22" s="24"/>
      <c r="ERK22" s="24"/>
      <c r="ERL22" s="24"/>
      <c r="ERM22" s="24"/>
      <c r="ERN22" s="24"/>
      <c r="ERO22" s="24"/>
      <c r="ERP22" s="24"/>
      <c r="ERQ22" s="24"/>
      <c r="ERR22" s="24"/>
      <c r="ERS22" s="24"/>
      <c r="ERT22" s="24"/>
      <c r="ERU22" s="24"/>
      <c r="ERV22" s="24"/>
      <c r="ERW22" s="24"/>
      <c r="ERX22" s="24"/>
      <c r="ERY22" s="24"/>
      <c r="ERZ22" s="24"/>
      <c r="ESA22" s="24"/>
      <c r="ESB22" s="24"/>
      <c r="ESC22" s="24"/>
      <c r="ESD22" s="24"/>
      <c r="ESE22" s="24"/>
      <c r="ESF22" s="24"/>
      <c r="ESG22" s="24"/>
      <c r="ESH22" s="24"/>
      <c r="ESI22" s="24"/>
      <c r="ESJ22" s="24"/>
      <c r="ESK22" s="24"/>
      <c r="ESL22" s="24"/>
      <c r="ESM22" s="24"/>
      <c r="ESN22" s="24"/>
      <c r="ESO22" s="24"/>
      <c r="ESP22" s="24"/>
      <c r="ESQ22" s="24"/>
      <c r="ESR22" s="24"/>
      <c r="ESS22" s="24"/>
      <c r="EST22" s="24"/>
      <c r="ESU22" s="24"/>
      <c r="ESV22" s="24"/>
      <c r="ESW22" s="24"/>
      <c r="ESX22" s="24"/>
      <c r="ESY22" s="24"/>
      <c r="ESZ22" s="24"/>
      <c r="ETA22" s="24"/>
      <c r="ETB22" s="24"/>
      <c r="ETC22" s="24"/>
      <c r="ETD22" s="24"/>
      <c r="ETE22" s="24"/>
      <c r="ETF22" s="24"/>
      <c r="ETG22" s="24"/>
      <c r="ETH22" s="24"/>
      <c r="ETI22" s="24"/>
      <c r="ETJ22" s="24"/>
      <c r="ETK22" s="24"/>
      <c r="ETL22" s="24"/>
      <c r="ETM22" s="24"/>
      <c r="ETN22" s="24"/>
      <c r="ETO22" s="24"/>
      <c r="ETP22" s="24"/>
      <c r="ETQ22" s="24"/>
      <c r="ETR22" s="24"/>
      <c r="ETS22" s="24"/>
      <c r="ETT22" s="24"/>
      <c r="ETU22" s="24"/>
      <c r="ETV22" s="24"/>
      <c r="ETW22" s="24"/>
      <c r="ETX22" s="24"/>
      <c r="ETY22" s="24"/>
      <c r="ETZ22" s="24"/>
      <c r="EUA22" s="24"/>
      <c r="EUB22" s="24"/>
      <c r="EUC22" s="24"/>
      <c r="EUD22" s="24"/>
      <c r="EUE22" s="24"/>
      <c r="EUF22" s="24"/>
      <c r="EUG22" s="24"/>
      <c r="EUH22" s="24"/>
      <c r="EUI22" s="24"/>
      <c r="EUJ22" s="24"/>
      <c r="EUK22" s="24"/>
      <c r="EUL22" s="24"/>
      <c r="EUM22" s="24"/>
      <c r="EUN22" s="24"/>
      <c r="EUO22" s="24"/>
      <c r="EUP22" s="24"/>
      <c r="EUQ22" s="24"/>
      <c r="EUR22" s="24"/>
      <c r="EUS22" s="24"/>
      <c r="EUT22" s="24"/>
      <c r="EUU22" s="24"/>
      <c r="EUV22" s="24"/>
      <c r="EUW22" s="24"/>
      <c r="EUX22" s="24"/>
      <c r="EUY22" s="24"/>
      <c r="EUZ22" s="24"/>
      <c r="EVA22" s="24"/>
      <c r="EVB22" s="24"/>
      <c r="EVC22" s="24"/>
      <c r="EVD22" s="24"/>
      <c r="EVE22" s="24"/>
      <c r="EVF22" s="24"/>
      <c r="EVG22" s="24"/>
      <c r="EVH22" s="24"/>
      <c r="EVI22" s="24"/>
      <c r="EVJ22" s="24"/>
      <c r="EVK22" s="24"/>
      <c r="EVL22" s="24"/>
      <c r="EVM22" s="24"/>
      <c r="EVN22" s="24"/>
      <c r="EVO22" s="24"/>
      <c r="EVP22" s="24"/>
      <c r="EVQ22" s="24"/>
      <c r="EVR22" s="24"/>
      <c r="EVS22" s="24"/>
      <c r="EVT22" s="24"/>
      <c r="EVU22" s="24"/>
      <c r="EVV22" s="24"/>
      <c r="EVW22" s="24"/>
      <c r="EVX22" s="24"/>
      <c r="EVY22" s="24"/>
      <c r="EVZ22" s="24"/>
      <c r="EWA22" s="24"/>
      <c r="EWB22" s="24"/>
      <c r="EWC22" s="24"/>
      <c r="EWD22" s="24"/>
      <c r="EWE22" s="24"/>
      <c r="EWF22" s="24"/>
      <c r="EWG22" s="24"/>
      <c r="EWH22" s="24"/>
      <c r="EWI22" s="24"/>
      <c r="EWJ22" s="24"/>
      <c r="EWK22" s="24"/>
      <c r="EWL22" s="24"/>
      <c r="EWM22" s="24"/>
      <c r="EWN22" s="24"/>
      <c r="EWO22" s="24"/>
      <c r="EWP22" s="24"/>
      <c r="EWQ22" s="24"/>
      <c r="EWR22" s="24"/>
      <c r="EWS22" s="24"/>
      <c r="EWT22" s="24"/>
      <c r="EWU22" s="24"/>
      <c r="EWV22" s="24"/>
      <c r="EWW22" s="24"/>
      <c r="EWX22" s="24"/>
      <c r="EWY22" s="24"/>
      <c r="EWZ22" s="24"/>
      <c r="EXA22" s="24"/>
      <c r="EXB22" s="24"/>
      <c r="EXC22" s="24"/>
      <c r="EXD22" s="24"/>
      <c r="EXE22" s="24"/>
      <c r="EXF22" s="24"/>
      <c r="EXG22" s="24"/>
      <c r="EXH22" s="24"/>
      <c r="EXI22" s="24"/>
      <c r="EXJ22" s="24"/>
      <c r="EXK22" s="24"/>
      <c r="EXL22" s="24"/>
      <c r="EXM22" s="24"/>
      <c r="EXN22" s="24"/>
      <c r="EXO22" s="24"/>
      <c r="EXP22" s="24"/>
      <c r="EXQ22" s="24"/>
      <c r="EXR22" s="24"/>
      <c r="EXS22" s="24"/>
      <c r="EXT22" s="24"/>
      <c r="EXU22" s="24"/>
      <c r="EXV22" s="24"/>
      <c r="EXW22" s="24"/>
      <c r="EXX22" s="24"/>
      <c r="EXY22" s="24"/>
      <c r="EXZ22" s="24"/>
      <c r="EYA22" s="24"/>
      <c r="EYB22" s="24"/>
      <c r="EYC22" s="24"/>
      <c r="EYD22" s="24"/>
      <c r="EYE22" s="24"/>
      <c r="EYF22" s="24"/>
      <c r="EYG22" s="24"/>
      <c r="EYH22" s="24"/>
      <c r="EYI22" s="24"/>
      <c r="EYJ22" s="24"/>
      <c r="EYK22" s="24"/>
      <c r="EYL22" s="24"/>
      <c r="EYM22" s="24"/>
      <c r="EYN22" s="24"/>
      <c r="EYO22" s="24"/>
      <c r="EYP22" s="24"/>
      <c r="EYQ22" s="24"/>
      <c r="EYR22" s="24"/>
      <c r="EYS22" s="24"/>
      <c r="EYT22" s="24"/>
      <c r="EYU22" s="24"/>
      <c r="EYV22" s="24"/>
      <c r="EYW22" s="24"/>
      <c r="EYX22" s="24"/>
      <c r="EYY22" s="24"/>
      <c r="EYZ22" s="24"/>
      <c r="EZA22" s="24"/>
      <c r="EZB22" s="24"/>
      <c r="EZC22" s="24"/>
      <c r="EZD22" s="24"/>
      <c r="EZE22" s="24"/>
      <c r="EZF22" s="24"/>
      <c r="EZG22" s="24"/>
      <c r="EZH22" s="24"/>
      <c r="EZI22" s="24"/>
      <c r="EZJ22" s="24"/>
      <c r="EZK22" s="24"/>
      <c r="EZL22" s="24"/>
      <c r="EZM22" s="24"/>
      <c r="EZN22" s="24"/>
      <c r="EZO22" s="24"/>
      <c r="EZP22" s="24"/>
      <c r="EZQ22" s="24"/>
      <c r="EZR22" s="24"/>
      <c r="EZS22" s="24"/>
      <c r="EZT22" s="24"/>
      <c r="EZU22" s="24"/>
      <c r="EZV22" s="24"/>
      <c r="EZW22" s="24"/>
      <c r="EZX22" s="24"/>
      <c r="EZY22" s="24"/>
      <c r="EZZ22" s="24"/>
      <c r="FAA22" s="24"/>
      <c r="FAB22" s="24"/>
      <c r="FAC22" s="24"/>
      <c r="FAD22" s="24"/>
      <c r="FAE22" s="24"/>
      <c r="FAF22" s="24"/>
      <c r="FAG22" s="24"/>
      <c r="FAH22" s="24"/>
      <c r="FAI22" s="24"/>
      <c r="FAJ22" s="24"/>
      <c r="FAK22" s="24"/>
      <c r="FAL22" s="24"/>
      <c r="FAM22" s="24"/>
      <c r="FAN22" s="24"/>
      <c r="FAO22" s="24"/>
      <c r="FAP22" s="24"/>
      <c r="FAQ22" s="24"/>
      <c r="FAR22" s="24"/>
      <c r="FAS22" s="24"/>
      <c r="FAT22" s="24"/>
      <c r="FAU22" s="24"/>
      <c r="FAV22" s="24"/>
      <c r="FAW22" s="24"/>
      <c r="FAX22" s="24"/>
      <c r="FAY22" s="24"/>
      <c r="FAZ22" s="24"/>
      <c r="FBA22" s="24"/>
      <c r="FBB22" s="24"/>
      <c r="FBC22" s="24"/>
      <c r="FBD22" s="24"/>
      <c r="FBE22" s="24"/>
      <c r="FBF22" s="24"/>
      <c r="FBG22" s="24"/>
      <c r="FBH22" s="24"/>
      <c r="FBI22" s="24"/>
      <c r="FBJ22" s="24"/>
      <c r="FBK22" s="24"/>
      <c r="FBL22" s="24"/>
      <c r="FBM22" s="24"/>
      <c r="FBN22" s="24"/>
      <c r="FBO22" s="24"/>
      <c r="FBP22" s="24"/>
      <c r="FBQ22" s="24"/>
      <c r="FBR22" s="24"/>
      <c r="FBS22" s="24"/>
      <c r="FBT22" s="24"/>
      <c r="FBU22" s="24"/>
      <c r="FBV22" s="24"/>
      <c r="FBW22" s="24"/>
      <c r="FBX22" s="24"/>
      <c r="FBY22" s="24"/>
      <c r="FBZ22" s="24"/>
      <c r="FCA22" s="24"/>
      <c r="FCB22" s="24"/>
      <c r="FCC22" s="24"/>
      <c r="FCD22" s="24"/>
      <c r="FCE22" s="24"/>
      <c r="FCF22" s="24"/>
      <c r="FCG22" s="24"/>
      <c r="FCH22" s="24"/>
      <c r="FCI22" s="24"/>
      <c r="FCJ22" s="24"/>
      <c r="FCK22" s="24"/>
      <c r="FCL22" s="24"/>
      <c r="FCM22" s="24"/>
      <c r="FCN22" s="24"/>
      <c r="FCO22" s="24"/>
      <c r="FCP22" s="24"/>
      <c r="FCQ22" s="24"/>
      <c r="FCR22" s="24"/>
      <c r="FCS22" s="24"/>
      <c r="FCT22" s="24"/>
      <c r="FCU22" s="24"/>
      <c r="FCV22" s="24"/>
      <c r="FCW22" s="24"/>
      <c r="FCX22" s="24"/>
      <c r="FCY22" s="24"/>
      <c r="FCZ22" s="24"/>
      <c r="FDA22" s="24"/>
      <c r="FDB22" s="24"/>
      <c r="FDC22" s="24"/>
      <c r="FDD22" s="24"/>
      <c r="FDE22" s="24"/>
      <c r="FDF22" s="24"/>
      <c r="FDG22" s="24"/>
      <c r="FDH22" s="24"/>
      <c r="FDI22" s="24"/>
      <c r="FDJ22" s="24"/>
      <c r="FDK22" s="24"/>
      <c r="FDL22" s="24"/>
      <c r="FDM22" s="24"/>
      <c r="FDN22" s="24"/>
      <c r="FDO22" s="24"/>
      <c r="FDP22" s="24"/>
      <c r="FDQ22" s="24"/>
      <c r="FDR22" s="24"/>
      <c r="FDS22" s="24"/>
      <c r="FDT22" s="24"/>
      <c r="FDU22" s="24"/>
      <c r="FDV22" s="24"/>
      <c r="FDW22" s="24"/>
      <c r="FDX22" s="24"/>
      <c r="FDY22" s="24"/>
      <c r="FDZ22" s="24"/>
      <c r="FEA22" s="24"/>
      <c r="FEB22" s="24"/>
      <c r="FEC22" s="24"/>
      <c r="FED22" s="24"/>
      <c r="FEE22" s="24"/>
      <c r="FEF22" s="24"/>
      <c r="FEG22" s="24"/>
      <c r="FEH22" s="24"/>
      <c r="FEI22" s="24"/>
      <c r="FEJ22" s="24"/>
      <c r="FEK22" s="24"/>
      <c r="FEL22" s="24"/>
      <c r="FEM22" s="24"/>
      <c r="FEN22" s="24"/>
      <c r="FEO22" s="24"/>
      <c r="FEP22" s="24"/>
      <c r="FEQ22" s="24"/>
      <c r="FER22" s="24"/>
      <c r="FES22" s="24"/>
      <c r="FET22" s="24"/>
      <c r="FEU22" s="24"/>
      <c r="FEV22" s="24"/>
      <c r="FEW22" s="24"/>
      <c r="FEX22" s="24"/>
      <c r="FEY22" s="24"/>
      <c r="FEZ22" s="24"/>
      <c r="FFA22" s="24"/>
      <c r="FFB22" s="24"/>
      <c r="FFC22" s="24"/>
      <c r="FFD22" s="24"/>
      <c r="FFE22" s="24"/>
      <c r="FFF22" s="24"/>
      <c r="FFG22" s="24"/>
      <c r="FFH22" s="24"/>
      <c r="FFI22" s="24"/>
      <c r="FFJ22" s="24"/>
      <c r="FFK22" s="24"/>
      <c r="FFL22" s="24"/>
      <c r="FFM22" s="24"/>
      <c r="FFN22" s="24"/>
      <c r="FFO22" s="24"/>
      <c r="FFP22" s="24"/>
      <c r="FFQ22" s="24"/>
      <c r="FFR22" s="24"/>
      <c r="FFS22" s="24"/>
      <c r="FFT22" s="24"/>
      <c r="FFU22" s="24"/>
      <c r="FFV22" s="24"/>
      <c r="FFW22" s="24"/>
      <c r="FFX22" s="24"/>
      <c r="FFY22" s="24"/>
      <c r="FFZ22" s="24"/>
      <c r="FGA22" s="24"/>
      <c r="FGB22" s="24"/>
      <c r="FGC22" s="24"/>
      <c r="FGD22" s="24"/>
      <c r="FGE22" s="24"/>
      <c r="FGF22" s="24"/>
      <c r="FGG22" s="24"/>
      <c r="FGH22" s="24"/>
      <c r="FGI22" s="24"/>
      <c r="FGJ22" s="24"/>
      <c r="FGK22" s="24"/>
      <c r="FGL22" s="24"/>
      <c r="FGM22" s="24"/>
      <c r="FGN22" s="24"/>
      <c r="FGO22" s="24"/>
      <c r="FGP22" s="24"/>
      <c r="FGQ22" s="24"/>
      <c r="FGR22" s="24"/>
      <c r="FGS22" s="24"/>
      <c r="FGT22" s="24"/>
      <c r="FGU22" s="24"/>
      <c r="FGV22" s="24"/>
      <c r="FGW22" s="24"/>
      <c r="FGX22" s="24"/>
      <c r="FGY22" s="24"/>
      <c r="FGZ22" s="24"/>
      <c r="FHA22" s="24"/>
      <c r="FHB22" s="24"/>
      <c r="FHC22" s="24"/>
      <c r="FHD22" s="24"/>
      <c r="FHE22" s="24"/>
      <c r="FHF22" s="24"/>
      <c r="FHG22" s="24"/>
      <c r="FHH22" s="24"/>
      <c r="FHI22" s="24"/>
      <c r="FHJ22" s="24"/>
      <c r="FHK22" s="24"/>
      <c r="FHL22" s="24"/>
      <c r="FHM22" s="24"/>
      <c r="FHN22" s="24"/>
      <c r="FHO22" s="24"/>
      <c r="FHP22" s="24"/>
      <c r="FHQ22" s="24"/>
      <c r="FHR22" s="24"/>
      <c r="FHS22" s="24"/>
      <c r="FHT22" s="24"/>
      <c r="FHU22" s="24"/>
      <c r="FHV22" s="24"/>
      <c r="FHW22" s="24"/>
      <c r="FHX22" s="24"/>
      <c r="FHY22" s="24"/>
      <c r="FHZ22" s="24"/>
      <c r="FIA22" s="24"/>
      <c r="FIB22" s="24"/>
      <c r="FIC22" s="24"/>
      <c r="FID22" s="24"/>
      <c r="FIE22" s="24"/>
      <c r="FIF22" s="24"/>
      <c r="FIG22" s="24"/>
      <c r="FIH22" s="24"/>
      <c r="FII22" s="24"/>
      <c r="FIJ22" s="24"/>
      <c r="FIK22" s="24"/>
      <c r="FIL22" s="24"/>
      <c r="FIM22" s="24"/>
      <c r="FIN22" s="24"/>
      <c r="FIO22" s="24"/>
      <c r="FIP22" s="24"/>
      <c r="FIQ22" s="24"/>
      <c r="FIR22" s="24"/>
      <c r="FIS22" s="24"/>
      <c r="FIT22" s="24"/>
      <c r="FIU22" s="24"/>
      <c r="FIV22" s="24"/>
      <c r="FIW22" s="24"/>
      <c r="FIX22" s="24"/>
      <c r="FIY22" s="24"/>
      <c r="FIZ22" s="24"/>
      <c r="FJA22" s="24"/>
      <c r="FJB22" s="24"/>
      <c r="FJC22" s="24"/>
      <c r="FJD22" s="24"/>
      <c r="FJE22" s="24"/>
      <c r="FJF22" s="24"/>
      <c r="FJG22" s="24"/>
      <c r="FJH22" s="24"/>
      <c r="FJI22" s="24"/>
      <c r="FJJ22" s="24"/>
      <c r="FJK22" s="24"/>
      <c r="FJL22" s="24"/>
      <c r="FJM22" s="24"/>
      <c r="FJN22" s="24"/>
      <c r="FJO22" s="24"/>
      <c r="FJP22" s="24"/>
      <c r="FJQ22" s="24"/>
      <c r="FJR22" s="24"/>
      <c r="FJS22" s="24"/>
      <c r="FJT22" s="24"/>
      <c r="FJU22" s="24"/>
      <c r="FJV22" s="24"/>
      <c r="FJW22" s="24"/>
      <c r="FJX22" s="24"/>
      <c r="FJY22" s="24"/>
      <c r="FJZ22" s="24"/>
      <c r="FKA22" s="24"/>
      <c r="FKB22" s="24"/>
      <c r="FKC22" s="24"/>
      <c r="FKD22" s="24"/>
      <c r="FKE22" s="24"/>
      <c r="FKF22" s="24"/>
      <c r="FKG22" s="24"/>
      <c r="FKH22" s="24"/>
      <c r="FKI22" s="24"/>
      <c r="FKJ22" s="24"/>
      <c r="FKK22" s="24"/>
      <c r="FKL22" s="24"/>
      <c r="FKM22" s="24"/>
      <c r="FKN22" s="24"/>
      <c r="FKO22" s="24"/>
      <c r="FKP22" s="24"/>
      <c r="FKQ22" s="24"/>
      <c r="FKR22" s="24"/>
      <c r="FKS22" s="24"/>
      <c r="FKT22" s="24"/>
      <c r="FKU22" s="24"/>
      <c r="FKV22" s="24"/>
      <c r="FKW22" s="24"/>
      <c r="FKX22" s="24"/>
      <c r="FKY22" s="24"/>
      <c r="FKZ22" s="24"/>
      <c r="FLA22" s="24"/>
      <c r="FLB22" s="24"/>
      <c r="FLC22" s="24"/>
      <c r="FLD22" s="24"/>
      <c r="FLE22" s="24"/>
      <c r="FLF22" s="24"/>
      <c r="FLG22" s="24"/>
      <c r="FLH22" s="24"/>
      <c r="FLI22" s="24"/>
      <c r="FLJ22" s="24"/>
      <c r="FLK22" s="24"/>
      <c r="FLL22" s="24"/>
      <c r="FLM22" s="24"/>
      <c r="FLN22" s="24"/>
      <c r="FLO22" s="24"/>
      <c r="FLP22" s="24"/>
      <c r="FLQ22" s="24"/>
      <c r="FLR22" s="24"/>
      <c r="FLS22" s="24"/>
      <c r="FLT22" s="24"/>
      <c r="FLU22" s="24"/>
      <c r="FLV22" s="24"/>
      <c r="FLW22" s="24"/>
      <c r="FLX22" s="24"/>
      <c r="FLY22" s="24"/>
      <c r="FLZ22" s="24"/>
      <c r="FMA22" s="24"/>
      <c r="FMB22" s="24"/>
      <c r="FMC22" s="24"/>
      <c r="FMD22" s="24"/>
      <c r="FME22" s="24"/>
      <c r="FMF22" s="24"/>
      <c r="FMG22" s="24"/>
      <c r="FMH22" s="24"/>
      <c r="FMI22" s="24"/>
      <c r="FMJ22" s="24"/>
      <c r="FMK22" s="24"/>
      <c r="FML22" s="24"/>
      <c r="FMM22" s="24"/>
      <c r="FMN22" s="24"/>
      <c r="FMO22" s="24"/>
      <c r="FMP22" s="24"/>
      <c r="FMQ22" s="24"/>
      <c r="FMR22" s="24"/>
      <c r="FMS22" s="24"/>
      <c r="FMT22" s="24"/>
      <c r="FMU22" s="24"/>
      <c r="FMV22" s="24"/>
      <c r="FMW22" s="24"/>
      <c r="FMX22" s="24"/>
      <c r="FMY22" s="24"/>
      <c r="FMZ22" s="24"/>
      <c r="FNA22" s="24"/>
      <c r="FNB22" s="24"/>
      <c r="FNC22" s="24"/>
      <c r="FND22" s="24"/>
      <c r="FNE22" s="24"/>
      <c r="FNF22" s="24"/>
      <c r="FNG22" s="24"/>
      <c r="FNH22" s="24"/>
      <c r="FNI22" s="24"/>
      <c r="FNJ22" s="24"/>
      <c r="FNK22" s="24"/>
      <c r="FNL22" s="24"/>
      <c r="FNM22" s="24"/>
      <c r="FNN22" s="24"/>
      <c r="FNO22" s="24"/>
      <c r="FNP22" s="24"/>
      <c r="FNQ22" s="24"/>
      <c r="FNR22" s="24"/>
      <c r="FNS22" s="24"/>
      <c r="FNT22" s="24"/>
      <c r="FNU22" s="24"/>
      <c r="FNV22" s="24"/>
      <c r="FNW22" s="24"/>
      <c r="FNX22" s="24"/>
      <c r="FNY22" s="24"/>
      <c r="FNZ22" s="24"/>
      <c r="FOA22" s="24"/>
      <c r="FOB22" s="24"/>
      <c r="FOC22" s="24"/>
      <c r="FOD22" s="24"/>
      <c r="FOE22" s="24"/>
      <c r="FOF22" s="24"/>
      <c r="FOG22" s="24"/>
      <c r="FOH22" s="24"/>
      <c r="FOI22" s="24"/>
      <c r="FOJ22" s="24"/>
      <c r="FOK22" s="24"/>
      <c r="FOL22" s="24"/>
      <c r="FOM22" s="24"/>
      <c r="FON22" s="24"/>
      <c r="FOO22" s="24"/>
      <c r="FOP22" s="24"/>
      <c r="FOQ22" s="24"/>
      <c r="FOR22" s="24"/>
      <c r="FOS22" s="24"/>
      <c r="FOT22" s="24"/>
      <c r="FOU22" s="24"/>
      <c r="FOV22" s="24"/>
      <c r="FOW22" s="24"/>
      <c r="FOX22" s="24"/>
      <c r="FOY22" s="24"/>
      <c r="FOZ22" s="24"/>
      <c r="FPA22" s="24"/>
      <c r="FPB22" s="24"/>
      <c r="FPC22" s="24"/>
      <c r="FPD22" s="24"/>
      <c r="FPE22" s="24"/>
      <c r="FPF22" s="24"/>
      <c r="FPG22" s="24"/>
      <c r="FPH22" s="24"/>
      <c r="FPI22" s="24"/>
      <c r="FPJ22" s="24"/>
      <c r="FPK22" s="24"/>
      <c r="FPL22" s="24"/>
      <c r="FPM22" s="24"/>
      <c r="FPN22" s="24"/>
      <c r="FPO22" s="24"/>
      <c r="FPP22" s="24"/>
      <c r="FPQ22" s="24"/>
      <c r="FPR22" s="24"/>
      <c r="FPS22" s="24"/>
      <c r="FPT22" s="24"/>
      <c r="FPU22" s="24"/>
      <c r="FPV22" s="24"/>
      <c r="FPW22" s="24"/>
      <c r="FPX22" s="24"/>
      <c r="FPY22" s="24"/>
      <c r="FPZ22" s="24"/>
      <c r="FQA22" s="24"/>
      <c r="FQB22" s="24"/>
      <c r="FQC22" s="24"/>
      <c r="FQD22" s="24"/>
      <c r="FQE22" s="24"/>
      <c r="FQF22" s="24"/>
      <c r="FQG22" s="24"/>
      <c r="FQH22" s="24"/>
      <c r="FQI22" s="24"/>
      <c r="FQJ22" s="24"/>
      <c r="FQK22" s="24"/>
      <c r="FQL22" s="24"/>
      <c r="FQM22" s="24"/>
      <c r="FQN22" s="24"/>
      <c r="FQO22" s="24"/>
      <c r="FQP22" s="24"/>
      <c r="FQQ22" s="24"/>
      <c r="FQR22" s="24"/>
      <c r="FQS22" s="24"/>
      <c r="FQT22" s="24"/>
      <c r="FQU22" s="24"/>
      <c r="FQV22" s="24"/>
      <c r="FQW22" s="24"/>
      <c r="FQX22" s="24"/>
      <c r="FQY22" s="24"/>
      <c r="FQZ22" s="24"/>
      <c r="FRA22" s="24"/>
      <c r="FRB22" s="24"/>
      <c r="FRC22" s="24"/>
      <c r="FRD22" s="24"/>
      <c r="FRE22" s="24"/>
      <c r="FRF22" s="24"/>
      <c r="FRG22" s="24"/>
      <c r="FRH22" s="24"/>
      <c r="FRI22" s="24"/>
      <c r="FRJ22" s="24"/>
      <c r="FRK22" s="24"/>
      <c r="FRL22" s="24"/>
      <c r="FRM22" s="24"/>
      <c r="FRN22" s="24"/>
      <c r="FRO22" s="24"/>
      <c r="FRP22" s="24"/>
      <c r="FRQ22" s="24"/>
      <c r="FRR22" s="24"/>
      <c r="FRS22" s="24"/>
      <c r="FRT22" s="24"/>
      <c r="FRU22" s="24"/>
      <c r="FRV22" s="24"/>
      <c r="FRW22" s="24"/>
      <c r="FRX22" s="24"/>
      <c r="FRY22" s="24"/>
      <c r="FRZ22" s="24"/>
      <c r="FSA22" s="24"/>
      <c r="FSB22" s="24"/>
      <c r="FSC22" s="24"/>
      <c r="FSD22" s="24"/>
      <c r="FSE22" s="24"/>
      <c r="FSF22" s="24"/>
      <c r="FSG22" s="24"/>
      <c r="FSH22" s="24"/>
      <c r="FSI22" s="24"/>
      <c r="FSJ22" s="24"/>
      <c r="FSK22" s="24"/>
      <c r="FSL22" s="24"/>
      <c r="FSM22" s="24"/>
      <c r="FSN22" s="24"/>
      <c r="FSO22" s="24"/>
      <c r="FSP22" s="24"/>
      <c r="FSQ22" s="24"/>
      <c r="FSR22" s="24"/>
      <c r="FSS22" s="24"/>
      <c r="FST22" s="24"/>
      <c r="FSU22" s="24"/>
      <c r="FSV22" s="24"/>
      <c r="FSW22" s="24"/>
      <c r="FSX22" s="24"/>
      <c r="FSY22" s="24"/>
      <c r="FSZ22" s="24"/>
      <c r="FTA22" s="24"/>
      <c r="FTB22" s="24"/>
      <c r="FTC22" s="24"/>
      <c r="FTD22" s="24"/>
      <c r="FTE22" s="24"/>
      <c r="FTF22" s="24"/>
      <c r="FTG22" s="24"/>
      <c r="FTH22" s="24"/>
      <c r="FTI22" s="24"/>
      <c r="FTJ22" s="24"/>
      <c r="FTK22" s="24"/>
      <c r="FTL22" s="24"/>
      <c r="FTM22" s="24"/>
      <c r="FTN22" s="24"/>
      <c r="FTO22" s="24"/>
      <c r="FTP22" s="24"/>
      <c r="FTQ22" s="24"/>
      <c r="FTR22" s="24"/>
      <c r="FTS22" s="24"/>
      <c r="FTT22" s="24"/>
      <c r="FTU22" s="24"/>
      <c r="FTV22" s="24"/>
      <c r="FTW22" s="24"/>
      <c r="FTX22" s="24"/>
      <c r="FTY22" s="24"/>
      <c r="FTZ22" s="24"/>
      <c r="FUA22" s="24"/>
      <c r="FUB22" s="24"/>
      <c r="FUC22" s="24"/>
      <c r="FUD22" s="24"/>
      <c r="FUE22" s="24"/>
      <c r="FUF22" s="24"/>
      <c r="FUG22" s="24"/>
      <c r="FUH22" s="24"/>
      <c r="FUI22" s="24"/>
      <c r="FUJ22" s="24"/>
      <c r="FUK22" s="24"/>
      <c r="FUL22" s="24"/>
      <c r="FUM22" s="24"/>
      <c r="FUN22" s="24"/>
      <c r="FUO22" s="24"/>
      <c r="FUP22" s="24"/>
      <c r="FUQ22" s="24"/>
      <c r="FUR22" s="24"/>
      <c r="FUS22" s="24"/>
      <c r="FUT22" s="24"/>
      <c r="FUU22" s="24"/>
      <c r="FUV22" s="24"/>
      <c r="FUW22" s="24"/>
      <c r="FUX22" s="24"/>
      <c r="FUY22" s="24"/>
      <c r="FUZ22" s="24"/>
      <c r="FVA22" s="24"/>
      <c r="FVB22" s="24"/>
      <c r="FVC22" s="24"/>
      <c r="FVD22" s="24"/>
      <c r="FVE22" s="24"/>
      <c r="FVF22" s="24"/>
      <c r="FVG22" s="24"/>
      <c r="FVH22" s="24"/>
      <c r="FVI22" s="24"/>
      <c r="FVJ22" s="24"/>
      <c r="FVK22" s="24"/>
      <c r="FVL22" s="24"/>
      <c r="FVM22" s="24"/>
      <c r="FVN22" s="24"/>
      <c r="FVO22" s="24"/>
      <c r="FVP22" s="24"/>
      <c r="FVQ22" s="24"/>
      <c r="FVR22" s="24"/>
      <c r="FVS22" s="24"/>
      <c r="FVT22" s="24"/>
      <c r="FVU22" s="24"/>
      <c r="FVV22" s="24"/>
      <c r="FVW22" s="24"/>
      <c r="FVX22" s="24"/>
      <c r="FVY22" s="24"/>
      <c r="FVZ22" s="24"/>
      <c r="FWA22" s="24"/>
      <c r="FWB22" s="24"/>
      <c r="FWC22" s="24"/>
      <c r="FWD22" s="24"/>
      <c r="FWE22" s="24"/>
      <c r="FWF22" s="24"/>
      <c r="FWG22" s="24"/>
      <c r="FWH22" s="24"/>
      <c r="FWI22" s="24"/>
      <c r="FWJ22" s="24"/>
      <c r="FWK22" s="24"/>
      <c r="FWL22" s="24"/>
      <c r="FWM22" s="24"/>
      <c r="FWN22" s="24"/>
      <c r="FWO22" s="24"/>
      <c r="FWP22" s="24"/>
      <c r="FWQ22" s="24"/>
      <c r="FWR22" s="24"/>
      <c r="FWS22" s="24"/>
      <c r="FWT22" s="24"/>
      <c r="FWU22" s="24"/>
      <c r="FWV22" s="24"/>
      <c r="FWW22" s="24"/>
      <c r="FWX22" s="24"/>
      <c r="FWY22" s="24"/>
      <c r="FWZ22" s="24"/>
      <c r="FXA22" s="24"/>
      <c r="FXB22" s="24"/>
      <c r="FXC22" s="24"/>
      <c r="FXD22" s="24"/>
      <c r="FXE22" s="24"/>
      <c r="FXF22" s="24"/>
      <c r="FXG22" s="24"/>
      <c r="FXH22" s="24"/>
      <c r="FXI22" s="24"/>
      <c r="FXJ22" s="24"/>
      <c r="FXK22" s="24"/>
      <c r="FXL22" s="24"/>
      <c r="FXM22" s="24"/>
      <c r="FXN22" s="24"/>
      <c r="FXO22" s="24"/>
      <c r="FXP22" s="24"/>
      <c r="FXQ22" s="24"/>
      <c r="FXR22" s="24"/>
      <c r="FXS22" s="24"/>
      <c r="FXT22" s="24"/>
      <c r="FXU22" s="24"/>
      <c r="FXV22" s="24"/>
      <c r="FXW22" s="24"/>
      <c r="FXX22" s="24"/>
      <c r="FXY22" s="24"/>
      <c r="FXZ22" s="24"/>
      <c r="FYA22" s="24"/>
      <c r="FYB22" s="24"/>
      <c r="FYC22" s="24"/>
      <c r="FYD22" s="24"/>
      <c r="FYE22" s="24"/>
      <c r="FYF22" s="24"/>
      <c r="FYG22" s="24"/>
      <c r="FYH22" s="24"/>
      <c r="FYI22" s="24"/>
      <c r="FYJ22" s="24"/>
      <c r="FYK22" s="24"/>
      <c r="FYL22" s="24"/>
      <c r="FYM22" s="24"/>
      <c r="FYN22" s="24"/>
      <c r="FYO22" s="24"/>
      <c r="FYP22" s="24"/>
      <c r="FYQ22" s="24"/>
      <c r="FYR22" s="24"/>
      <c r="FYS22" s="24"/>
      <c r="FYT22" s="24"/>
      <c r="FYU22" s="24"/>
      <c r="FYV22" s="24"/>
      <c r="FYW22" s="24"/>
      <c r="FYX22" s="24"/>
      <c r="FYY22" s="24"/>
      <c r="FYZ22" s="24"/>
      <c r="FZA22" s="24"/>
      <c r="FZB22" s="24"/>
      <c r="FZC22" s="24"/>
      <c r="FZD22" s="24"/>
      <c r="FZE22" s="24"/>
      <c r="FZF22" s="24"/>
      <c r="FZG22" s="24"/>
      <c r="FZH22" s="24"/>
      <c r="FZI22" s="24"/>
      <c r="FZJ22" s="24"/>
      <c r="FZK22" s="24"/>
      <c r="FZL22" s="24"/>
      <c r="FZM22" s="24"/>
      <c r="FZN22" s="24"/>
      <c r="FZO22" s="24"/>
      <c r="FZP22" s="24"/>
      <c r="FZQ22" s="24"/>
      <c r="FZR22" s="24"/>
      <c r="FZS22" s="24"/>
      <c r="FZT22" s="24"/>
      <c r="FZU22" s="24"/>
      <c r="FZV22" s="24"/>
      <c r="FZW22" s="24"/>
      <c r="FZX22" s="24"/>
      <c r="FZY22" s="24"/>
      <c r="FZZ22" s="24"/>
      <c r="GAA22" s="24"/>
      <c r="GAB22" s="24"/>
      <c r="GAC22" s="24"/>
      <c r="GAD22" s="24"/>
      <c r="GAE22" s="24"/>
      <c r="GAF22" s="24"/>
      <c r="GAG22" s="24"/>
      <c r="GAH22" s="24"/>
      <c r="GAI22" s="24"/>
      <c r="GAJ22" s="24"/>
      <c r="GAK22" s="24"/>
      <c r="GAL22" s="24"/>
      <c r="GAM22" s="24"/>
      <c r="GAN22" s="24"/>
      <c r="GAO22" s="24"/>
      <c r="GAP22" s="24"/>
      <c r="GAQ22" s="24"/>
      <c r="GAR22" s="24"/>
      <c r="GAS22" s="24"/>
      <c r="GAT22" s="24"/>
      <c r="GAU22" s="24"/>
      <c r="GAV22" s="24"/>
      <c r="GAW22" s="24"/>
      <c r="GAX22" s="24"/>
      <c r="GAY22" s="24"/>
      <c r="GAZ22" s="24"/>
      <c r="GBA22" s="24"/>
      <c r="GBB22" s="24"/>
      <c r="GBC22" s="24"/>
      <c r="GBD22" s="24"/>
      <c r="GBE22" s="24"/>
      <c r="GBF22" s="24"/>
      <c r="GBG22" s="24"/>
      <c r="GBH22" s="24"/>
      <c r="GBI22" s="24"/>
      <c r="GBJ22" s="24"/>
      <c r="GBK22" s="24"/>
      <c r="GBL22" s="24"/>
      <c r="GBM22" s="24"/>
      <c r="GBN22" s="24"/>
      <c r="GBO22" s="24"/>
      <c r="GBP22" s="24"/>
      <c r="GBQ22" s="24"/>
      <c r="GBR22" s="24"/>
      <c r="GBS22" s="24"/>
      <c r="GBT22" s="24"/>
      <c r="GBU22" s="24"/>
      <c r="GBV22" s="24"/>
      <c r="GBW22" s="24"/>
      <c r="GBX22" s="24"/>
      <c r="GBY22" s="24"/>
      <c r="GBZ22" s="24"/>
      <c r="GCA22" s="24"/>
      <c r="GCB22" s="24"/>
      <c r="GCC22" s="24"/>
      <c r="GCD22" s="24"/>
      <c r="GCE22" s="24"/>
      <c r="GCF22" s="24"/>
      <c r="GCG22" s="24"/>
      <c r="GCH22" s="24"/>
      <c r="GCI22" s="24"/>
      <c r="GCJ22" s="24"/>
      <c r="GCK22" s="24"/>
      <c r="GCL22" s="24"/>
      <c r="GCM22" s="24"/>
      <c r="GCN22" s="24"/>
      <c r="GCO22" s="24"/>
      <c r="GCP22" s="24"/>
      <c r="GCQ22" s="24"/>
      <c r="GCR22" s="24"/>
      <c r="GCS22" s="24"/>
      <c r="GCT22" s="24"/>
      <c r="GCU22" s="24"/>
      <c r="GCV22" s="24"/>
      <c r="GCW22" s="24"/>
      <c r="GCX22" s="24"/>
      <c r="GCY22" s="24"/>
      <c r="GCZ22" s="24"/>
      <c r="GDA22" s="24"/>
      <c r="GDB22" s="24"/>
      <c r="GDC22" s="24"/>
      <c r="GDD22" s="24"/>
      <c r="GDE22" s="24"/>
      <c r="GDF22" s="24"/>
      <c r="GDG22" s="24"/>
      <c r="GDH22" s="24"/>
      <c r="GDI22" s="24"/>
      <c r="GDJ22" s="24"/>
      <c r="GDK22" s="24"/>
      <c r="GDL22" s="24"/>
      <c r="GDM22" s="24"/>
      <c r="GDN22" s="24"/>
      <c r="GDO22" s="24"/>
      <c r="GDP22" s="24"/>
      <c r="GDQ22" s="24"/>
      <c r="GDR22" s="24"/>
      <c r="GDS22" s="24"/>
      <c r="GDT22" s="24"/>
      <c r="GDU22" s="24"/>
      <c r="GDV22" s="24"/>
      <c r="GDW22" s="24"/>
      <c r="GDX22" s="24"/>
      <c r="GDY22" s="24"/>
      <c r="GDZ22" s="24"/>
      <c r="GEA22" s="24"/>
      <c r="GEB22" s="24"/>
      <c r="GEC22" s="24"/>
      <c r="GED22" s="24"/>
      <c r="GEE22" s="24"/>
      <c r="GEF22" s="24"/>
      <c r="GEG22" s="24"/>
      <c r="GEH22" s="24"/>
      <c r="GEI22" s="24"/>
      <c r="GEJ22" s="24"/>
      <c r="GEK22" s="24"/>
      <c r="GEL22" s="24"/>
      <c r="GEM22" s="24"/>
      <c r="GEN22" s="24"/>
      <c r="GEO22" s="24"/>
      <c r="GEP22" s="24"/>
      <c r="GEQ22" s="24"/>
      <c r="GER22" s="24"/>
      <c r="GES22" s="24"/>
      <c r="GET22" s="24"/>
      <c r="GEU22" s="24"/>
      <c r="GEV22" s="24"/>
      <c r="GEW22" s="24"/>
      <c r="GEX22" s="24"/>
      <c r="GEY22" s="24"/>
      <c r="GEZ22" s="24"/>
      <c r="GFA22" s="24"/>
      <c r="GFB22" s="24"/>
      <c r="GFC22" s="24"/>
      <c r="GFD22" s="24"/>
      <c r="GFE22" s="24"/>
      <c r="GFF22" s="24"/>
      <c r="GFG22" s="24"/>
      <c r="GFH22" s="24"/>
      <c r="GFI22" s="24"/>
      <c r="GFJ22" s="24"/>
      <c r="GFK22" s="24"/>
      <c r="GFL22" s="24"/>
      <c r="GFM22" s="24"/>
      <c r="GFN22" s="24"/>
      <c r="GFO22" s="24"/>
      <c r="GFP22" s="24"/>
      <c r="GFQ22" s="24"/>
      <c r="GFR22" s="24"/>
      <c r="GFS22" s="24"/>
      <c r="GFT22" s="24"/>
      <c r="GFU22" s="24"/>
      <c r="GFV22" s="24"/>
      <c r="GFW22" s="24"/>
      <c r="GFX22" s="24"/>
      <c r="GFY22" s="24"/>
      <c r="GFZ22" s="24"/>
      <c r="GGA22" s="24"/>
      <c r="GGB22" s="24"/>
      <c r="GGC22" s="24"/>
      <c r="GGD22" s="24"/>
      <c r="GGE22" s="24"/>
      <c r="GGF22" s="24"/>
      <c r="GGG22" s="24"/>
      <c r="GGH22" s="24"/>
      <c r="GGI22" s="24"/>
      <c r="GGJ22" s="24"/>
      <c r="GGK22" s="24"/>
      <c r="GGL22" s="24"/>
      <c r="GGM22" s="24"/>
      <c r="GGN22" s="24"/>
      <c r="GGO22" s="24"/>
      <c r="GGP22" s="24"/>
      <c r="GGQ22" s="24"/>
      <c r="GGR22" s="24"/>
      <c r="GGS22" s="24"/>
      <c r="GGT22" s="24"/>
      <c r="GGU22" s="24"/>
      <c r="GGV22" s="24"/>
      <c r="GGW22" s="24"/>
      <c r="GGX22" s="24"/>
      <c r="GGY22" s="24"/>
      <c r="GGZ22" s="24"/>
      <c r="GHA22" s="24"/>
      <c r="GHB22" s="24"/>
      <c r="GHC22" s="24"/>
      <c r="GHD22" s="24"/>
      <c r="GHE22" s="24"/>
      <c r="GHF22" s="24"/>
      <c r="GHG22" s="24"/>
      <c r="GHH22" s="24"/>
      <c r="GHI22" s="24"/>
      <c r="GHJ22" s="24"/>
      <c r="GHK22" s="24"/>
      <c r="GHL22" s="24"/>
      <c r="GHM22" s="24"/>
      <c r="GHN22" s="24"/>
      <c r="GHO22" s="24"/>
      <c r="GHP22" s="24"/>
      <c r="GHQ22" s="24"/>
      <c r="GHR22" s="24"/>
      <c r="GHS22" s="24"/>
      <c r="GHT22" s="24"/>
      <c r="GHU22" s="24"/>
      <c r="GHV22" s="24"/>
      <c r="GHW22" s="24"/>
      <c r="GHX22" s="24"/>
      <c r="GHY22" s="24"/>
      <c r="GHZ22" s="24"/>
      <c r="GIA22" s="24"/>
      <c r="GIB22" s="24"/>
      <c r="GIC22" s="24"/>
      <c r="GID22" s="24"/>
      <c r="GIE22" s="24"/>
      <c r="GIF22" s="24"/>
      <c r="GIG22" s="24"/>
      <c r="GIH22" s="24"/>
      <c r="GII22" s="24"/>
      <c r="GIJ22" s="24"/>
      <c r="GIK22" s="24"/>
      <c r="GIL22" s="24"/>
      <c r="GIM22" s="24"/>
      <c r="GIN22" s="24"/>
      <c r="GIO22" s="24"/>
      <c r="GIP22" s="24"/>
      <c r="GIQ22" s="24"/>
      <c r="GIR22" s="24"/>
      <c r="GIS22" s="24"/>
      <c r="GIT22" s="24"/>
      <c r="GIU22" s="24"/>
      <c r="GIV22" s="24"/>
      <c r="GIW22" s="24"/>
      <c r="GIX22" s="24"/>
      <c r="GIY22" s="24"/>
      <c r="GIZ22" s="24"/>
      <c r="GJA22" s="24"/>
      <c r="GJB22" s="24"/>
      <c r="GJC22" s="24"/>
      <c r="GJD22" s="24"/>
      <c r="GJE22" s="24"/>
      <c r="GJF22" s="24"/>
      <c r="GJG22" s="24"/>
      <c r="GJH22" s="24"/>
      <c r="GJI22" s="24"/>
      <c r="GJJ22" s="24"/>
      <c r="GJK22" s="24"/>
      <c r="GJL22" s="24"/>
      <c r="GJM22" s="24"/>
      <c r="GJN22" s="24"/>
      <c r="GJO22" s="24"/>
      <c r="GJP22" s="24"/>
      <c r="GJQ22" s="24"/>
      <c r="GJR22" s="24"/>
      <c r="GJS22" s="24"/>
      <c r="GJT22" s="24"/>
      <c r="GJU22" s="24"/>
      <c r="GJV22" s="24"/>
      <c r="GJW22" s="24"/>
      <c r="GJX22" s="24"/>
      <c r="GJY22" s="24"/>
      <c r="GJZ22" s="24"/>
      <c r="GKA22" s="24"/>
      <c r="GKB22" s="24"/>
      <c r="GKC22" s="24"/>
      <c r="GKD22" s="24"/>
      <c r="GKE22" s="24"/>
      <c r="GKF22" s="24"/>
      <c r="GKG22" s="24"/>
      <c r="GKH22" s="24"/>
      <c r="GKI22" s="24"/>
      <c r="GKJ22" s="24"/>
      <c r="GKK22" s="24"/>
      <c r="GKL22" s="24"/>
      <c r="GKM22" s="24"/>
      <c r="GKN22" s="24"/>
      <c r="GKO22" s="24"/>
      <c r="GKP22" s="24"/>
      <c r="GKQ22" s="24"/>
      <c r="GKR22" s="24"/>
      <c r="GKS22" s="24"/>
      <c r="GKT22" s="24"/>
      <c r="GKU22" s="24"/>
      <c r="GKV22" s="24"/>
      <c r="GKW22" s="24"/>
      <c r="GKX22" s="24"/>
      <c r="GKY22" s="24"/>
      <c r="GKZ22" s="24"/>
      <c r="GLA22" s="24"/>
      <c r="GLB22" s="24"/>
      <c r="GLC22" s="24"/>
      <c r="GLD22" s="24"/>
      <c r="GLE22" s="24"/>
      <c r="GLF22" s="24"/>
      <c r="GLG22" s="24"/>
      <c r="GLH22" s="24"/>
      <c r="GLI22" s="24"/>
      <c r="GLJ22" s="24"/>
      <c r="GLK22" s="24"/>
      <c r="GLL22" s="24"/>
      <c r="GLM22" s="24"/>
      <c r="GLN22" s="24"/>
      <c r="GLO22" s="24"/>
      <c r="GLP22" s="24"/>
      <c r="GLQ22" s="24"/>
      <c r="GLR22" s="24"/>
      <c r="GLS22" s="24"/>
      <c r="GLT22" s="24"/>
      <c r="GLU22" s="24"/>
      <c r="GLV22" s="24"/>
      <c r="GLW22" s="24"/>
      <c r="GLX22" s="24"/>
      <c r="GLY22" s="24"/>
      <c r="GLZ22" s="24"/>
      <c r="GMA22" s="24"/>
      <c r="GMB22" s="24"/>
      <c r="GMC22" s="24"/>
      <c r="GMD22" s="24"/>
      <c r="GME22" s="24"/>
      <c r="GMF22" s="24"/>
      <c r="GMG22" s="24"/>
      <c r="GMH22" s="24"/>
      <c r="GMI22" s="24"/>
      <c r="GMJ22" s="24"/>
      <c r="GMK22" s="24"/>
      <c r="GML22" s="24"/>
      <c r="GMM22" s="24"/>
      <c r="GMN22" s="24"/>
      <c r="GMO22" s="24"/>
      <c r="GMP22" s="24"/>
      <c r="GMQ22" s="24"/>
      <c r="GMR22" s="24"/>
      <c r="GMS22" s="24"/>
      <c r="GMT22" s="24"/>
      <c r="GMU22" s="24"/>
      <c r="GMV22" s="24"/>
      <c r="GMW22" s="24"/>
      <c r="GMX22" s="24"/>
      <c r="GMY22" s="24"/>
      <c r="GMZ22" s="24"/>
      <c r="GNA22" s="24"/>
      <c r="GNB22" s="24"/>
      <c r="GNC22" s="24"/>
      <c r="GND22" s="24"/>
      <c r="GNE22" s="24"/>
      <c r="GNF22" s="24"/>
      <c r="GNG22" s="24"/>
      <c r="GNH22" s="24"/>
      <c r="GNI22" s="24"/>
      <c r="GNJ22" s="24"/>
      <c r="GNK22" s="24"/>
      <c r="GNL22" s="24"/>
      <c r="GNM22" s="24"/>
      <c r="GNN22" s="24"/>
      <c r="GNO22" s="24"/>
      <c r="GNP22" s="24"/>
      <c r="GNQ22" s="24"/>
      <c r="GNR22" s="24"/>
      <c r="GNS22" s="24"/>
      <c r="GNT22" s="24"/>
      <c r="GNU22" s="24"/>
      <c r="GNV22" s="24"/>
      <c r="GNW22" s="24"/>
      <c r="GNX22" s="24"/>
      <c r="GNY22" s="24"/>
      <c r="GNZ22" s="24"/>
      <c r="GOA22" s="24"/>
      <c r="GOB22" s="24"/>
      <c r="GOC22" s="24"/>
      <c r="GOD22" s="24"/>
      <c r="GOE22" s="24"/>
      <c r="GOF22" s="24"/>
      <c r="GOG22" s="24"/>
      <c r="GOH22" s="24"/>
      <c r="GOI22" s="24"/>
      <c r="GOJ22" s="24"/>
      <c r="GOK22" s="24"/>
      <c r="GOL22" s="24"/>
      <c r="GOM22" s="24"/>
      <c r="GON22" s="24"/>
      <c r="GOO22" s="24"/>
      <c r="GOP22" s="24"/>
      <c r="GOQ22" s="24"/>
      <c r="GOR22" s="24"/>
      <c r="GOS22" s="24"/>
      <c r="GOT22" s="24"/>
      <c r="GOU22" s="24"/>
      <c r="GOV22" s="24"/>
      <c r="GOW22" s="24"/>
      <c r="GOX22" s="24"/>
      <c r="GOY22" s="24"/>
      <c r="GOZ22" s="24"/>
      <c r="GPA22" s="24"/>
      <c r="GPB22" s="24"/>
      <c r="GPC22" s="24"/>
      <c r="GPD22" s="24"/>
      <c r="GPE22" s="24"/>
      <c r="GPF22" s="24"/>
      <c r="GPG22" s="24"/>
      <c r="GPH22" s="24"/>
      <c r="GPI22" s="24"/>
      <c r="GPJ22" s="24"/>
      <c r="GPK22" s="24"/>
      <c r="GPL22" s="24"/>
      <c r="GPM22" s="24"/>
      <c r="GPN22" s="24"/>
      <c r="GPO22" s="24"/>
      <c r="GPP22" s="24"/>
      <c r="GPQ22" s="24"/>
      <c r="GPR22" s="24"/>
      <c r="GPS22" s="24"/>
      <c r="GPT22" s="24"/>
      <c r="GPU22" s="24"/>
      <c r="GPV22" s="24"/>
      <c r="GPW22" s="24"/>
      <c r="GPX22" s="24"/>
      <c r="GPY22" s="24"/>
      <c r="GPZ22" s="24"/>
      <c r="GQA22" s="24"/>
      <c r="GQB22" s="24"/>
      <c r="GQC22" s="24"/>
      <c r="GQD22" s="24"/>
      <c r="GQE22" s="24"/>
      <c r="GQF22" s="24"/>
      <c r="GQG22" s="24"/>
      <c r="GQH22" s="24"/>
      <c r="GQI22" s="24"/>
      <c r="GQJ22" s="24"/>
      <c r="GQK22" s="24"/>
      <c r="GQL22" s="24"/>
      <c r="GQM22" s="24"/>
      <c r="GQN22" s="24"/>
      <c r="GQO22" s="24"/>
      <c r="GQP22" s="24"/>
      <c r="GQQ22" s="24"/>
      <c r="GQR22" s="24"/>
      <c r="GQS22" s="24"/>
      <c r="GQT22" s="24"/>
      <c r="GQU22" s="24"/>
      <c r="GQV22" s="24"/>
      <c r="GQW22" s="24"/>
      <c r="GQX22" s="24"/>
      <c r="GQY22" s="24"/>
      <c r="GQZ22" s="24"/>
      <c r="GRA22" s="24"/>
      <c r="GRB22" s="24"/>
      <c r="GRC22" s="24"/>
      <c r="GRD22" s="24"/>
      <c r="GRE22" s="24"/>
      <c r="GRF22" s="24"/>
      <c r="GRG22" s="24"/>
      <c r="GRH22" s="24"/>
      <c r="GRI22" s="24"/>
      <c r="GRJ22" s="24"/>
      <c r="GRK22" s="24"/>
      <c r="GRL22" s="24"/>
      <c r="GRM22" s="24"/>
      <c r="GRN22" s="24"/>
      <c r="GRO22" s="24"/>
      <c r="GRP22" s="24"/>
      <c r="GRQ22" s="24"/>
      <c r="GRR22" s="24"/>
      <c r="GRS22" s="24"/>
      <c r="GRT22" s="24"/>
      <c r="GRU22" s="24"/>
      <c r="GRV22" s="24"/>
      <c r="GRW22" s="24"/>
      <c r="GRX22" s="24"/>
      <c r="GRY22" s="24"/>
      <c r="GRZ22" s="24"/>
      <c r="GSA22" s="24"/>
      <c r="GSB22" s="24"/>
      <c r="GSC22" s="24"/>
      <c r="GSD22" s="24"/>
      <c r="GSE22" s="24"/>
      <c r="GSF22" s="24"/>
      <c r="GSG22" s="24"/>
      <c r="GSH22" s="24"/>
      <c r="GSI22" s="24"/>
      <c r="GSJ22" s="24"/>
      <c r="GSK22" s="24"/>
      <c r="GSL22" s="24"/>
      <c r="GSM22" s="24"/>
      <c r="GSN22" s="24"/>
      <c r="GSO22" s="24"/>
      <c r="GSP22" s="24"/>
      <c r="GSQ22" s="24"/>
      <c r="GSR22" s="24"/>
      <c r="GSS22" s="24"/>
      <c r="GST22" s="24"/>
      <c r="GSU22" s="24"/>
      <c r="GSV22" s="24"/>
      <c r="GSW22" s="24"/>
      <c r="GSX22" s="24"/>
      <c r="GSY22" s="24"/>
      <c r="GSZ22" s="24"/>
      <c r="GTA22" s="24"/>
      <c r="GTB22" s="24"/>
      <c r="GTC22" s="24"/>
      <c r="GTD22" s="24"/>
      <c r="GTE22" s="24"/>
      <c r="GTF22" s="24"/>
      <c r="GTG22" s="24"/>
      <c r="GTH22" s="24"/>
      <c r="GTI22" s="24"/>
      <c r="GTJ22" s="24"/>
      <c r="GTK22" s="24"/>
      <c r="GTL22" s="24"/>
      <c r="GTM22" s="24"/>
      <c r="GTN22" s="24"/>
      <c r="GTO22" s="24"/>
      <c r="GTP22" s="24"/>
      <c r="GTQ22" s="24"/>
      <c r="GTR22" s="24"/>
      <c r="GTS22" s="24"/>
      <c r="GTT22" s="24"/>
      <c r="GTU22" s="24"/>
      <c r="GTV22" s="24"/>
      <c r="GTW22" s="24"/>
      <c r="GTX22" s="24"/>
      <c r="GTY22" s="24"/>
      <c r="GTZ22" s="24"/>
      <c r="GUA22" s="24"/>
      <c r="GUB22" s="24"/>
      <c r="GUC22" s="24"/>
      <c r="GUD22" s="24"/>
      <c r="GUE22" s="24"/>
      <c r="GUF22" s="24"/>
      <c r="GUG22" s="24"/>
      <c r="GUH22" s="24"/>
      <c r="GUI22" s="24"/>
      <c r="GUJ22" s="24"/>
      <c r="GUK22" s="24"/>
      <c r="GUL22" s="24"/>
      <c r="GUM22" s="24"/>
      <c r="GUN22" s="24"/>
      <c r="GUO22" s="24"/>
      <c r="GUP22" s="24"/>
      <c r="GUQ22" s="24"/>
      <c r="GUR22" s="24"/>
      <c r="GUS22" s="24"/>
      <c r="GUT22" s="24"/>
      <c r="GUU22" s="24"/>
      <c r="GUV22" s="24"/>
      <c r="GUW22" s="24"/>
      <c r="GUX22" s="24"/>
      <c r="GUY22" s="24"/>
      <c r="GUZ22" s="24"/>
      <c r="GVA22" s="24"/>
      <c r="GVB22" s="24"/>
      <c r="GVC22" s="24"/>
      <c r="GVD22" s="24"/>
      <c r="GVE22" s="24"/>
      <c r="GVF22" s="24"/>
      <c r="GVG22" s="24"/>
      <c r="GVH22" s="24"/>
      <c r="GVI22" s="24"/>
      <c r="GVJ22" s="24"/>
      <c r="GVK22" s="24"/>
      <c r="GVL22" s="24"/>
      <c r="GVM22" s="24"/>
      <c r="GVN22" s="24"/>
      <c r="GVO22" s="24"/>
      <c r="GVP22" s="24"/>
      <c r="GVQ22" s="24"/>
      <c r="GVR22" s="24"/>
      <c r="GVS22" s="24"/>
      <c r="GVT22" s="24"/>
      <c r="GVU22" s="24"/>
      <c r="GVV22" s="24"/>
      <c r="GVW22" s="24"/>
      <c r="GVX22" s="24"/>
      <c r="GVY22" s="24"/>
      <c r="GVZ22" s="24"/>
      <c r="GWA22" s="24"/>
      <c r="GWB22" s="24"/>
      <c r="GWC22" s="24"/>
      <c r="GWD22" s="24"/>
      <c r="GWE22" s="24"/>
      <c r="GWF22" s="24"/>
      <c r="GWG22" s="24"/>
      <c r="GWH22" s="24"/>
      <c r="GWI22" s="24"/>
      <c r="GWJ22" s="24"/>
      <c r="GWK22" s="24"/>
      <c r="GWL22" s="24"/>
      <c r="GWM22" s="24"/>
      <c r="GWN22" s="24"/>
      <c r="GWO22" s="24"/>
      <c r="GWP22" s="24"/>
      <c r="GWQ22" s="24"/>
      <c r="GWR22" s="24"/>
      <c r="GWS22" s="24"/>
      <c r="GWT22" s="24"/>
      <c r="GWU22" s="24"/>
      <c r="GWV22" s="24"/>
      <c r="GWW22" s="24"/>
      <c r="GWX22" s="24"/>
      <c r="GWY22" s="24"/>
      <c r="GWZ22" s="24"/>
      <c r="GXA22" s="24"/>
      <c r="GXB22" s="24"/>
      <c r="GXC22" s="24"/>
      <c r="GXD22" s="24"/>
      <c r="GXE22" s="24"/>
      <c r="GXF22" s="24"/>
      <c r="GXG22" s="24"/>
      <c r="GXH22" s="24"/>
      <c r="GXI22" s="24"/>
      <c r="GXJ22" s="24"/>
      <c r="GXK22" s="24"/>
      <c r="GXL22" s="24"/>
      <c r="GXM22" s="24"/>
      <c r="GXN22" s="24"/>
      <c r="GXO22" s="24"/>
      <c r="GXP22" s="24"/>
      <c r="GXQ22" s="24"/>
      <c r="GXR22" s="24"/>
      <c r="GXS22" s="24"/>
      <c r="GXT22" s="24"/>
      <c r="GXU22" s="24"/>
      <c r="GXV22" s="24"/>
      <c r="GXW22" s="24"/>
      <c r="GXX22" s="24"/>
      <c r="GXY22" s="24"/>
      <c r="GXZ22" s="24"/>
      <c r="GYA22" s="24"/>
      <c r="GYB22" s="24"/>
      <c r="GYC22" s="24"/>
      <c r="GYD22" s="24"/>
      <c r="GYE22" s="24"/>
      <c r="GYF22" s="24"/>
      <c r="GYG22" s="24"/>
      <c r="GYH22" s="24"/>
      <c r="GYI22" s="24"/>
      <c r="GYJ22" s="24"/>
      <c r="GYK22" s="24"/>
      <c r="GYL22" s="24"/>
      <c r="GYM22" s="24"/>
      <c r="GYN22" s="24"/>
      <c r="GYO22" s="24"/>
      <c r="GYP22" s="24"/>
      <c r="GYQ22" s="24"/>
      <c r="GYR22" s="24"/>
      <c r="GYS22" s="24"/>
      <c r="GYT22" s="24"/>
      <c r="GYU22" s="24"/>
      <c r="GYV22" s="24"/>
      <c r="GYW22" s="24"/>
      <c r="GYX22" s="24"/>
      <c r="GYY22" s="24"/>
      <c r="GYZ22" s="24"/>
      <c r="GZA22" s="24"/>
      <c r="GZB22" s="24"/>
      <c r="GZC22" s="24"/>
      <c r="GZD22" s="24"/>
      <c r="GZE22" s="24"/>
      <c r="GZF22" s="24"/>
      <c r="GZG22" s="24"/>
      <c r="GZH22" s="24"/>
      <c r="GZI22" s="24"/>
      <c r="GZJ22" s="24"/>
      <c r="GZK22" s="24"/>
      <c r="GZL22" s="24"/>
      <c r="GZM22" s="24"/>
      <c r="GZN22" s="24"/>
      <c r="GZO22" s="24"/>
      <c r="GZP22" s="24"/>
      <c r="GZQ22" s="24"/>
      <c r="GZR22" s="24"/>
      <c r="GZS22" s="24"/>
      <c r="GZT22" s="24"/>
      <c r="GZU22" s="24"/>
      <c r="GZV22" s="24"/>
      <c r="GZW22" s="24"/>
      <c r="GZX22" s="24"/>
      <c r="GZY22" s="24"/>
      <c r="GZZ22" s="24"/>
      <c r="HAA22" s="24"/>
      <c r="HAB22" s="24"/>
      <c r="HAC22" s="24"/>
      <c r="HAD22" s="24"/>
      <c r="HAE22" s="24"/>
      <c r="HAF22" s="24"/>
      <c r="HAG22" s="24"/>
      <c r="HAH22" s="24"/>
      <c r="HAI22" s="24"/>
      <c r="HAJ22" s="24"/>
      <c r="HAK22" s="24"/>
      <c r="HAL22" s="24"/>
      <c r="HAM22" s="24"/>
      <c r="HAN22" s="24"/>
      <c r="HAO22" s="24"/>
      <c r="HAP22" s="24"/>
      <c r="HAQ22" s="24"/>
      <c r="HAR22" s="24"/>
      <c r="HAS22" s="24"/>
      <c r="HAT22" s="24"/>
      <c r="HAU22" s="24"/>
      <c r="HAV22" s="24"/>
      <c r="HAW22" s="24"/>
      <c r="HAX22" s="24"/>
      <c r="HAY22" s="24"/>
      <c r="HAZ22" s="24"/>
      <c r="HBA22" s="24"/>
      <c r="HBB22" s="24"/>
      <c r="HBC22" s="24"/>
      <c r="HBD22" s="24"/>
      <c r="HBE22" s="24"/>
      <c r="HBF22" s="24"/>
      <c r="HBG22" s="24"/>
      <c r="HBH22" s="24"/>
      <c r="HBI22" s="24"/>
      <c r="HBJ22" s="24"/>
      <c r="HBK22" s="24"/>
      <c r="HBL22" s="24"/>
      <c r="HBM22" s="19"/>
    </row>
    <row r="23" spans="1:5473" ht="17.25" customHeight="1" x14ac:dyDescent="0.3">
      <c r="A23" s="11">
        <v>18</v>
      </c>
      <c r="B23" s="40" t="s">
        <v>1616</v>
      </c>
      <c r="C23" s="12" t="s">
        <v>1619</v>
      </c>
      <c r="D23" s="310" t="s">
        <v>1618</v>
      </c>
      <c r="E23" s="299" t="s">
        <v>1617</v>
      </c>
      <c r="F23" s="12" t="s">
        <v>7</v>
      </c>
      <c r="G23" s="11" t="s">
        <v>1528</v>
      </c>
      <c r="H23" s="86" t="s">
        <v>1498</v>
      </c>
      <c r="I23" s="550">
        <v>10000</v>
      </c>
      <c r="J23" s="94"/>
      <c r="K23" s="89">
        <v>6000</v>
      </c>
      <c r="L23" s="121">
        <v>5700</v>
      </c>
      <c r="M23" s="122">
        <f>I23-L23</f>
        <v>4300</v>
      </c>
      <c r="N23" s="89"/>
      <c r="O23" s="89"/>
      <c r="P23" s="121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  <c r="DB23" s="84"/>
      <c r="DC23" s="84"/>
      <c r="DD23" s="84"/>
      <c r="DE23" s="84"/>
      <c r="DF23" s="84"/>
      <c r="DG23" s="84"/>
      <c r="DH23" s="84"/>
      <c r="DI23" s="84"/>
      <c r="DJ23" s="84"/>
      <c r="DK23" s="84"/>
      <c r="DL23" s="84"/>
      <c r="DM23" s="84"/>
      <c r="DN23" s="84"/>
      <c r="DO23" s="84"/>
      <c r="DP23" s="84"/>
      <c r="DQ23" s="84"/>
      <c r="DR23" s="84"/>
      <c r="DS23" s="84"/>
      <c r="DT23" s="84"/>
      <c r="DU23" s="84"/>
      <c r="DV23" s="84"/>
      <c r="DW23" s="84"/>
      <c r="DX23" s="84"/>
      <c r="DY23" s="84"/>
      <c r="DZ23" s="84"/>
      <c r="EA23" s="84"/>
      <c r="EB23" s="84"/>
      <c r="EC23" s="84"/>
      <c r="ED23" s="84"/>
      <c r="EE23" s="84"/>
      <c r="EF23" s="84"/>
      <c r="EG23" s="84"/>
      <c r="EH23" s="84"/>
      <c r="EI23" s="84"/>
      <c r="EJ23" s="84"/>
      <c r="EK23" s="84"/>
      <c r="EL23" s="84"/>
      <c r="EM23" s="84"/>
      <c r="EN23" s="84"/>
      <c r="EO23" s="84"/>
      <c r="EP23" s="84"/>
      <c r="EQ23" s="84"/>
      <c r="ER23" s="84"/>
      <c r="ES23" s="84"/>
      <c r="ET23" s="84"/>
      <c r="EU23" s="84"/>
      <c r="EV23" s="84"/>
      <c r="EW23" s="84"/>
      <c r="EX23" s="84"/>
      <c r="EY23" s="84"/>
      <c r="EZ23" s="84"/>
      <c r="FA23" s="84"/>
      <c r="FB23" s="84"/>
      <c r="FC23" s="84"/>
      <c r="FD23" s="84"/>
      <c r="FE23" s="84"/>
      <c r="FF23" s="84"/>
      <c r="FG23" s="84"/>
      <c r="FH23" s="84"/>
      <c r="FI23" s="84"/>
      <c r="FJ23" s="84"/>
      <c r="FK23" s="84"/>
      <c r="FL23" s="84"/>
      <c r="FM23" s="84"/>
      <c r="FN23" s="84"/>
      <c r="FO23" s="84"/>
      <c r="FP23" s="84"/>
      <c r="FQ23" s="84"/>
      <c r="FR23" s="84"/>
      <c r="FS23" s="84"/>
      <c r="FT23" s="84"/>
      <c r="FU23" s="84"/>
      <c r="FV23" s="84"/>
      <c r="FW23" s="84"/>
      <c r="FX23" s="84"/>
      <c r="FY23" s="84"/>
      <c r="FZ23" s="84"/>
      <c r="GA23" s="84"/>
      <c r="GB23" s="84"/>
      <c r="GC23" s="84"/>
      <c r="GD23" s="84"/>
      <c r="GE23" s="84"/>
      <c r="GF23" s="84"/>
      <c r="GG23" s="84"/>
      <c r="GH23" s="84"/>
      <c r="GI23" s="84"/>
      <c r="GJ23" s="84"/>
      <c r="GK23" s="84"/>
      <c r="GL23" s="84"/>
      <c r="GM23" s="84"/>
      <c r="GN23" s="84"/>
      <c r="GO23" s="84"/>
      <c r="GP23" s="84"/>
      <c r="GQ23" s="84"/>
      <c r="GR23" s="84"/>
      <c r="GS23" s="84"/>
      <c r="GT23" s="84"/>
      <c r="GU23" s="84"/>
      <c r="GV23" s="84"/>
      <c r="GW23" s="84"/>
      <c r="GX23" s="84"/>
      <c r="GY23" s="84"/>
      <c r="GZ23" s="84"/>
      <c r="HA23" s="84"/>
      <c r="HB23" s="84"/>
      <c r="HC23" s="84"/>
      <c r="HD23" s="84"/>
      <c r="HE23" s="84"/>
      <c r="HF23" s="84"/>
      <c r="HG23" s="84"/>
      <c r="HH23" s="84"/>
      <c r="HI23" s="84"/>
      <c r="HJ23" s="84"/>
      <c r="HK23" s="84"/>
      <c r="HL23" s="84"/>
      <c r="HM23" s="84"/>
      <c r="HN23" s="84"/>
      <c r="HO23" s="84"/>
      <c r="HP23" s="84"/>
      <c r="HQ23" s="84"/>
      <c r="HR23" s="84"/>
      <c r="HS23" s="84"/>
      <c r="HT23" s="84"/>
      <c r="HU23" s="84"/>
      <c r="HV23" s="84"/>
      <c r="HW23" s="84"/>
      <c r="HX23" s="84"/>
      <c r="HY23" s="84"/>
      <c r="HZ23" s="84"/>
      <c r="IA23" s="84"/>
      <c r="IB23" s="84"/>
      <c r="IC23" s="84"/>
      <c r="ID23" s="84"/>
      <c r="IE23" s="84"/>
      <c r="IF23" s="84"/>
      <c r="IG23" s="84"/>
      <c r="IH23" s="84"/>
      <c r="II23" s="84"/>
      <c r="IJ23" s="84"/>
      <c r="IK23" s="84"/>
      <c r="IL23" s="84"/>
      <c r="IM23" s="84"/>
      <c r="IN23" s="84"/>
      <c r="IO23" s="84"/>
      <c r="IP23" s="84"/>
      <c r="IQ23" s="84"/>
      <c r="IR23" s="84"/>
      <c r="IS23" s="84"/>
      <c r="IT23" s="84"/>
      <c r="IU23" s="84"/>
      <c r="IV23" s="84"/>
      <c r="IW23" s="84"/>
      <c r="IX23" s="84"/>
      <c r="IY23" s="84"/>
      <c r="IZ23" s="84"/>
      <c r="JA23" s="84"/>
      <c r="JB23" s="84"/>
      <c r="JC23" s="84"/>
      <c r="JD23" s="84"/>
      <c r="JE23" s="84"/>
      <c r="JF23" s="84"/>
      <c r="JG23" s="84"/>
      <c r="JH23" s="84"/>
      <c r="JI23" s="84"/>
      <c r="JJ23" s="84"/>
      <c r="JK23" s="84"/>
      <c r="JL23" s="84"/>
      <c r="JM23" s="84"/>
      <c r="JN23" s="84"/>
      <c r="JO23" s="84"/>
      <c r="JP23" s="84"/>
      <c r="JQ23" s="84"/>
      <c r="JR23" s="84"/>
      <c r="JS23" s="84"/>
      <c r="JT23" s="84"/>
      <c r="JU23" s="84"/>
      <c r="JV23" s="84"/>
      <c r="JW23" s="84"/>
      <c r="JX23" s="84"/>
      <c r="JY23" s="84"/>
      <c r="JZ23" s="84"/>
      <c r="KA23" s="84"/>
      <c r="KB23" s="84"/>
      <c r="KC23" s="84"/>
      <c r="KD23" s="84"/>
      <c r="KE23" s="84"/>
      <c r="KF23" s="84"/>
      <c r="KG23" s="84"/>
      <c r="KH23" s="84"/>
      <c r="KI23" s="84"/>
      <c r="KJ23" s="84"/>
      <c r="KK23" s="84"/>
      <c r="KL23" s="84"/>
      <c r="KM23" s="84"/>
      <c r="KN23" s="84"/>
      <c r="KO23" s="84"/>
      <c r="KP23" s="84"/>
      <c r="KQ23" s="84"/>
      <c r="KR23" s="84"/>
      <c r="KS23" s="84"/>
      <c r="KT23" s="84"/>
      <c r="KU23" s="84"/>
      <c r="KV23" s="84"/>
      <c r="KW23" s="84"/>
      <c r="KX23" s="84"/>
      <c r="KY23" s="84"/>
      <c r="KZ23" s="84"/>
      <c r="LA23" s="84"/>
      <c r="LB23" s="84"/>
      <c r="LC23" s="84"/>
      <c r="LD23" s="84"/>
      <c r="LE23" s="84"/>
      <c r="LF23" s="84"/>
      <c r="LG23" s="84"/>
      <c r="LH23" s="84"/>
      <c r="LI23" s="84"/>
      <c r="LJ23" s="84"/>
      <c r="LK23" s="84"/>
      <c r="LL23" s="84"/>
      <c r="LM23" s="84"/>
      <c r="LN23" s="84"/>
      <c r="LO23" s="84"/>
      <c r="LP23" s="84"/>
      <c r="LQ23" s="84"/>
      <c r="LR23" s="84"/>
      <c r="LS23" s="84"/>
      <c r="LT23" s="84"/>
      <c r="LU23" s="84"/>
      <c r="LV23" s="84"/>
      <c r="LW23" s="84"/>
      <c r="LX23" s="84"/>
      <c r="LY23" s="84"/>
      <c r="LZ23" s="84"/>
      <c r="MA23" s="84"/>
      <c r="MB23" s="84"/>
      <c r="MC23" s="84"/>
      <c r="MD23" s="84"/>
      <c r="ME23" s="84"/>
      <c r="MF23" s="84"/>
      <c r="MG23" s="84"/>
      <c r="MH23" s="84"/>
      <c r="MI23" s="84"/>
      <c r="MJ23" s="84"/>
      <c r="MK23" s="84"/>
      <c r="ML23" s="84"/>
      <c r="MM23" s="84"/>
      <c r="MN23" s="84"/>
      <c r="MO23" s="84"/>
      <c r="MP23" s="84"/>
      <c r="MQ23" s="84"/>
      <c r="MR23" s="84"/>
      <c r="MS23" s="84"/>
      <c r="MT23" s="84"/>
      <c r="MU23" s="84"/>
      <c r="MV23" s="84"/>
      <c r="MW23" s="84"/>
      <c r="MX23" s="84"/>
      <c r="MY23" s="84"/>
      <c r="MZ23" s="84"/>
      <c r="NA23" s="84"/>
      <c r="NB23" s="84"/>
      <c r="NC23" s="84"/>
      <c r="ND23" s="84"/>
      <c r="NE23" s="84"/>
      <c r="NF23" s="84"/>
      <c r="NG23" s="84"/>
      <c r="NH23" s="84"/>
      <c r="NI23" s="84"/>
      <c r="NJ23" s="84"/>
      <c r="NK23" s="84"/>
      <c r="NL23" s="84"/>
      <c r="NM23" s="84"/>
      <c r="NN23" s="84"/>
      <c r="NO23" s="84"/>
      <c r="NP23" s="84"/>
      <c r="NQ23" s="84"/>
      <c r="NR23" s="84"/>
      <c r="NS23" s="84"/>
      <c r="NT23" s="84"/>
      <c r="NU23" s="84"/>
      <c r="NV23" s="84"/>
      <c r="NW23" s="84"/>
      <c r="NX23" s="84"/>
      <c r="NY23" s="84"/>
      <c r="NZ23" s="84"/>
      <c r="OA23" s="84"/>
      <c r="OB23" s="84"/>
      <c r="OC23" s="84"/>
      <c r="OD23" s="84"/>
      <c r="OE23" s="84"/>
      <c r="OF23" s="84"/>
      <c r="OG23" s="84"/>
      <c r="OH23" s="84"/>
      <c r="OI23" s="84"/>
      <c r="OJ23" s="84"/>
      <c r="OK23" s="84"/>
      <c r="OL23" s="84"/>
      <c r="OM23" s="84"/>
      <c r="ON23" s="84"/>
      <c r="OO23" s="84"/>
      <c r="OP23" s="84"/>
      <c r="OQ23" s="84"/>
      <c r="OR23" s="84"/>
      <c r="OS23" s="84"/>
      <c r="OT23" s="84"/>
      <c r="OU23" s="84"/>
      <c r="OV23" s="84"/>
      <c r="OW23" s="84"/>
      <c r="OX23" s="84"/>
      <c r="OY23" s="84"/>
      <c r="OZ23" s="84"/>
      <c r="PA23" s="84"/>
      <c r="PB23" s="84"/>
      <c r="PC23" s="84"/>
      <c r="PD23" s="84"/>
      <c r="PE23" s="84"/>
      <c r="PF23" s="84"/>
      <c r="PG23" s="84"/>
      <c r="PH23" s="84"/>
      <c r="PI23" s="84"/>
      <c r="PJ23" s="84"/>
      <c r="PK23" s="84"/>
      <c r="PL23" s="84"/>
      <c r="PM23" s="84"/>
      <c r="PN23" s="84"/>
      <c r="PO23" s="84"/>
      <c r="PP23" s="84"/>
      <c r="PQ23" s="84"/>
      <c r="PR23" s="84"/>
      <c r="PS23" s="84"/>
      <c r="PT23" s="84"/>
      <c r="PU23" s="84"/>
      <c r="PV23" s="84"/>
      <c r="PW23" s="84"/>
      <c r="PX23" s="84"/>
      <c r="PY23" s="84"/>
      <c r="PZ23" s="84"/>
      <c r="QA23" s="84"/>
      <c r="QB23" s="84"/>
      <c r="QC23" s="84"/>
      <c r="QD23" s="84"/>
      <c r="QE23" s="84"/>
      <c r="QF23" s="84"/>
      <c r="QG23" s="84"/>
      <c r="QH23" s="84"/>
      <c r="QI23" s="84"/>
      <c r="QJ23" s="84"/>
      <c r="QK23" s="84"/>
      <c r="QL23" s="84"/>
      <c r="QM23" s="84"/>
      <c r="QN23" s="84"/>
      <c r="QO23" s="84"/>
      <c r="QP23" s="84"/>
      <c r="QQ23" s="84"/>
      <c r="QR23" s="84"/>
      <c r="QS23" s="84"/>
      <c r="QT23" s="84"/>
      <c r="QU23" s="84"/>
      <c r="QV23" s="84"/>
      <c r="QW23" s="84"/>
      <c r="QX23" s="84"/>
      <c r="QY23" s="84"/>
      <c r="QZ23" s="84"/>
      <c r="RA23" s="84"/>
      <c r="RB23" s="84"/>
      <c r="RC23" s="84"/>
      <c r="RD23" s="84"/>
      <c r="RE23" s="84"/>
      <c r="RF23" s="84"/>
      <c r="RG23" s="84"/>
      <c r="RH23" s="84"/>
      <c r="RI23" s="84"/>
      <c r="RJ23" s="84"/>
      <c r="RK23" s="84"/>
      <c r="RL23" s="84"/>
      <c r="RM23" s="84"/>
      <c r="RN23" s="84"/>
      <c r="RO23" s="84"/>
      <c r="RP23" s="84"/>
      <c r="RQ23" s="84"/>
      <c r="RR23" s="84"/>
      <c r="RS23" s="84"/>
      <c r="RT23" s="84"/>
      <c r="RU23" s="84"/>
      <c r="RV23" s="84"/>
      <c r="RW23" s="84"/>
      <c r="RX23" s="84"/>
      <c r="RY23" s="84"/>
      <c r="RZ23" s="84"/>
      <c r="SA23" s="84"/>
      <c r="SB23" s="84"/>
      <c r="SC23" s="84"/>
      <c r="SD23" s="84"/>
      <c r="SE23" s="84"/>
      <c r="SF23" s="84"/>
      <c r="SG23" s="84"/>
      <c r="SH23" s="84"/>
      <c r="SI23" s="84"/>
      <c r="SJ23" s="84"/>
      <c r="SK23" s="84"/>
      <c r="SL23" s="84"/>
      <c r="SM23" s="84"/>
      <c r="SN23" s="84"/>
      <c r="SO23" s="84"/>
      <c r="SP23" s="84"/>
      <c r="SQ23" s="84"/>
      <c r="SR23" s="84"/>
      <c r="SS23" s="84"/>
      <c r="ST23" s="84"/>
      <c r="SU23" s="84"/>
      <c r="SV23" s="84"/>
      <c r="SW23" s="84"/>
      <c r="SX23" s="84"/>
      <c r="SY23" s="84"/>
      <c r="SZ23" s="84"/>
      <c r="TA23" s="84"/>
      <c r="TB23" s="84"/>
      <c r="TC23" s="84"/>
      <c r="TD23" s="84"/>
      <c r="TE23" s="84"/>
      <c r="TF23" s="84"/>
      <c r="TG23" s="84"/>
      <c r="TH23" s="84"/>
      <c r="TI23" s="84"/>
      <c r="TJ23" s="84"/>
      <c r="TK23" s="84"/>
      <c r="TL23" s="84"/>
      <c r="TM23" s="84"/>
      <c r="TN23" s="84"/>
      <c r="TO23" s="84"/>
      <c r="TP23" s="84"/>
      <c r="TQ23" s="84"/>
      <c r="TR23" s="84"/>
      <c r="TS23" s="84"/>
      <c r="TT23" s="84"/>
      <c r="TU23" s="84"/>
      <c r="TV23" s="84"/>
      <c r="TW23" s="84"/>
      <c r="TX23" s="84"/>
      <c r="TY23" s="84"/>
      <c r="TZ23" s="84"/>
      <c r="UA23" s="84"/>
      <c r="UB23" s="84"/>
      <c r="UC23" s="84"/>
      <c r="UD23" s="84"/>
      <c r="UE23" s="84"/>
      <c r="UF23" s="84"/>
      <c r="UG23" s="84"/>
      <c r="UH23" s="84"/>
      <c r="UI23" s="84"/>
      <c r="UJ23" s="84"/>
      <c r="UK23" s="84"/>
      <c r="UL23" s="84"/>
      <c r="UM23" s="84"/>
      <c r="UN23" s="84"/>
      <c r="UO23" s="84"/>
      <c r="UP23" s="84"/>
      <c r="UQ23" s="84"/>
      <c r="UR23" s="84"/>
      <c r="US23" s="84"/>
      <c r="UT23" s="84"/>
      <c r="UU23" s="84"/>
      <c r="UV23" s="84"/>
      <c r="UW23" s="84"/>
      <c r="UX23" s="84"/>
      <c r="UY23" s="84"/>
      <c r="UZ23" s="84"/>
      <c r="VA23" s="84"/>
      <c r="VB23" s="84"/>
      <c r="VC23" s="84"/>
      <c r="VD23" s="84"/>
      <c r="VE23" s="84"/>
      <c r="VF23" s="84"/>
      <c r="VG23" s="84"/>
      <c r="VH23" s="84"/>
      <c r="VI23" s="84"/>
      <c r="VJ23" s="84"/>
      <c r="VK23" s="84"/>
      <c r="VL23" s="84"/>
      <c r="VM23" s="84"/>
      <c r="VN23" s="84"/>
      <c r="VO23" s="84"/>
      <c r="VP23" s="84"/>
      <c r="VQ23" s="84"/>
      <c r="VR23" s="84"/>
      <c r="VS23" s="84"/>
      <c r="VT23" s="84"/>
      <c r="VU23" s="84"/>
      <c r="VV23" s="84"/>
      <c r="VW23" s="84"/>
      <c r="VX23" s="84"/>
      <c r="VY23" s="84"/>
      <c r="VZ23" s="84"/>
      <c r="WA23" s="84"/>
      <c r="WB23" s="84"/>
      <c r="WC23" s="84"/>
      <c r="WD23" s="84"/>
      <c r="WE23" s="84"/>
      <c r="WF23" s="84"/>
      <c r="WG23" s="84"/>
      <c r="WH23" s="84"/>
      <c r="WI23" s="84"/>
      <c r="WJ23" s="84"/>
      <c r="WK23" s="84"/>
      <c r="WL23" s="84"/>
      <c r="WM23" s="84"/>
      <c r="WN23" s="84"/>
      <c r="WO23" s="84"/>
      <c r="WP23" s="84"/>
      <c r="WQ23" s="84"/>
      <c r="WR23" s="84"/>
      <c r="WS23" s="84"/>
      <c r="WT23" s="84"/>
      <c r="WU23" s="84"/>
      <c r="WV23" s="84"/>
      <c r="WW23" s="84"/>
      <c r="WX23" s="84"/>
      <c r="WY23" s="84"/>
      <c r="WZ23" s="84"/>
      <c r="XA23" s="84"/>
      <c r="XB23" s="84"/>
      <c r="XC23" s="84"/>
      <c r="XD23" s="84"/>
      <c r="XE23" s="84"/>
      <c r="XF23" s="84"/>
      <c r="XG23" s="84"/>
      <c r="XH23" s="84"/>
      <c r="XI23" s="84"/>
      <c r="XJ23" s="84"/>
      <c r="XK23" s="84"/>
      <c r="XL23" s="84"/>
      <c r="XM23" s="84"/>
      <c r="XN23" s="84"/>
      <c r="XO23" s="84"/>
      <c r="XP23" s="84"/>
      <c r="XQ23" s="84"/>
      <c r="XR23" s="84"/>
      <c r="XS23" s="84"/>
      <c r="XT23" s="84"/>
      <c r="XU23" s="84"/>
      <c r="XV23" s="84"/>
      <c r="XW23" s="84"/>
      <c r="XX23" s="84"/>
      <c r="XY23" s="84"/>
      <c r="XZ23" s="84"/>
      <c r="YA23" s="84"/>
      <c r="YB23" s="84"/>
      <c r="YC23" s="84"/>
      <c r="YD23" s="84"/>
      <c r="YE23" s="84"/>
      <c r="YF23" s="84"/>
      <c r="YG23" s="84"/>
      <c r="YH23" s="84"/>
      <c r="YI23" s="84"/>
      <c r="YJ23" s="84"/>
      <c r="YK23" s="84"/>
      <c r="YL23" s="84"/>
      <c r="YM23" s="84"/>
      <c r="YN23" s="84"/>
      <c r="YO23" s="84"/>
      <c r="YP23" s="84"/>
      <c r="YQ23" s="84"/>
      <c r="YR23" s="84"/>
      <c r="YS23" s="84"/>
      <c r="YT23" s="84"/>
      <c r="YU23" s="84"/>
      <c r="YV23" s="84"/>
      <c r="YW23" s="84"/>
      <c r="YX23" s="84"/>
      <c r="YY23" s="84"/>
      <c r="YZ23" s="84"/>
      <c r="ZA23" s="84"/>
      <c r="ZB23" s="84"/>
      <c r="ZC23" s="84"/>
      <c r="ZD23" s="84"/>
      <c r="ZE23" s="84"/>
      <c r="ZF23" s="84"/>
      <c r="ZG23" s="84"/>
      <c r="ZH23" s="84"/>
      <c r="ZI23" s="84"/>
      <c r="ZJ23" s="84"/>
      <c r="ZK23" s="84"/>
      <c r="ZL23" s="84"/>
      <c r="ZM23" s="84"/>
      <c r="ZN23" s="84"/>
      <c r="ZO23" s="84"/>
      <c r="ZP23" s="84"/>
      <c r="ZQ23" s="84"/>
      <c r="ZR23" s="84"/>
      <c r="ZS23" s="84"/>
      <c r="ZT23" s="84"/>
      <c r="ZU23" s="84"/>
      <c r="ZV23" s="84"/>
      <c r="ZW23" s="84"/>
      <c r="ZX23" s="84"/>
      <c r="ZY23" s="84"/>
      <c r="ZZ23" s="84"/>
      <c r="AAA23" s="84"/>
      <c r="AAB23" s="84"/>
      <c r="AAC23" s="84"/>
      <c r="AAD23" s="84"/>
      <c r="AAE23" s="84"/>
      <c r="AAF23" s="84"/>
      <c r="AAG23" s="84"/>
      <c r="AAH23" s="84"/>
      <c r="AAI23" s="84"/>
      <c r="AAJ23" s="84"/>
      <c r="AAK23" s="84"/>
      <c r="AAL23" s="84"/>
      <c r="AAM23" s="84"/>
      <c r="AAN23" s="84"/>
      <c r="AAO23" s="84"/>
      <c r="AAP23" s="84"/>
      <c r="AAQ23" s="84"/>
      <c r="AAR23" s="84"/>
      <c r="AAS23" s="84"/>
      <c r="AAT23" s="84"/>
      <c r="AAU23" s="84"/>
      <c r="AAV23" s="84"/>
      <c r="AAW23" s="84"/>
      <c r="AAX23" s="84"/>
      <c r="AAY23" s="84"/>
      <c r="AAZ23" s="84"/>
      <c r="ABA23" s="84"/>
      <c r="ABB23" s="84"/>
      <c r="ABC23" s="84"/>
      <c r="ABD23" s="84"/>
      <c r="ABE23" s="84"/>
      <c r="ABF23" s="84"/>
      <c r="ABG23" s="84"/>
      <c r="ABH23" s="84"/>
      <c r="ABI23" s="84"/>
      <c r="ABJ23" s="84"/>
      <c r="ABK23" s="84"/>
      <c r="ABL23" s="84"/>
      <c r="ABM23" s="84"/>
      <c r="ABN23" s="84"/>
      <c r="ABO23" s="84"/>
      <c r="ABP23" s="84"/>
      <c r="ABQ23" s="84"/>
      <c r="ABR23" s="84"/>
      <c r="ABS23" s="84"/>
      <c r="ABT23" s="84"/>
      <c r="ABU23" s="84"/>
      <c r="ABV23" s="84"/>
      <c r="ABW23" s="84"/>
      <c r="ABX23" s="84"/>
      <c r="ABY23" s="84"/>
      <c r="ABZ23" s="84"/>
      <c r="ACA23" s="84"/>
      <c r="ACB23" s="84"/>
      <c r="ACC23" s="84"/>
      <c r="ACD23" s="84"/>
      <c r="ACE23" s="84"/>
      <c r="ACF23" s="84"/>
      <c r="ACG23" s="84"/>
      <c r="ACH23" s="84"/>
      <c r="ACI23" s="84"/>
      <c r="ACJ23" s="84"/>
      <c r="ACK23" s="84"/>
      <c r="ACL23" s="84"/>
      <c r="ACM23" s="84"/>
      <c r="ACN23" s="84"/>
      <c r="ACO23" s="84"/>
      <c r="ACP23" s="84"/>
      <c r="ACQ23" s="84"/>
      <c r="ACR23" s="84"/>
      <c r="ACS23" s="84"/>
      <c r="ACT23" s="84"/>
      <c r="ACU23" s="84"/>
      <c r="ACV23" s="84"/>
      <c r="ACW23" s="84"/>
      <c r="ACX23" s="84"/>
      <c r="ACY23" s="84"/>
      <c r="ACZ23" s="84"/>
      <c r="ADA23" s="84"/>
      <c r="ADB23" s="84"/>
      <c r="ADC23" s="84"/>
      <c r="ADD23" s="84"/>
      <c r="ADE23" s="84"/>
      <c r="ADF23" s="84"/>
      <c r="ADG23" s="84"/>
      <c r="ADH23" s="84"/>
      <c r="ADI23" s="84"/>
      <c r="ADJ23" s="84"/>
      <c r="ADK23" s="84"/>
      <c r="ADL23" s="84"/>
      <c r="ADM23" s="84"/>
      <c r="ADN23" s="84"/>
      <c r="ADO23" s="84"/>
      <c r="ADP23" s="84"/>
      <c r="ADQ23" s="84"/>
      <c r="ADR23" s="84"/>
      <c r="ADS23" s="84"/>
      <c r="ADT23" s="84"/>
      <c r="ADU23" s="84"/>
      <c r="ADV23" s="84"/>
      <c r="ADW23" s="84"/>
      <c r="ADX23" s="84"/>
      <c r="ADY23" s="84"/>
      <c r="ADZ23" s="84"/>
      <c r="AEA23" s="84"/>
      <c r="AEB23" s="84"/>
      <c r="AEC23" s="84"/>
      <c r="AED23" s="84"/>
      <c r="AEE23" s="84"/>
      <c r="AEF23" s="84"/>
      <c r="AEG23" s="84"/>
      <c r="AEH23" s="84"/>
      <c r="AEI23" s="84"/>
      <c r="AEJ23" s="84"/>
      <c r="AEK23" s="84"/>
      <c r="AEL23" s="84"/>
      <c r="AEM23" s="84"/>
      <c r="AEN23" s="84"/>
      <c r="AEO23" s="84"/>
      <c r="AEP23" s="84"/>
      <c r="AEQ23" s="84"/>
      <c r="AER23" s="84"/>
      <c r="AES23" s="84"/>
      <c r="AET23" s="84"/>
      <c r="AEU23" s="84"/>
      <c r="AEV23" s="84"/>
      <c r="AEW23" s="84"/>
      <c r="AEX23" s="84"/>
      <c r="AEY23" s="84"/>
      <c r="AEZ23" s="84"/>
      <c r="AFA23" s="84"/>
      <c r="AFB23" s="84"/>
      <c r="AFC23" s="84"/>
      <c r="AFD23" s="84"/>
      <c r="AFE23" s="84"/>
      <c r="AFF23" s="84"/>
      <c r="AFG23" s="84"/>
      <c r="AFH23" s="84"/>
      <c r="AFI23" s="84"/>
      <c r="AFJ23" s="84"/>
      <c r="AFK23" s="84"/>
      <c r="AFL23" s="84"/>
      <c r="AFM23" s="84"/>
      <c r="AFN23" s="84"/>
      <c r="AFO23" s="84"/>
      <c r="AFP23" s="84"/>
      <c r="AFQ23" s="84"/>
      <c r="AFR23" s="84"/>
      <c r="AFS23" s="84"/>
      <c r="AFT23" s="84"/>
      <c r="AFU23" s="84"/>
      <c r="AFV23" s="84"/>
      <c r="AFW23" s="84"/>
      <c r="AFX23" s="84"/>
      <c r="AFY23" s="84"/>
      <c r="AFZ23" s="84"/>
      <c r="AGA23" s="84"/>
      <c r="AGB23" s="84"/>
      <c r="AGC23" s="84"/>
      <c r="AGD23" s="84"/>
      <c r="AGE23" s="84"/>
      <c r="AGF23" s="84"/>
      <c r="AGG23" s="84"/>
      <c r="AGH23" s="84"/>
      <c r="AGI23" s="84"/>
      <c r="AGJ23" s="84"/>
      <c r="AGK23" s="84"/>
      <c r="AGL23" s="84"/>
      <c r="AGM23" s="84"/>
      <c r="AGN23" s="84"/>
      <c r="AGO23" s="84"/>
      <c r="AGP23" s="84"/>
      <c r="AGQ23" s="84"/>
      <c r="AGR23" s="84"/>
      <c r="AGS23" s="84"/>
      <c r="AGT23" s="84"/>
      <c r="AGU23" s="84"/>
      <c r="AGV23" s="84"/>
      <c r="AGW23" s="84"/>
      <c r="AGX23" s="84"/>
      <c r="AGY23" s="84"/>
      <c r="AGZ23" s="84"/>
      <c r="AHA23" s="84"/>
      <c r="AHB23" s="84"/>
      <c r="AHC23" s="84"/>
      <c r="AHD23" s="84"/>
      <c r="AHE23" s="84"/>
      <c r="AHF23" s="84"/>
      <c r="AHG23" s="84"/>
      <c r="AHH23" s="84"/>
      <c r="AHI23" s="84"/>
      <c r="AHJ23" s="84"/>
      <c r="AHK23" s="84"/>
      <c r="AHL23" s="84"/>
      <c r="AHM23" s="84"/>
      <c r="AHN23" s="84"/>
      <c r="AHO23" s="84"/>
      <c r="AHP23" s="84"/>
      <c r="AHQ23" s="84"/>
      <c r="AHR23" s="84"/>
      <c r="AHS23" s="84"/>
      <c r="AHT23" s="84"/>
      <c r="AHU23" s="84"/>
      <c r="AHV23" s="84"/>
      <c r="AHW23" s="84"/>
      <c r="AHX23" s="84"/>
      <c r="AHY23" s="84"/>
      <c r="AHZ23" s="84"/>
      <c r="AIA23" s="84"/>
      <c r="AIB23" s="84"/>
      <c r="AIC23" s="84"/>
      <c r="AID23" s="84"/>
      <c r="AIE23" s="84"/>
      <c r="AIF23" s="84"/>
      <c r="AIG23" s="84"/>
      <c r="AIH23" s="84"/>
      <c r="AII23" s="84"/>
      <c r="AIJ23" s="84"/>
      <c r="AIK23" s="84"/>
      <c r="AIL23" s="84"/>
      <c r="AIM23" s="84"/>
      <c r="AIN23" s="84"/>
      <c r="AIO23" s="84"/>
      <c r="AIP23" s="84"/>
      <c r="AIQ23" s="84"/>
      <c r="AIR23" s="84"/>
      <c r="AIS23" s="84"/>
      <c r="AIT23" s="84"/>
      <c r="AIU23" s="84"/>
      <c r="AIV23" s="84"/>
      <c r="AIW23" s="84"/>
      <c r="AIX23" s="84"/>
      <c r="AIY23" s="84"/>
      <c r="AIZ23" s="84"/>
      <c r="AJA23" s="84"/>
      <c r="AJB23" s="84"/>
      <c r="AJC23" s="84"/>
      <c r="AJD23" s="84"/>
      <c r="AJE23" s="84"/>
      <c r="AJF23" s="84"/>
      <c r="AJG23" s="84"/>
      <c r="AJH23" s="84"/>
      <c r="AJI23" s="84"/>
      <c r="AJJ23" s="84"/>
      <c r="AJK23" s="84"/>
      <c r="AJL23" s="84"/>
      <c r="AJM23" s="84"/>
      <c r="AJN23" s="84"/>
      <c r="AJO23" s="84"/>
      <c r="AJP23" s="84"/>
      <c r="AJQ23" s="84"/>
      <c r="AJR23" s="84"/>
      <c r="AJS23" s="84"/>
      <c r="AJT23" s="84"/>
      <c r="AJU23" s="84"/>
      <c r="AJV23" s="84"/>
      <c r="AJW23" s="84"/>
      <c r="AJX23" s="84"/>
      <c r="AJY23" s="84"/>
      <c r="AJZ23" s="84"/>
      <c r="AKA23" s="84"/>
      <c r="AKB23" s="84"/>
      <c r="AKC23" s="84"/>
      <c r="AKD23" s="84"/>
      <c r="AKE23" s="84"/>
      <c r="AKF23" s="84"/>
      <c r="AKG23" s="84"/>
      <c r="AKH23" s="84"/>
      <c r="AKI23" s="84"/>
      <c r="AKJ23" s="84"/>
      <c r="AKK23" s="84"/>
      <c r="AKL23" s="84"/>
      <c r="AKM23" s="84"/>
      <c r="AKN23" s="84"/>
      <c r="AKO23" s="84"/>
      <c r="AKP23" s="84"/>
      <c r="AKQ23" s="84"/>
      <c r="AKR23" s="84"/>
      <c r="AKS23" s="84"/>
      <c r="AKT23" s="84"/>
      <c r="AKU23" s="84"/>
      <c r="AKV23" s="84"/>
      <c r="AKW23" s="84"/>
      <c r="AKX23" s="84"/>
      <c r="AKY23" s="84"/>
      <c r="AKZ23" s="84"/>
      <c r="ALA23" s="84"/>
      <c r="ALB23" s="84"/>
      <c r="ALC23" s="84"/>
      <c r="ALD23" s="84"/>
      <c r="ALE23" s="84"/>
      <c r="ALF23" s="84"/>
      <c r="ALG23" s="84"/>
      <c r="ALH23" s="84"/>
      <c r="ALI23" s="84"/>
      <c r="ALJ23" s="84"/>
      <c r="ALK23" s="84"/>
      <c r="ALL23" s="84"/>
      <c r="ALM23" s="84"/>
      <c r="ALN23" s="84"/>
      <c r="ALO23" s="84"/>
      <c r="ALP23" s="84"/>
      <c r="ALQ23" s="84"/>
      <c r="ALR23" s="84"/>
      <c r="ALS23" s="84"/>
      <c r="ALT23" s="84"/>
      <c r="ALU23" s="84"/>
      <c r="ALV23" s="84"/>
      <c r="ALW23" s="84"/>
      <c r="ALX23" s="84"/>
      <c r="ALY23" s="84"/>
      <c r="ALZ23" s="84"/>
      <c r="AMA23" s="84"/>
      <c r="AMB23" s="84"/>
      <c r="AMC23" s="84"/>
      <c r="AMD23" s="84"/>
      <c r="AME23" s="84"/>
      <c r="AMF23" s="84"/>
      <c r="AMG23" s="84"/>
      <c r="AMH23" s="84"/>
      <c r="AMI23" s="84"/>
      <c r="AMJ23" s="84"/>
      <c r="AMK23" s="84"/>
      <c r="AML23" s="84"/>
      <c r="AMM23" s="84"/>
      <c r="AMN23" s="84"/>
      <c r="AMO23" s="84"/>
      <c r="AMP23" s="84"/>
      <c r="AMQ23" s="84"/>
      <c r="AMR23" s="84"/>
      <c r="AMS23" s="84"/>
      <c r="AMT23" s="84"/>
      <c r="AMU23" s="84"/>
      <c r="AMV23" s="84"/>
      <c r="AMW23" s="84"/>
      <c r="AMX23" s="84"/>
      <c r="AMY23" s="84"/>
      <c r="AMZ23" s="84"/>
      <c r="ANA23" s="84"/>
      <c r="ANB23" s="84"/>
      <c r="ANC23" s="84"/>
      <c r="AND23" s="84"/>
      <c r="ANE23" s="84"/>
      <c r="ANF23" s="84"/>
      <c r="ANG23" s="84"/>
      <c r="ANH23" s="84"/>
      <c r="ANI23" s="84"/>
      <c r="ANJ23" s="84"/>
      <c r="ANK23" s="84"/>
      <c r="ANL23" s="84"/>
      <c r="ANM23" s="84"/>
      <c r="ANN23" s="84"/>
      <c r="ANO23" s="84"/>
      <c r="ANP23" s="84"/>
      <c r="ANQ23" s="84"/>
      <c r="ANR23" s="84"/>
      <c r="ANS23" s="84"/>
      <c r="ANT23" s="84"/>
      <c r="ANU23" s="84"/>
      <c r="ANV23" s="84"/>
      <c r="ANW23" s="84"/>
      <c r="ANX23" s="84"/>
      <c r="ANY23" s="84"/>
      <c r="ANZ23" s="84"/>
      <c r="AOA23" s="84"/>
      <c r="AOB23" s="84"/>
      <c r="AOC23" s="84"/>
      <c r="AOD23" s="84"/>
      <c r="AOE23" s="84"/>
      <c r="AOF23" s="84"/>
      <c r="AOG23" s="84"/>
      <c r="AOH23" s="84"/>
      <c r="AOI23" s="84"/>
      <c r="AOJ23" s="84"/>
      <c r="AOK23" s="84"/>
      <c r="AOL23" s="84"/>
      <c r="AOM23" s="84"/>
      <c r="AON23" s="84"/>
      <c r="AOO23" s="84"/>
      <c r="AOP23" s="84"/>
      <c r="AOQ23" s="84"/>
      <c r="AOR23" s="84"/>
      <c r="AOS23" s="84"/>
      <c r="AOT23" s="84"/>
      <c r="AOU23" s="84"/>
      <c r="AOV23" s="84"/>
      <c r="AOW23" s="84"/>
      <c r="AOX23" s="84"/>
      <c r="AOY23" s="84"/>
      <c r="AOZ23" s="84"/>
      <c r="APA23" s="84"/>
      <c r="APB23" s="84"/>
      <c r="APC23" s="84"/>
      <c r="APD23" s="84"/>
      <c r="APE23" s="84"/>
      <c r="APF23" s="84"/>
      <c r="APG23" s="84"/>
      <c r="APH23" s="84"/>
      <c r="API23" s="84"/>
      <c r="APJ23" s="84"/>
      <c r="APK23" s="84"/>
      <c r="APL23" s="84"/>
      <c r="APM23" s="84"/>
      <c r="APN23" s="84"/>
      <c r="APO23" s="84"/>
      <c r="APP23" s="84"/>
      <c r="APQ23" s="84"/>
      <c r="APR23" s="84"/>
      <c r="APS23" s="84"/>
      <c r="APT23" s="84"/>
      <c r="APU23" s="84"/>
      <c r="APV23" s="84"/>
      <c r="APW23" s="84"/>
      <c r="APX23" s="84"/>
      <c r="APY23" s="84"/>
      <c r="APZ23" s="84"/>
      <c r="AQA23" s="84"/>
      <c r="AQB23" s="84"/>
      <c r="AQC23" s="84"/>
      <c r="AQD23" s="84"/>
      <c r="AQE23" s="84"/>
      <c r="AQF23" s="84"/>
      <c r="AQG23" s="84"/>
      <c r="AQH23" s="84"/>
      <c r="AQI23" s="84"/>
      <c r="AQJ23" s="84"/>
      <c r="AQK23" s="84"/>
      <c r="AQL23" s="84"/>
      <c r="AQM23" s="84"/>
      <c r="AQN23" s="84"/>
      <c r="AQO23" s="84"/>
      <c r="AQP23" s="84"/>
      <c r="AQQ23" s="84"/>
      <c r="AQR23" s="84"/>
      <c r="AQS23" s="84"/>
      <c r="AQT23" s="84"/>
      <c r="AQU23" s="84"/>
      <c r="AQV23" s="84"/>
      <c r="AQW23" s="84"/>
      <c r="AQX23" s="84"/>
      <c r="AQY23" s="84"/>
      <c r="AQZ23" s="84"/>
      <c r="ARA23" s="84"/>
      <c r="ARB23" s="84"/>
      <c r="ARC23" s="84"/>
      <c r="ARD23" s="84"/>
      <c r="ARE23" s="84"/>
      <c r="ARF23" s="84"/>
      <c r="ARG23" s="84"/>
      <c r="ARH23" s="84"/>
      <c r="ARI23" s="84"/>
      <c r="ARJ23" s="84"/>
      <c r="ARK23" s="84"/>
      <c r="ARL23" s="84"/>
      <c r="ARM23" s="84"/>
      <c r="ARN23" s="84"/>
      <c r="ARO23" s="84"/>
      <c r="ARP23" s="84"/>
      <c r="ARQ23" s="84"/>
      <c r="ARR23" s="84"/>
      <c r="ARS23" s="84"/>
      <c r="ART23" s="84"/>
      <c r="ARU23" s="84"/>
      <c r="ARV23" s="84"/>
      <c r="ARW23" s="84"/>
      <c r="ARX23" s="84"/>
      <c r="ARY23" s="84"/>
      <c r="ARZ23" s="84"/>
      <c r="ASA23" s="84"/>
      <c r="ASB23" s="84"/>
      <c r="ASC23" s="84"/>
      <c r="ASD23" s="84"/>
      <c r="ASE23" s="84"/>
      <c r="ASF23" s="84"/>
      <c r="ASG23" s="84"/>
      <c r="ASH23" s="84"/>
      <c r="ASI23" s="84"/>
      <c r="ASJ23" s="84"/>
      <c r="ASK23" s="84"/>
      <c r="ASL23" s="84"/>
      <c r="ASM23" s="84"/>
      <c r="ASN23" s="84"/>
      <c r="ASO23" s="84"/>
      <c r="ASP23" s="84"/>
      <c r="ASQ23" s="84"/>
      <c r="ASR23" s="84"/>
      <c r="ASS23" s="84"/>
      <c r="AST23" s="84"/>
      <c r="ASU23" s="84"/>
      <c r="ASV23" s="84"/>
      <c r="ASW23" s="84"/>
      <c r="ASX23" s="84"/>
      <c r="ASY23" s="84"/>
      <c r="ASZ23" s="84"/>
      <c r="ATA23" s="84"/>
      <c r="ATB23" s="84"/>
      <c r="ATC23" s="84"/>
      <c r="ATD23" s="84"/>
      <c r="ATE23" s="84"/>
      <c r="ATF23" s="84"/>
      <c r="ATG23" s="84"/>
      <c r="ATH23" s="84"/>
      <c r="ATI23" s="84"/>
      <c r="ATJ23" s="84"/>
      <c r="ATK23" s="84"/>
      <c r="ATL23" s="84"/>
      <c r="ATM23" s="84"/>
      <c r="ATN23" s="84"/>
      <c r="ATO23" s="84"/>
      <c r="ATP23" s="84"/>
      <c r="ATQ23" s="84"/>
      <c r="ATR23" s="84"/>
      <c r="ATS23" s="84"/>
      <c r="ATT23" s="84"/>
      <c r="ATU23" s="84"/>
      <c r="ATV23" s="84"/>
      <c r="ATW23" s="84"/>
      <c r="ATX23" s="84"/>
      <c r="ATY23" s="84"/>
      <c r="ATZ23" s="84"/>
      <c r="AUA23" s="84"/>
      <c r="AUB23" s="84"/>
      <c r="AUC23" s="84"/>
      <c r="AUD23" s="84"/>
      <c r="AUE23" s="84"/>
      <c r="AUF23" s="84"/>
      <c r="AUG23" s="84"/>
      <c r="AUH23" s="84"/>
      <c r="AUI23" s="84"/>
      <c r="AUJ23" s="84"/>
      <c r="AUK23" s="84"/>
      <c r="AUL23" s="84"/>
      <c r="AUM23" s="84"/>
      <c r="AUN23" s="84"/>
      <c r="AUO23" s="84"/>
      <c r="AUP23" s="84"/>
      <c r="AUQ23" s="84"/>
      <c r="AUR23" s="84"/>
      <c r="AUS23" s="84"/>
      <c r="AUT23" s="84"/>
      <c r="AUU23" s="84"/>
      <c r="AUV23" s="84"/>
      <c r="AUW23" s="84"/>
      <c r="AUX23" s="84"/>
      <c r="AUY23" s="84"/>
      <c r="AUZ23" s="84"/>
      <c r="AVA23" s="84"/>
      <c r="AVB23" s="84"/>
      <c r="AVC23" s="84"/>
      <c r="AVD23" s="84"/>
      <c r="AVE23" s="84"/>
      <c r="AVF23" s="84"/>
      <c r="AVG23" s="84"/>
      <c r="AVH23" s="84"/>
      <c r="AVI23" s="84"/>
      <c r="AVJ23" s="84"/>
      <c r="AVK23" s="84"/>
      <c r="AVL23" s="84"/>
      <c r="AVM23" s="84"/>
      <c r="AVN23" s="84"/>
      <c r="AVO23" s="84"/>
      <c r="AVP23" s="84"/>
      <c r="AVQ23" s="84"/>
      <c r="AVR23" s="84"/>
      <c r="AVS23" s="84"/>
      <c r="AVT23" s="84"/>
      <c r="AVU23" s="84"/>
      <c r="AVV23" s="84"/>
      <c r="AVW23" s="84"/>
      <c r="AVX23" s="84"/>
      <c r="AVY23" s="84"/>
      <c r="AVZ23" s="84"/>
      <c r="AWA23" s="84"/>
      <c r="AWB23" s="84"/>
      <c r="AWC23" s="84"/>
      <c r="AWD23" s="84"/>
      <c r="AWE23" s="84"/>
      <c r="AWF23" s="84"/>
      <c r="AWG23" s="84"/>
      <c r="AWH23" s="84"/>
      <c r="AWI23" s="84"/>
      <c r="AWJ23" s="84"/>
      <c r="AWK23" s="84"/>
      <c r="AWL23" s="84"/>
      <c r="AWM23" s="84"/>
      <c r="AWN23" s="84"/>
      <c r="AWO23" s="84"/>
      <c r="AWP23" s="84"/>
      <c r="AWQ23" s="84"/>
      <c r="AWR23" s="84"/>
      <c r="AWS23" s="84"/>
      <c r="AWT23" s="84"/>
      <c r="AWU23" s="84"/>
      <c r="AWV23" s="84"/>
      <c r="AWW23" s="84"/>
      <c r="AWX23" s="84"/>
      <c r="AWY23" s="84"/>
      <c r="AWZ23" s="84"/>
      <c r="AXA23" s="84"/>
      <c r="AXB23" s="84"/>
      <c r="AXC23" s="84"/>
      <c r="AXD23" s="84"/>
      <c r="AXE23" s="84"/>
      <c r="AXF23" s="84"/>
      <c r="AXG23" s="84"/>
      <c r="AXH23" s="84"/>
      <c r="AXI23" s="84"/>
      <c r="AXJ23" s="84"/>
      <c r="AXK23" s="84"/>
      <c r="AXL23" s="84"/>
      <c r="AXM23" s="84"/>
      <c r="AXN23" s="84"/>
      <c r="AXO23" s="84"/>
      <c r="AXP23" s="84"/>
      <c r="AXQ23" s="84"/>
      <c r="AXR23" s="84"/>
      <c r="AXS23" s="84"/>
      <c r="AXT23" s="84"/>
      <c r="AXU23" s="84"/>
      <c r="AXV23" s="84"/>
      <c r="AXW23" s="84"/>
      <c r="AXX23" s="84"/>
      <c r="AXY23" s="84"/>
      <c r="AXZ23" s="84"/>
      <c r="AYA23" s="84"/>
      <c r="AYB23" s="84"/>
      <c r="AYC23" s="84"/>
      <c r="AYD23" s="84"/>
      <c r="AYE23" s="84"/>
      <c r="AYF23" s="84"/>
      <c r="AYG23" s="84"/>
      <c r="AYH23" s="84"/>
      <c r="AYI23" s="84"/>
      <c r="AYJ23" s="84"/>
      <c r="AYK23" s="84"/>
      <c r="AYL23" s="84"/>
      <c r="AYM23" s="84"/>
      <c r="AYN23" s="84"/>
      <c r="AYO23" s="84"/>
      <c r="AYP23" s="84"/>
      <c r="AYQ23" s="84"/>
      <c r="AYR23" s="84"/>
      <c r="AYS23" s="84"/>
      <c r="AYT23" s="84"/>
      <c r="AYU23" s="84"/>
      <c r="AYV23" s="84"/>
      <c r="AYW23" s="84"/>
      <c r="AYX23" s="84"/>
      <c r="AYY23" s="84"/>
      <c r="AYZ23" s="84"/>
      <c r="AZA23" s="84"/>
      <c r="AZB23" s="84"/>
      <c r="AZC23" s="84"/>
      <c r="AZD23" s="84"/>
      <c r="AZE23" s="84"/>
      <c r="AZF23" s="84"/>
      <c r="AZG23" s="84"/>
      <c r="AZH23" s="84"/>
      <c r="AZI23" s="84"/>
      <c r="AZJ23" s="84"/>
      <c r="AZK23" s="84"/>
      <c r="AZL23" s="84"/>
      <c r="AZM23" s="84"/>
      <c r="AZN23" s="84"/>
      <c r="AZO23" s="84"/>
      <c r="AZP23" s="84"/>
      <c r="AZQ23" s="84"/>
      <c r="AZR23" s="84"/>
      <c r="AZS23" s="84"/>
      <c r="AZT23" s="84"/>
      <c r="AZU23" s="84"/>
      <c r="AZV23" s="84"/>
      <c r="AZW23" s="84"/>
      <c r="AZX23" s="84"/>
      <c r="AZY23" s="84"/>
      <c r="AZZ23" s="84"/>
      <c r="BAA23" s="84"/>
      <c r="BAB23" s="84"/>
      <c r="BAC23" s="84"/>
      <c r="BAD23" s="84"/>
      <c r="BAE23" s="84"/>
      <c r="BAF23" s="84"/>
      <c r="BAG23" s="84"/>
      <c r="BAH23" s="84"/>
      <c r="BAI23" s="84"/>
      <c r="BAJ23" s="84"/>
      <c r="BAK23" s="84"/>
      <c r="BAL23" s="84"/>
      <c r="BAM23" s="84"/>
      <c r="BAN23" s="84"/>
      <c r="BAO23" s="84"/>
      <c r="BAP23" s="84"/>
      <c r="BAQ23" s="84"/>
      <c r="BAR23" s="84"/>
      <c r="BAS23" s="84"/>
      <c r="BAT23" s="84"/>
      <c r="BAU23" s="84"/>
      <c r="BAV23" s="84"/>
      <c r="BAW23" s="84"/>
      <c r="BAX23" s="84"/>
      <c r="BAY23" s="84"/>
      <c r="BAZ23" s="84"/>
      <c r="BBA23" s="84"/>
      <c r="BBB23" s="84"/>
      <c r="BBC23" s="84"/>
      <c r="BBD23" s="84"/>
      <c r="BBE23" s="84"/>
      <c r="BBF23" s="84"/>
      <c r="BBG23" s="84"/>
      <c r="BBH23" s="84"/>
      <c r="BBI23" s="84"/>
      <c r="BBJ23" s="84"/>
      <c r="BBK23" s="84"/>
      <c r="BBL23" s="84"/>
      <c r="BBM23" s="84"/>
      <c r="BBN23" s="84"/>
      <c r="BBO23" s="84"/>
      <c r="BBP23" s="84"/>
      <c r="BBQ23" s="84"/>
      <c r="BBR23" s="84"/>
      <c r="BBS23" s="84"/>
      <c r="BBT23" s="84"/>
      <c r="BBU23" s="84"/>
      <c r="BBV23" s="84"/>
      <c r="BBW23" s="84"/>
      <c r="BBX23" s="84"/>
      <c r="BBY23" s="84"/>
      <c r="BBZ23" s="84"/>
      <c r="BCA23" s="84"/>
      <c r="BCB23" s="84"/>
      <c r="BCC23" s="84"/>
      <c r="BCD23" s="84"/>
      <c r="BCE23" s="84"/>
      <c r="BCF23" s="84"/>
      <c r="BCG23" s="84"/>
      <c r="BCH23" s="84"/>
      <c r="BCI23" s="84"/>
      <c r="BCJ23" s="84"/>
      <c r="BCK23" s="84"/>
      <c r="BCL23" s="84"/>
      <c r="BCM23" s="84"/>
      <c r="BCN23" s="84"/>
      <c r="BCO23" s="84"/>
      <c r="BCP23" s="84"/>
      <c r="BCQ23" s="84"/>
      <c r="BCR23" s="84"/>
      <c r="BCS23" s="84"/>
      <c r="BCT23" s="84"/>
      <c r="BCU23" s="84"/>
      <c r="BCV23" s="84"/>
      <c r="BCW23" s="84"/>
      <c r="BCX23" s="84"/>
      <c r="BCY23" s="84"/>
      <c r="BCZ23" s="84"/>
      <c r="BDA23" s="84"/>
      <c r="BDB23" s="84"/>
      <c r="BDC23" s="84"/>
      <c r="BDD23" s="84"/>
      <c r="BDE23" s="84"/>
      <c r="BDF23" s="84"/>
      <c r="BDG23" s="84"/>
      <c r="BDH23" s="84"/>
      <c r="BDI23" s="84"/>
      <c r="BDJ23" s="84"/>
      <c r="BDK23" s="84"/>
      <c r="BDL23" s="84"/>
      <c r="BDM23" s="84"/>
      <c r="BDN23" s="84"/>
      <c r="BDO23" s="84"/>
      <c r="BDP23" s="84"/>
      <c r="BDQ23" s="84"/>
      <c r="BDR23" s="84"/>
      <c r="BDS23" s="84"/>
      <c r="BDT23" s="84"/>
      <c r="BDU23" s="84"/>
      <c r="BDV23" s="84"/>
      <c r="BDW23" s="84"/>
      <c r="BDX23" s="84"/>
      <c r="BDY23" s="84"/>
      <c r="BDZ23" s="84"/>
      <c r="BEA23" s="84"/>
      <c r="BEB23" s="84"/>
      <c r="BEC23" s="84"/>
      <c r="BED23" s="84"/>
      <c r="BEE23" s="84"/>
      <c r="BEF23" s="84"/>
      <c r="BEG23" s="84"/>
      <c r="BEH23" s="84"/>
      <c r="BEI23" s="84"/>
      <c r="BEJ23" s="84"/>
      <c r="BEK23" s="84"/>
      <c r="BEL23" s="84"/>
      <c r="BEM23" s="84"/>
      <c r="BEN23" s="84"/>
      <c r="BEO23" s="84"/>
      <c r="BEP23" s="84"/>
      <c r="BEQ23" s="84"/>
      <c r="BER23" s="84"/>
      <c r="BES23" s="84"/>
      <c r="BET23" s="84"/>
      <c r="BEU23" s="84"/>
      <c r="BEV23" s="84"/>
      <c r="BEW23" s="84"/>
      <c r="BEX23" s="84"/>
      <c r="BEY23" s="84"/>
      <c r="BEZ23" s="84"/>
      <c r="BFA23" s="84"/>
      <c r="BFB23" s="84"/>
      <c r="BFC23" s="84"/>
      <c r="BFD23" s="84"/>
      <c r="BFE23" s="84"/>
      <c r="BFF23" s="84"/>
      <c r="BFG23" s="84"/>
      <c r="BFH23" s="84"/>
      <c r="BFI23" s="84"/>
      <c r="BFJ23" s="84"/>
      <c r="BFK23" s="84"/>
      <c r="BFL23" s="84"/>
      <c r="BFM23" s="84"/>
      <c r="BFN23" s="84"/>
      <c r="BFO23" s="84"/>
      <c r="BFP23" s="84"/>
      <c r="BFQ23" s="84"/>
      <c r="BFR23" s="84"/>
      <c r="BFS23" s="84"/>
      <c r="BFT23" s="84"/>
      <c r="BFU23" s="84"/>
      <c r="BFV23" s="84"/>
      <c r="BFW23" s="84"/>
      <c r="BFX23" s="84"/>
      <c r="BFY23" s="84"/>
      <c r="BFZ23" s="84"/>
      <c r="BGA23" s="84"/>
      <c r="BGB23" s="84"/>
      <c r="BGC23" s="84"/>
      <c r="BGD23" s="84"/>
      <c r="BGE23" s="84"/>
      <c r="BGF23" s="84"/>
      <c r="BGG23" s="84"/>
      <c r="BGH23" s="84"/>
      <c r="BGI23" s="84"/>
      <c r="BGJ23" s="84"/>
      <c r="BGK23" s="84"/>
      <c r="BGL23" s="84"/>
      <c r="BGM23" s="84"/>
      <c r="BGN23" s="84"/>
      <c r="BGO23" s="84"/>
      <c r="BGP23" s="84"/>
      <c r="BGQ23" s="84"/>
      <c r="BGR23" s="84"/>
      <c r="BGS23" s="84"/>
      <c r="BGT23" s="84"/>
      <c r="BGU23" s="84"/>
      <c r="BGV23" s="84"/>
      <c r="BGW23" s="84"/>
      <c r="BGX23" s="84"/>
      <c r="BGY23" s="84"/>
      <c r="BGZ23" s="84"/>
      <c r="BHA23" s="84"/>
      <c r="BHB23" s="84"/>
      <c r="BHC23" s="84"/>
      <c r="BHD23" s="84"/>
      <c r="BHE23" s="84"/>
      <c r="BHF23" s="84"/>
      <c r="BHG23" s="84"/>
      <c r="BHH23" s="84"/>
      <c r="BHI23" s="84"/>
      <c r="BHJ23" s="84"/>
      <c r="BHK23" s="84"/>
      <c r="BHL23" s="84"/>
      <c r="BHM23" s="84"/>
      <c r="BHN23" s="84"/>
      <c r="BHO23" s="84"/>
      <c r="BHP23" s="84"/>
      <c r="BHQ23" s="84"/>
      <c r="BHR23" s="84"/>
      <c r="BHS23" s="84"/>
      <c r="BHT23" s="84"/>
      <c r="BHU23" s="84"/>
      <c r="BHV23" s="84"/>
      <c r="BHW23" s="84"/>
      <c r="BHX23" s="84"/>
      <c r="BHY23" s="84"/>
      <c r="BHZ23" s="84"/>
      <c r="BIA23" s="84"/>
      <c r="BIB23" s="84"/>
      <c r="BIC23" s="84"/>
      <c r="BID23" s="84"/>
      <c r="BIE23" s="84"/>
      <c r="BIF23" s="84"/>
      <c r="BIG23" s="84"/>
      <c r="BIH23" s="84"/>
      <c r="BII23" s="84"/>
      <c r="BIJ23" s="84"/>
      <c r="BIK23" s="84"/>
      <c r="BIL23" s="84"/>
      <c r="BIM23" s="84"/>
      <c r="BIN23" s="84"/>
      <c r="BIO23" s="84"/>
      <c r="BIP23" s="84"/>
      <c r="BIQ23" s="84"/>
      <c r="BIR23" s="84"/>
      <c r="BIS23" s="84"/>
      <c r="BIT23" s="84"/>
      <c r="BIU23" s="84"/>
      <c r="BIV23" s="84"/>
      <c r="BIW23" s="84"/>
      <c r="BIX23" s="84"/>
      <c r="BIY23" s="84"/>
      <c r="BIZ23" s="84"/>
      <c r="BJA23" s="84"/>
      <c r="BJB23" s="84"/>
      <c r="BJC23" s="84"/>
      <c r="BJD23" s="84"/>
      <c r="BJE23" s="84"/>
      <c r="BJF23" s="84"/>
      <c r="BJG23" s="84"/>
      <c r="BJH23" s="84"/>
      <c r="BJI23" s="84"/>
      <c r="BJJ23" s="84"/>
      <c r="BJK23" s="84"/>
      <c r="BJL23" s="84"/>
      <c r="BJM23" s="84"/>
      <c r="BJN23" s="84"/>
      <c r="BJO23" s="84"/>
      <c r="BJP23" s="84"/>
      <c r="BJQ23" s="84"/>
      <c r="BJR23" s="84"/>
      <c r="BJS23" s="84"/>
      <c r="BJT23" s="84"/>
      <c r="BJU23" s="84"/>
      <c r="BJV23" s="84"/>
      <c r="BJW23" s="84"/>
      <c r="BJX23" s="84"/>
      <c r="BJY23" s="84"/>
      <c r="BJZ23" s="84"/>
      <c r="BKA23" s="84"/>
      <c r="BKB23" s="84"/>
      <c r="BKC23" s="84"/>
      <c r="BKD23" s="84"/>
      <c r="BKE23" s="84"/>
      <c r="BKF23" s="84"/>
      <c r="BKG23" s="84"/>
      <c r="BKH23" s="84"/>
      <c r="BKI23" s="84"/>
      <c r="BKJ23" s="84"/>
      <c r="BKK23" s="84"/>
      <c r="BKL23" s="84"/>
      <c r="BKM23" s="84"/>
      <c r="BKN23" s="84"/>
      <c r="BKO23" s="84"/>
      <c r="BKP23" s="84"/>
      <c r="BKQ23" s="84"/>
      <c r="BKR23" s="84"/>
      <c r="BKS23" s="84"/>
      <c r="BKT23" s="84"/>
      <c r="BKU23" s="84"/>
      <c r="BKV23" s="84"/>
      <c r="BKW23" s="84"/>
      <c r="BKX23" s="84"/>
      <c r="BKY23" s="84"/>
      <c r="BKZ23" s="84"/>
      <c r="BLA23" s="84"/>
      <c r="BLB23" s="84"/>
      <c r="BLC23" s="84"/>
      <c r="BLD23" s="84"/>
      <c r="BLE23" s="84"/>
      <c r="BLF23" s="84"/>
      <c r="BLG23" s="84"/>
      <c r="BLH23" s="84"/>
      <c r="BLI23" s="84"/>
      <c r="BLJ23" s="84"/>
      <c r="BLK23" s="84"/>
      <c r="BLL23" s="84"/>
      <c r="BLM23" s="84"/>
      <c r="BLN23" s="84"/>
      <c r="BLO23" s="84"/>
      <c r="BLP23" s="84"/>
      <c r="BLQ23" s="84"/>
      <c r="BLR23" s="84"/>
      <c r="BLS23" s="84"/>
      <c r="BLT23" s="84"/>
      <c r="BLU23" s="84"/>
      <c r="BLV23" s="84"/>
      <c r="BLW23" s="84"/>
      <c r="BLX23" s="84"/>
      <c r="BLY23" s="84"/>
      <c r="BLZ23" s="84"/>
      <c r="BMA23" s="84"/>
      <c r="BMB23" s="84"/>
      <c r="BMC23" s="84"/>
      <c r="BMD23" s="84"/>
      <c r="BME23" s="84"/>
      <c r="BMF23" s="84"/>
      <c r="BMG23" s="84"/>
      <c r="BMH23" s="84"/>
      <c r="BMI23" s="84"/>
      <c r="BMJ23" s="84"/>
      <c r="BMK23" s="84"/>
      <c r="BML23" s="84"/>
      <c r="BMM23" s="84"/>
      <c r="BMN23" s="84"/>
      <c r="BMO23" s="84"/>
      <c r="BMP23" s="84"/>
      <c r="BMQ23" s="84"/>
      <c r="BMR23" s="84"/>
      <c r="BMS23" s="84"/>
      <c r="BMT23" s="84"/>
      <c r="BMU23" s="84"/>
      <c r="BMV23" s="84"/>
      <c r="BMW23" s="84"/>
      <c r="BMX23" s="84"/>
      <c r="BMY23" s="84"/>
      <c r="BMZ23" s="84"/>
      <c r="BNA23" s="84"/>
      <c r="BNB23" s="84"/>
      <c r="BNC23" s="84"/>
      <c r="BND23" s="84"/>
      <c r="BNE23" s="84"/>
      <c r="BNF23" s="84"/>
      <c r="BNG23" s="84"/>
      <c r="BNH23" s="84"/>
      <c r="BNI23" s="84"/>
      <c r="BNJ23" s="84"/>
      <c r="BNK23" s="84"/>
      <c r="BNL23" s="84"/>
      <c r="BNM23" s="84"/>
      <c r="BNN23" s="84"/>
      <c r="BNO23" s="84"/>
      <c r="BNP23" s="84"/>
      <c r="BNQ23" s="84"/>
      <c r="BNR23" s="84"/>
      <c r="BNS23" s="84"/>
      <c r="BNT23" s="84"/>
      <c r="BNU23" s="84"/>
      <c r="BNV23" s="84"/>
      <c r="BNW23" s="84"/>
      <c r="BNX23" s="84"/>
      <c r="BNY23" s="84"/>
      <c r="BNZ23" s="84"/>
      <c r="BOA23" s="84"/>
      <c r="BOB23" s="84"/>
      <c r="BOC23" s="84"/>
      <c r="BOD23" s="84"/>
      <c r="BOE23" s="84"/>
      <c r="BOF23" s="84"/>
      <c r="BOG23" s="84"/>
      <c r="BOH23" s="84"/>
      <c r="BOI23" s="84"/>
      <c r="BOJ23" s="84"/>
      <c r="BOK23" s="84"/>
      <c r="BOL23" s="84"/>
      <c r="BOM23" s="84"/>
      <c r="BON23" s="84"/>
      <c r="BOO23" s="84"/>
      <c r="BOP23" s="84"/>
      <c r="BOQ23" s="84"/>
      <c r="BOR23" s="84"/>
      <c r="BOS23" s="84"/>
      <c r="BOT23" s="84"/>
      <c r="BOU23" s="84"/>
      <c r="BOV23" s="84"/>
      <c r="BOW23" s="84"/>
      <c r="BOX23" s="84"/>
      <c r="BOY23" s="84"/>
      <c r="BOZ23" s="84"/>
      <c r="BPA23" s="84"/>
      <c r="BPB23" s="84"/>
      <c r="BPC23" s="84"/>
      <c r="BPD23" s="84"/>
      <c r="BPE23" s="84"/>
      <c r="BPF23" s="84"/>
      <c r="BPG23" s="84"/>
      <c r="BPH23" s="84"/>
      <c r="BPI23" s="84"/>
      <c r="BPJ23" s="84"/>
      <c r="BPK23" s="84"/>
      <c r="BPL23" s="84"/>
      <c r="BPM23" s="84"/>
      <c r="BPN23" s="84"/>
      <c r="BPO23" s="84"/>
      <c r="BPP23" s="84"/>
      <c r="BPQ23" s="84"/>
      <c r="BPR23" s="84"/>
      <c r="BPS23" s="84"/>
      <c r="BPT23" s="84"/>
      <c r="BPU23" s="84"/>
      <c r="BPV23" s="84"/>
      <c r="BPW23" s="84"/>
      <c r="BPX23" s="84"/>
      <c r="BPY23" s="84"/>
      <c r="BPZ23" s="84"/>
      <c r="BQA23" s="84"/>
      <c r="BQB23" s="84"/>
      <c r="BQC23" s="84"/>
      <c r="BQD23" s="84"/>
      <c r="BQE23" s="84"/>
      <c r="BQF23" s="84"/>
      <c r="BQG23" s="84"/>
      <c r="BQH23" s="84"/>
      <c r="BQI23" s="84"/>
      <c r="BQJ23" s="84"/>
      <c r="BQK23" s="84"/>
      <c r="BQL23" s="84"/>
      <c r="BQM23" s="84"/>
      <c r="BQN23" s="84"/>
      <c r="BQO23" s="84"/>
      <c r="BQP23" s="84"/>
      <c r="BQQ23" s="84"/>
      <c r="BQR23" s="84"/>
      <c r="BQS23" s="84"/>
      <c r="BQT23" s="84"/>
      <c r="BQU23" s="84"/>
      <c r="BQV23" s="84"/>
      <c r="BQW23" s="84"/>
      <c r="BQX23" s="84"/>
      <c r="BQY23" s="84"/>
      <c r="BQZ23" s="84"/>
      <c r="BRA23" s="84"/>
      <c r="BRB23" s="84"/>
      <c r="BRC23" s="84"/>
      <c r="BRD23" s="84"/>
      <c r="BRE23" s="84"/>
      <c r="BRF23" s="84"/>
      <c r="BRG23" s="84"/>
      <c r="BRH23" s="84"/>
      <c r="BRI23" s="84"/>
      <c r="BRJ23" s="84"/>
      <c r="BRK23" s="84"/>
      <c r="BRL23" s="84"/>
      <c r="BRM23" s="84"/>
      <c r="BRN23" s="84"/>
      <c r="BRO23" s="84"/>
      <c r="BRP23" s="84"/>
      <c r="BRQ23" s="84"/>
      <c r="BRR23" s="84"/>
      <c r="BRS23" s="84"/>
      <c r="BRT23" s="84"/>
      <c r="BRU23" s="84"/>
      <c r="BRV23" s="84"/>
      <c r="BRW23" s="84"/>
      <c r="BRX23" s="84"/>
      <c r="BRY23" s="84"/>
      <c r="BRZ23" s="84"/>
      <c r="BSA23" s="84"/>
      <c r="BSB23" s="84"/>
      <c r="BSC23" s="84"/>
      <c r="BSD23" s="84"/>
      <c r="BSE23" s="84"/>
      <c r="BSF23" s="84"/>
      <c r="BSG23" s="84"/>
      <c r="BSH23" s="84"/>
      <c r="BSI23" s="84"/>
      <c r="BSJ23" s="84"/>
      <c r="BSK23" s="84"/>
      <c r="BSL23" s="84"/>
      <c r="BSM23" s="84"/>
      <c r="BSN23" s="84"/>
      <c r="BSO23" s="84"/>
      <c r="BSP23" s="84"/>
      <c r="BSQ23" s="84"/>
      <c r="BSR23" s="84"/>
      <c r="BSS23" s="84"/>
      <c r="BST23" s="84"/>
      <c r="BSU23" s="84"/>
      <c r="BSV23" s="84"/>
      <c r="BSW23" s="84"/>
      <c r="BSX23" s="84"/>
      <c r="BSY23" s="84"/>
      <c r="BSZ23" s="84"/>
      <c r="BTA23" s="84"/>
      <c r="BTB23" s="84"/>
      <c r="BTC23" s="84"/>
      <c r="BTD23" s="84"/>
      <c r="BTE23" s="84"/>
      <c r="BTF23" s="84"/>
      <c r="BTG23" s="84"/>
      <c r="BTH23" s="84"/>
      <c r="BTI23" s="84"/>
      <c r="BTJ23" s="84"/>
      <c r="BTK23" s="84"/>
      <c r="BTL23" s="84"/>
      <c r="BTM23" s="84"/>
      <c r="BTN23" s="84"/>
      <c r="BTO23" s="84"/>
      <c r="BTP23" s="84"/>
      <c r="BTQ23" s="84"/>
      <c r="BTR23" s="84"/>
      <c r="BTS23" s="84"/>
      <c r="BTT23" s="84"/>
      <c r="BTU23" s="84"/>
      <c r="BTV23" s="84"/>
      <c r="BTW23" s="84"/>
      <c r="BTX23" s="84"/>
      <c r="BTY23" s="84"/>
      <c r="BTZ23" s="84"/>
      <c r="BUA23" s="84"/>
      <c r="BUB23" s="84"/>
      <c r="BUC23" s="84"/>
      <c r="BUD23" s="84"/>
      <c r="BUE23" s="84"/>
      <c r="BUF23" s="84"/>
      <c r="BUG23" s="84"/>
      <c r="BUH23" s="84"/>
      <c r="BUI23" s="84"/>
      <c r="BUJ23" s="84"/>
      <c r="BUK23" s="84"/>
      <c r="BUL23" s="84"/>
      <c r="BUM23" s="84"/>
      <c r="BUN23" s="84"/>
      <c r="BUO23" s="84"/>
      <c r="BUP23" s="84"/>
      <c r="BUQ23" s="84"/>
      <c r="BUR23" s="84"/>
      <c r="BUS23" s="84"/>
      <c r="BUT23" s="84"/>
      <c r="BUU23" s="84"/>
      <c r="BUV23" s="84"/>
      <c r="BUW23" s="84"/>
      <c r="BUX23" s="84"/>
      <c r="BUY23" s="84"/>
      <c r="BUZ23" s="84"/>
      <c r="BVA23" s="84"/>
      <c r="BVB23" s="84"/>
      <c r="BVC23" s="84"/>
      <c r="BVD23" s="84"/>
      <c r="BVE23" s="84"/>
      <c r="BVF23" s="84"/>
      <c r="BVG23" s="84"/>
      <c r="BVH23" s="84"/>
      <c r="BVI23" s="84"/>
      <c r="BVJ23" s="84"/>
      <c r="BVK23" s="84"/>
      <c r="BVL23" s="84"/>
      <c r="BVM23" s="84"/>
      <c r="BVN23" s="84"/>
      <c r="BVO23" s="84"/>
      <c r="BVP23" s="84"/>
      <c r="BVQ23" s="84"/>
      <c r="BVR23" s="84"/>
      <c r="BVS23" s="84"/>
      <c r="BVT23" s="84"/>
      <c r="BVU23" s="84"/>
      <c r="BVV23" s="84"/>
      <c r="BVW23" s="84"/>
      <c r="BVX23" s="84"/>
      <c r="BVY23" s="84"/>
      <c r="BVZ23" s="84"/>
      <c r="BWA23" s="84"/>
      <c r="BWB23" s="84"/>
      <c r="BWC23" s="84"/>
      <c r="BWD23" s="84"/>
      <c r="BWE23" s="84"/>
      <c r="BWF23" s="84"/>
      <c r="BWG23" s="84"/>
      <c r="BWH23" s="84"/>
      <c r="BWI23" s="84"/>
      <c r="BWJ23" s="84"/>
      <c r="BWK23" s="84"/>
      <c r="BWL23" s="84"/>
      <c r="BWM23" s="84"/>
      <c r="BWN23" s="84"/>
      <c r="BWO23" s="84"/>
      <c r="BWP23" s="84"/>
      <c r="BWQ23" s="84"/>
      <c r="BWR23" s="84"/>
      <c r="BWS23" s="84"/>
      <c r="BWT23" s="84"/>
      <c r="BWU23" s="84"/>
      <c r="BWV23" s="84"/>
      <c r="BWW23" s="84"/>
      <c r="BWX23" s="84"/>
      <c r="BWY23" s="84"/>
      <c r="BWZ23" s="84"/>
      <c r="BXA23" s="84"/>
      <c r="BXB23" s="84"/>
      <c r="BXC23" s="84"/>
      <c r="BXD23" s="84"/>
      <c r="BXE23" s="84"/>
      <c r="BXF23" s="84"/>
      <c r="BXG23" s="84"/>
      <c r="BXH23" s="84"/>
      <c r="BXI23" s="84"/>
      <c r="BXJ23" s="84"/>
      <c r="BXK23" s="84"/>
      <c r="BXL23" s="84"/>
      <c r="BXM23" s="84"/>
      <c r="BXN23" s="84"/>
      <c r="BXO23" s="84"/>
      <c r="BXP23" s="84"/>
      <c r="BXQ23" s="84"/>
      <c r="BXR23" s="84"/>
      <c r="BXS23" s="84"/>
      <c r="BXT23" s="84"/>
      <c r="BXU23" s="84"/>
      <c r="BXV23" s="84"/>
      <c r="BXW23" s="84"/>
      <c r="BXX23" s="84"/>
      <c r="BXY23" s="84"/>
      <c r="BXZ23" s="84"/>
      <c r="BYA23" s="84"/>
      <c r="BYB23" s="84"/>
      <c r="BYC23" s="84"/>
      <c r="BYD23" s="84"/>
      <c r="BYE23" s="84"/>
      <c r="BYF23" s="84"/>
      <c r="BYG23" s="84"/>
      <c r="BYH23" s="84"/>
      <c r="BYI23" s="84"/>
      <c r="BYJ23" s="84"/>
      <c r="BYK23" s="84"/>
      <c r="BYL23" s="84"/>
      <c r="BYM23" s="84"/>
      <c r="BYN23" s="84"/>
      <c r="BYO23" s="84"/>
      <c r="BYP23" s="84"/>
      <c r="BYQ23" s="84"/>
      <c r="BYR23" s="84"/>
      <c r="BYS23" s="84"/>
      <c r="BYT23" s="84"/>
      <c r="BYU23" s="84"/>
      <c r="BYV23" s="84"/>
      <c r="BYW23" s="84"/>
      <c r="BYX23" s="84"/>
      <c r="BYY23" s="84"/>
      <c r="BYZ23" s="84"/>
      <c r="BZA23" s="84"/>
      <c r="BZB23" s="84"/>
      <c r="BZC23" s="84"/>
      <c r="BZD23" s="84"/>
      <c r="BZE23" s="84"/>
      <c r="BZF23" s="84"/>
      <c r="BZG23" s="84"/>
      <c r="BZH23" s="84"/>
      <c r="BZI23" s="84"/>
      <c r="BZJ23" s="84"/>
      <c r="BZK23" s="84"/>
      <c r="BZL23" s="84"/>
      <c r="BZM23" s="84"/>
      <c r="BZN23" s="84"/>
      <c r="BZO23" s="84"/>
      <c r="BZP23" s="84"/>
      <c r="BZQ23" s="84"/>
      <c r="BZR23" s="84"/>
      <c r="BZS23" s="84"/>
      <c r="BZT23" s="84"/>
      <c r="BZU23" s="84"/>
      <c r="BZV23" s="84"/>
      <c r="BZW23" s="84"/>
      <c r="BZX23" s="84"/>
      <c r="BZY23" s="84"/>
      <c r="BZZ23" s="84"/>
      <c r="CAA23" s="84"/>
      <c r="CAB23" s="84"/>
      <c r="CAC23" s="84"/>
      <c r="CAD23" s="84"/>
      <c r="CAE23" s="84"/>
      <c r="CAF23" s="84"/>
      <c r="CAG23" s="84"/>
      <c r="CAH23" s="84"/>
      <c r="CAI23" s="84"/>
      <c r="CAJ23" s="84"/>
      <c r="CAK23" s="84"/>
      <c r="CAL23" s="84"/>
      <c r="CAM23" s="84"/>
      <c r="CAN23" s="84"/>
      <c r="CAO23" s="84"/>
      <c r="CAP23" s="84"/>
      <c r="CAQ23" s="84"/>
      <c r="CAR23" s="84"/>
      <c r="CAS23" s="84"/>
      <c r="CAT23" s="84"/>
      <c r="CAU23" s="84"/>
      <c r="CAV23" s="84"/>
      <c r="CAW23" s="84"/>
      <c r="CAX23" s="84"/>
      <c r="CAY23" s="84"/>
      <c r="CAZ23" s="84"/>
      <c r="CBA23" s="84"/>
      <c r="CBB23" s="84"/>
      <c r="CBC23" s="84"/>
      <c r="CBD23" s="84"/>
      <c r="CBE23" s="84"/>
      <c r="CBF23" s="84"/>
      <c r="CBG23" s="84"/>
      <c r="CBH23" s="84"/>
      <c r="CBI23" s="84"/>
      <c r="CBJ23" s="84"/>
      <c r="CBK23" s="84"/>
      <c r="CBL23" s="84"/>
      <c r="CBM23" s="84"/>
      <c r="CBN23" s="84"/>
      <c r="CBO23" s="84"/>
      <c r="CBP23" s="84"/>
      <c r="CBQ23" s="84"/>
      <c r="CBR23" s="84"/>
      <c r="CBS23" s="84"/>
      <c r="CBT23" s="84"/>
      <c r="CBU23" s="84"/>
      <c r="CBV23" s="84"/>
      <c r="CBW23" s="84"/>
      <c r="CBX23" s="84"/>
      <c r="CBY23" s="84"/>
      <c r="CBZ23" s="84"/>
      <c r="CCA23" s="84"/>
      <c r="CCB23" s="84"/>
      <c r="CCC23" s="84"/>
      <c r="CCD23" s="84"/>
      <c r="CCE23" s="84"/>
      <c r="CCF23" s="84"/>
      <c r="CCG23" s="84"/>
      <c r="CCH23" s="84"/>
      <c r="CCI23" s="84"/>
      <c r="CCJ23" s="84"/>
      <c r="CCK23" s="84"/>
      <c r="CCL23" s="84"/>
      <c r="CCM23" s="84"/>
      <c r="CCN23" s="84"/>
      <c r="CCO23" s="84"/>
      <c r="CCP23" s="84"/>
      <c r="CCQ23" s="84"/>
      <c r="CCR23" s="84"/>
      <c r="CCS23" s="84"/>
      <c r="CCT23" s="84"/>
      <c r="CCU23" s="84"/>
      <c r="CCV23" s="84"/>
      <c r="CCW23" s="84"/>
      <c r="CCX23" s="84"/>
      <c r="CCY23" s="84"/>
      <c r="CCZ23" s="84"/>
      <c r="CDA23" s="84"/>
      <c r="CDB23" s="84"/>
      <c r="CDC23" s="84"/>
      <c r="CDD23" s="84"/>
      <c r="CDE23" s="84"/>
      <c r="CDF23" s="84"/>
      <c r="CDG23" s="84"/>
      <c r="CDH23" s="84"/>
      <c r="CDI23" s="84"/>
      <c r="CDJ23" s="84"/>
      <c r="CDK23" s="84"/>
      <c r="CDL23" s="84"/>
      <c r="CDM23" s="84"/>
      <c r="CDN23" s="84"/>
      <c r="CDO23" s="84"/>
      <c r="CDP23" s="84"/>
      <c r="CDQ23" s="84"/>
      <c r="CDR23" s="84"/>
      <c r="CDS23" s="84"/>
      <c r="CDT23" s="84"/>
      <c r="CDU23" s="84"/>
      <c r="CDV23" s="84"/>
      <c r="CDW23" s="84"/>
      <c r="CDX23" s="84"/>
      <c r="CDY23" s="84"/>
      <c r="CDZ23" s="84"/>
      <c r="CEA23" s="84"/>
      <c r="CEB23" s="84"/>
      <c r="CEC23" s="84"/>
      <c r="CED23" s="84"/>
      <c r="CEE23" s="84"/>
      <c r="CEF23" s="84"/>
      <c r="CEG23" s="84"/>
      <c r="CEH23" s="84"/>
      <c r="CEI23" s="84"/>
      <c r="CEJ23" s="84"/>
      <c r="CEK23" s="84"/>
      <c r="CEL23" s="84"/>
      <c r="CEM23" s="84"/>
      <c r="CEN23" s="84"/>
      <c r="CEO23" s="84"/>
      <c r="CEP23" s="84"/>
      <c r="CEQ23" s="84"/>
      <c r="CER23" s="84"/>
      <c r="CES23" s="84"/>
      <c r="CET23" s="84"/>
      <c r="CEU23" s="84"/>
      <c r="CEV23" s="84"/>
      <c r="CEW23" s="84"/>
      <c r="CEX23" s="84"/>
      <c r="CEY23" s="84"/>
      <c r="CEZ23" s="84"/>
      <c r="CFA23" s="84"/>
      <c r="CFB23" s="84"/>
      <c r="CFC23" s="84"/>
      <c r="CFD23" s="84"/>
      <c r="CFE23" s="84"/>
      <c r="CFF23" s="84"/>
      <c r="CFG23" s="84"/>
      <c r="CFH23" s="84"/>
      <c r="CFI23" s="84"/>
      <c r="CFJ23" s="84"/>
      <c r="CFK23" s="84"/>
      <c r="CFL23" s="84"/>
      <c r="CFM23" s="84"/>
      <c r="CFN23" s="84"/>
      <c r="CFO23" s="84"/>
      <c r="CFP23" s="84"/>
      <c r="CFQ23" s="84"/>
      <c r="CFR23" s="84"/>
      <c r="CFS23" s="84"/>
      <c r="CFT23" s="84"/>
      <c r="CFU23" s="84"/>
      <c r="CFV23" s="84"/>
      <c r="CFW23" s="84"/>
      <c r="CFX23" s="84"/>
      <c r="CFY23" s="84"/>
      <c r="CFZ23" s="84"/>
      <c r="CGA23" s="84"/>
      <c r="CGB23" s="84"/>
      <c r="CGC23" s="84"/>
      <c r="CGD23" s="84"/>
      <c r="CGE23" s="84"/>
      <c r="CGF23" s="84"/>
      <c r="CGG23" s="84"/>
      <c r="CGH23" s="84"/>
      <c r="CGI23" s="84"/>
      <c r="CGJ23" s="84"/>
      <c r="CGK23" s="84"/>
      <c r="CGL23" s="84"/>
      <c r="CGM23" s="84"/>
      <c r="CGN23" s="84"/>
      <c r="CGO23" s="84"/>
      <c r="CGP23" s="84"/>
      <c r="CGQ23" s="84"/>
      <c r="CGR23" s="84"/>
      <c r="CGS23" s="84"/>
      <c r="CGT23" s="84"/>
      <c r="CGU23" s="84"/>
      <c r="CGV23" s="84"/>
      <c r="CGW23" s="84"/>
      <c r="CGX23" s="84"/>
      <c r="CGY23" s="84"/>
      <c r="CGZ23" s="84"/>
      <c r="CHA23" s="84"/>
      <c r="CHB23" s="84"/>
      <c r="CHC23" s="84"/>
      <c r="CHD23" s="84"/>
      <c r="CHE23" s="84"/>
      <c r="CHF23" s="84"/>
      <c r="CHG23" s="84"/>
      <c r="CHH23" s="84"/>
      <c r="CHI23" s="84"/>
      <c r="CHJ23" s="84"/>
      <c r="CHK23" s="84"/>
      <c r="CHL23" s="84"/>
      <c r="CHM23" s="84"/>
      <c r="CHN23" s="84"/>
      <c r="CHO23" s="84"/>
      <c r="CHP23" s="84"/>
      <c r="CHQ23" s="84"/>
      <c r="CHR23" s="84"/>
      <c r="CHS23" s="84"/>
      <c r="CHT23" s="84"/>
      <c r="CHU23" s="84"/>
      <c r="CHV23" s="84"/>
      <c r="CHW23" s="84"/>
      <c r="CHX23" s="84"/>
      <c r="CHY23" s="84"/>
      <c r="CHZ23" s="84"/>
      <c r="CIA23" s="84"/>
      <c r="CIB23" s="84"/>
      <c r="CIC23" s="84"/>
      <c r="CID23" s="84"/>
      <c r="CIE23" s="84"/>
      <c r="CIF23" s="84"/>
      <c r="CIG23" s="84"/>
      <c r="CIH23" s="84"/>
      <c r="CII23" s="84"/>
      <c r="CIJ23" s="84"/>
      <c r="CIK23" s="84"/>
      <c r="CIL23" s="84"/>
      <c r="CIM23" s="84"/>
      <c r="CIN23" s="84"/>
      <c r="CIO23" s="84"/>
      <c r="CIP23" s="84"/>
      <c r="CIQ23" s="84"/>
      <c r="CIR23" s="84"/>
      <c r="CIS23" s="84"/>
      <c r="CIT23" s="84"/>
      <c r="CIU23" s="84"/>
      <c r="CIV23" s="84"/>
      <c r="CIW23" s="84"/>
      <c r="CIX23" s="84"/>
      <c r="CIY23" s="84"/>
      <c r="CIZ23" s="84"/>
      <c r="CJA23" s="84"/>
      <c r="CJB23" s="84"/>
      <c r="CJC23" s="84"/>
      <c r="CJD23" s="84"/>
      <c r="CJE23" s="84"/>
      <c r="CJF23" s="84"/>
      <c r="CJG23" s="84"/>
      <c r="CJH23" s="84"/>
      <c r="CJI23" s="84"/>
      <c r="CJJ23" s="84"/>
      <c r="CJK23" s="84"/>
      <c r="CJL23" s="84"/>
      <c r="CJM23" s="84"/>
      <c r="CJN23" s="84"/>
      <c r="CJO23" s="84"/>
      <c r="CJP23" s="84"/>
      <c r="CJQ23" s="84"/>
      <c r="CJR23" s="84"/>
      <c r="CJS23" s="84"/>
      <c r="CJT23" s="84"/>
      <c r="CJU23" s="84"/>
      <c r="CJV23" s="84"/>
      <c r="CJW23" s="84"/>
      <c r="CJX23" s="84"/>
      <c r="CJY23" s="84"/>
      <c r="CJZ23" s="84"/>
      <c r="CKA23" s="84"/>
      <c r="CKB23" s="84"/>
      <c r="CKC23" s="84"/>
      <c r="CKD23" s="84"/>
      <c r="CKE23" s="84"/>
      <c r="CKF23" s="84"/>
      <c r="CKG23" s="84"/>
      <c r="CKH23" s="84"/>
      <c r="CKI23" s="84"/>
      <c r="CKJ23" s="84"/>
      <c r="CKK23" s="84"/>
      <c r="CKL23" s="84"/>
      <c r="CKM23" s="84"/>
      <c r="CKN23" s="84"/>
      <c r="CKO23" s="84"/>
      <c r="CKP23" s="84"/>
      <c r="CKQ23" s="84"/>
      <c r="CKR23" s="84"/>
      <c r="CKS23" s="84"/>
      <c r="CKT23" s="84"/>
      <c r="CKU23" s="84"/>
      <c r="CKV23" s="84"/>
      <c r="CKW23" s="84"/>
      <c r="CKX23" s="84"/>
      <c r="CKY23" s="84"/>
      <c r="CKZ23" s="84"/>
      <c r="CLA23" s="84"/>
      <c r="CLB23" s="84"/>
      <c r="CLC23" s="84"/>
      <c r="CLD23" s="84"/>
      <c r="CLE23" s="84"/>
      <c r="CLF23" s="84"/>
      <c r="CLG23" s="84"/>
      <c r="CLH23" s="84"/>
      <c r="CLI23" s="84"/>
      <c r="CLJ23" s="84"/>
      <c r="CLK23" s="84"/>
      <c r="CLL23" s="84"/>
      <c r="CLM23" s="84"/>
      <c r="CLN23" s="84"/>
      <c r="CLO23" s="84"/>
      <c r="CLP23" s="84"/>
      <c r="CLQ23" s="84"/>
      <c r="CLR23" s="84"/>
      <c r="CLS23" s="84"/>
      <c r="CLT23" s="84"/>
      <c r="CLU23" s="84"/>
      <c r="CLV23" s="84"/>
      <c r="CLW23" s="84"/>
      <c r="CLX23" s="84"/>
      <c r="CLY23" s="84"/>
      <c r="CLZ23" s="84"/>
      <c r="CMA23" s="84"/>
      <c r="CMB23" s="84"/>
      <c r="CMC23" s="84"/>
      <c r="CMD23" s="84"/>
      <c r="CME23" s="84"/>
      <c r="CMF23" s="84"/>
      <c r="CMG23" s="84"/>
      <c r="CMH23" s="84"/>
      <c r="CMI23" s="84"/>
      <c r="CMJ23" s="84"/>
      <c r="CMK23" s="84"/>
      <c r="CML23" s="84"/>
      <c r="CMM23" s="84"/>
      <c r="CMN23" s="84"/>
      <c r="CMO23" s="84"/>
      <c r="CMP23" s="84"/>
      <c r="CMQ23" s="84"/>
      <c r="CMR23" s="84"/>
      <c r="CMS23" s="84"/>
      <c r="CMT23" s="84"/>
      <c r="CMU23" s="84"/>
      <c r="CMV23" s="84"/>
      <c r="CMW23" s="84"/>
      <c r="CMX23" s="84"/>
      <c r="CMY23" s="84"/>
      <c r="CMZ23" s="84"/>
      <c r="CNA23" s="84"/>
      <c r="CNB23" s="84"/>
      <c r="CNC23" s="84"/>
      <c r="CND23" s="84"/>
      <c r="CNE23" s="84"/>
      <c r="CNF23" s="84"/>
      <c r="CNG23" s="84"/>
      <c r="CNH23" s="84"/>
      <c r="CNI23" s="84"/>
      <c r="CNJ23" s="84"/>
      <c r="CNK23" s="84"/>
      <c r="CNL23" s="84"/>
      <c r="CNM23" s="84"/>
      <c r="CNN23" s="84"/>
      <c r="CNO23" s="84"/>
      <c r="CNP23" s="84"/>
      <c r="CNQ23" s="84"/>
      <c r="CNR23" s="84"/>
      <c r="CNS23" s="84"/>
      <c r="CNT23" s="84"/>
      <c r="CNU23" s="84"/>
      <c r="CNV23" s="84"/>
      <c r="CNW23" s="84"/>
      <c r="CNX23" s="84"/>
      <c r="CNY23" s="84"/>
      <c r="CNZ23" s="84"/>
      <c r="COA23" s="84"/>
      <c r="COB23" s="84"/>
      <c r="COC23" s="84"/>
      <c r="COD23" s="84"/>
      <c r="COE23" s="84"/>
      <c r="COF23" s="84"/>
      <c r="COG23" s="84"/>
      <c r="COH23" s="84"/>
      <c r="COI23" s="84"/>
      <c r="COJ23" s="84"/>
      <c r="COK23" s="84"/>
      <c r="COL23" s="84"/>
      <c r="COM23" s="84"/>
      <c r="CON23" s="84"/>
      <c r="COO23" s="84"/>
      <c r="COP23" s="84"/>
      <c r="COQ23" s="84"/>
      <c r="COR23" s="84"/>
      <c r="COS23" s="84"/>
      <c r="COT23" s="84"/>
      <c r="COU23" s="84"/>
      <c r="COV23" s="84"/>
      <c r="COW23" s="84"/>
      <c r="COX23" s="84"/>
      <c r="COY23" s="84"/>
      <c r="COZ23" s="84"/>
      <c r="CPA23" s="84"/>
      <c r="CPB23" s="84"/>
      <c r="CPC23" s="84"/>
      <c r="CPD23" s="84"/>
      <c r="CPE23" s="84"/>
      <c r="CPF23" s="84"/>
      <c r="CPG23" s="84"/>
      <c r="CPH23" s="84"/>
      <c r="CPI23" s="84"/>
      <c r="CPJ23" s="84"/>
      <c r="CPK23" s="84"/>
      <c r="CPL23" s="84"/>
      <c r="CPM23" s="84"/>
      <c r="CPN23" s="84"/>
      <c r="CPO23" s="84"/>
      <c r="CPP23" s="84"/>
      <c r="CPQ23" s="84"/>
      <c r="CPR23" s="84"/>
      <c r="CPS23" s="84"/>
      <c r="CPT23" s="84"/>
      <c r="CPU23" s="84"/>
      <c r="CPV23" s="84"/>
      <c r="CPW23" s="84"/>
      <c r="CPX23" s="84"/>
      <c r="CPY23" s="84"/>
      <c r="CPZ23" s="84"/>
      <c r="CQA23" s="84"/>
      <c r="CQB23" s="84"/>
      <c r="CQC23" s="84"/>
      <c r="CQD23" s="84"/>
      <c r="CQE23" s="84"/>
      <c r="CQF23" s="84"/>
      <c r="CQG23" s="84"/>
      <c r="CQH23" s="84"/>
      <c r="CQI23" s="84"/>
      <c r="CQJ23" s="84"/>
      <c r="CQK23" s="84"/>
      <c r="CQL23" s="84"/>
      <c r="CQM23" s="84"/>
      <c r="CQN23" s="84"/>
      <c r="CQO23" s="84"/>
      <c r="CQP23" s="84"/>
      <c r="CQQ23" s="84"/>
      <c r="CQR23" s="84"/>
      <c r="CQS23" s="84"/>
      <c r="CQT23" s="84"/>
      <c r="CQU23" s="84"/>
      <c r="CQV23" s="84"/>
      <c r="CQW23" s="84"/>
      <c r="CQX23" s="84"/>
      <c r="CQY23" s="84"/>
      <c r="CQZ23" s="84"/>
      <c r="CRA23" s="84"/>
      <c r="CRB23" s="84"/>
      <c r="CRC23" s="84"/>
      <c r="CRD23" s="84"/>
      <c r="CRE23" s="84"/>
      <c r="CRF23" s="84"/>
      <c r="CRG23" s="84"/>
      <c r="CRH23" s="84"/>
      <c r="CRI23" s="84"/>
      <c r="CRJ23" s="84"/>
      <c r="CRK23" s="84"/>
      <c r="CRL23" s="84"/>
      <c r="CRM23" s="84"/>
      <c r="CRN23" s="84"/>
      <c r="CRO23" s="84"/>
      <c r="CRP23" s="84"/>
      <c r="CRQ23" s="84"/>
      <c r="CRR23" s="84"/>
      <c r="CRS23" s="84"/>
      <c r="CRT23" s="84"/>
      <c r="CRU23" s="84"/>
      <c r="CRV23" s="84"/>
      <c r="CRW23" s="84"/>
      <c r="CRX23" s="84"/>
      <c r="CRY23" s="84"/>
      <c r="CRZ23" s="84"/>
      <c r="CSA23" s="84"/>
      <c r="CSB23" s="84"/>
      <c r="CSC23" s="84"/>
      <c r="CSD23" s="84"/>
      <c r="CSE23" s="84"/>
      <c r="CSF23" s="84"/>
      <c r="CSG23" s="84"/>
      <c r="CSH23" s="84"/>
      <c r="CSI23" s="84"/>
      <c r="CSJ23" s="84"/>
      <c r="CSK23" s="84"/>
      <c r="CSL23" s="84"/>
      <c r="CSM23" s="84"/>
      <c r="CSN23" s="84"/>
      <c r="CSO23" s="84"/>
      <c r="CSP23" s="84"/>
      <c r="CSQ23" s="84"/>
      <c r="CSR23" s="84"/>
      <c r="CSS23" s="84"/>
      <c r="CST23" s="84"/>
      <c r="CSU23" s="84"/>
      <c r="CSV23" s="84"/>
      <c r="CSW23" s="84"/>
      <c r="CSX23" s="84"/>
      <c r="CSY23" s="84"/>
      <c r="CSZ23" s="84"/>
      <c r="CTA23" s="84"/>
      <c r="CTB23" s="84"/>
      <c r="CTC23" s="84"/>
      <c r="CTD23" s="84"/>
      <c r="CTE23" s="84"/>
      <c r="CTF23" s="84"/>
      <c r="CTG23" s="84"/>
      <c r="CTH23" s="84"/>
      <c r="CTI23" s="84"/>
      <c r="CTJ23" s="84"/>
      <c r="CTK23" s="84"/>
      <c r="CTL23" s="84"/>
      <c r="CTM23" s="84"/>
      <c r="CTN23" s="84"/>
      <c r="CTO23" s="84"/>
      <c r="CTP23" s="84"/>
      <c r="CTQ23" s="84"/>
      <c r="CTR23" s="84"/>
      <c r="CTS23" s="84"/>
      <c r="CTT23" s="84"/>
      <c r="CTU23" s="84"/>
      <c r="CTV23" s="84"/>
      <c r="CTW23" s="84"/>
      <c r="CTX23" s="84"/>
      <c r="CTY23" s="84"/>
      <c r="CTZ23" s="84"/>
      <c r="CUA23" s="84"/>
      <c r="CUB23" s="84"/>
      <c r="CUC23" s="84"/>
      <c r="CUD23" s="84"/>
      <c r="CUE23" s="84"/>
      <c r="CUF23" s="84"/>
      <c r="CUG23" s="84"/>
      <c r="CUH23" s="84"/>
      <c r="CUI23" s="84"/>
      <c r="CUJ23" s="84"/>
      <c r="CUK23" s="84"/>
      <c r="CUL23" s="84"/>
      <c r="CUM23" s="84"/>
      <c r="CUN23" s="84"/>
      <c r="CUO23" s="84"/>
      <c r="CUP23" s="84"/>
      <c r="CUQ23" s="84"/>
      <c r="CUR23" s="84"/>
      <c r="CUS23" s="84"/>
      <c r="CUT23" s="84"/>
      <c r="CUU23" s="84"/>
      <c r="CUV23" s="84"/>
      <c r="CUW23" s="84"/>
      <c r="CUX23" s="84"/>
      <c r="CUY23" s="84"/>
      <c r="CUZ23" s="84"/>
      <c r="CVA23" s="84"/>
      <c r="CVB23" s="84"/>
      <c r="CVC23" s="84"/>
      <c r="CVD23" s="84"/>
      <c r="CVE23" s="84"/>
      <c r="CVF23" s="84"/>
      <c r="CVG23" s="84"/>
      <c r="CVH23" s="84"/>
      <c r="CVI23" s="84"/>
      <c r="CVJ23" s="84"/>
      <c r="CVK23" s="84"/>
      <c r="CVL23" s="84"/>
      <c r="CVM23" s="84"/>
      <c r="CVN23" s="84"/>
      <c r="CVO23" s="84"/>
      <c r="CVP23" s="84"/>
      <c r="CVQ23" s="84"/>
      <c r="CVR23" s="84"/>
      <c r="CVS23" s="84"/>
      <c r="CVT23" s="84"/>
      <c r="CVU23" s="84"/>
      <c r="CVV23" s="84"/>
      <c r="CVW23" s="84"/>
      <c r="CVX23" s="84"/>
      <c r="CVY23" s="84"/>
      <c r="CVZ23" s="84"/>
      <c r="CWA23" s="84"/>
      <c r="CWB23" s="84"/>
      <c r="CWC23" s="84"/>
      <c r="CWD23" s="84"/>
      <c r="CWE23" s="84"/>
      <c r="CWF23" s="84"/>
      <c r="CWG23" s="84"/>
      <c r="CWH23" s="84"/>
      <c r="CWI23" s="84"/>
      <c r="CWJ23" s="84"/>
      <c r="CWK23" s="84"/>
      <c r="CWL23" s="84"/>
      <c r="CWM23" s="84"/>
      <c r="CWN23" s="84"/>
      <c r="CWO23" s="84"/>
      <c r="CWP23" s="84"/>
      <c r="CWQ23" s="84"/>
      <c r="CWR23" s="84"/>
      <c r="CWS23" s="84"/>
      <c r="CWT23" s="84"/>
      <c r="CWU23" s="84"/>
      <c r="CWV23" s="84"/>
      <c r="CWW23" s="84"/>
      <c r="CWX23" s="84"/>
      <c r="CWY23" s="84"/>
      <c r="CWZ23" s="84"/>
      <c r="CXA23" s="84"/>
      <c r="CXB23" s="84"/>
      <c r="CXC23" s="84"/>
      <c r="CXD23" s="84"/>
      <c r="CXE23" s="84"/>
      <c r="CXF23" s="84"/>
      <c r="CXG23" s="84"/>
      <c r="CXH23" s="84"/>
      <c r="CXI23" s="84"/>
      <c r="CXJ23" s="84"/>
      <c r="CXK23" s="84"/>
      <c r="CXL23" s="84"/>
      <c r="CXM23" s="84"/>
      <c r="CXN23" s="84"/>
      <c r="CXO23" s="84"/>
      <c r="CXP23" s="84"/>
      <c r="CXQ23" s="84"/>
      <c r="CXR23" s="84"/>
      <c r="CXS23" s="84"/>
      <c r="CXT23" s="84"/>
      <c r="CXU23" s="84"/>
      <c r="CXV23" s="84"/>
      <c r="CXW23" s="84"/>
      <c r="CXX23" s="84"/>
      <c r="CXY23" s="84"/>
      <c r="CXZ23" s="84"/>
      <c r="CYA23" s="84"/>
      <c r="CYB23" s="84"/>
      <c r="CYC23" s="84"/>
      <c r="CYD23" s="84"/>
      <c r="CYE23" s="84"/>
      <c r="CYF23" s="84"/>
      <c r="CYG23" s="84"/>
      <c r="CYH23" s="84"/>
      <c r="CYI23" s="84"/>
      <c r="CYJ23" s="84"/>
      <c r="CYK23" s="84"/>
      <c r="CYL23" s="84"/>
      <c r="CYM23" s="84"/>
      <c r="CYN23" s="84"/>
      <c r="CYO23" s="84"/>
      <c r="CYP23" s="84"/>
      <c r="CYQ23" s="84"/>
      <c r="CYR23" s="84"/>
      <c r="CYS23" s="84"/>
      <c r="CYT23" s="84"/>
      <c r="CYU23" s="84"/>
      <c r="CYV23" s="84"/>
      <c r="CYW23" s="84"/>
      <c r="CYX23" s="84"/>
      <c r="CYY23" s="84"/>
      <c r="CYZ23" s="84"/>
      <c r="CZA23" s="84"/>
      <c r="CZB23" s="84"/>
      <c r="CZC23" s="84"/>
      <c r="CZD23" s="84"/>
      <c r="CZE23" s="84"/>
      <c r="CZF23" s="84"/>
      <c r="CZG23" s="84"/>
      <c r="CZH23" s="84"/>
      <c r="CZI23" s="84"/>
      <c r="CZJ23" s="84"/>
      <c r="CZK23" s="84"/>
      <c r="CZL23" s="84"/>
      <c r="CZM23" s="84"/>
      <c r="CZN23" s="84"/>
      <c r="CZO23" s="84"/>
      <c r="CZP23" s="84"/>
      <c r="CZQ23" s="84"/>
      <c r="CZR23" s="84"/>
      <c r="CZS23" s="84"/>
      <c r="CZT23" s="84"/>
      <c r="CZU23" s="84"/>
      <c r="CZV23" s="84"/>
      <c r="CZW23" s="84"/>
      <c r="CZX23" s="84"/>
      <c r="CZY23" s="84"/>
      <c r="CZZ23" s="84"/>
      <c r="DAA23" s="84"/>
      <c r="DAB23" s="84"/>
      <c r="DAC23" s="84"/>
      <c r="DAD23" s="84"/>
      <c r="DAE23" s="84"/>
      <c r="DAF23" s="84"/>
      <c r="DAG23" s="84"/>
      <c r="DAH23" s="84"/>
      <c r="DAI23" s="84"/>
      <c r="DAJ23" s="84"/>
      <c r="DAK23" s="84"/>
      <c r="DAL23" s="84"/>
      <c r="DAM23" s="84"/>
      <c r="DAN23" s="84"/>
      <c r="DAO23" s="84"/>
      <c r="DAP23" s="84"/>
      <c r="DAQ23" s="84"/>
      <c r="DAR23" s="84"/>
      <c r="DAS23" s="84"/>
      <c r="DAT23" s="84"/>
      <c r="DAU23" s="84"/>
      <c r="DAV23" s="84"/>
      <c r="DAW23" s="84"/>
      <c r="DAX23" s="84"/>
      <c r="DAY23" s="84"/>
      <c r="DAZ23" s="84"/>
      <c r="DBA23" s="84"/>
      <c r="DBB23" s="84"/>
      <c r="DBC23" s="84"/>
      <c r="DBD23" s="84"/>
      <c r="DBE23" s="84"/>
      <c r="DBF23" s="84"/>
      <c r="DBG23" s="84"/>
      <c r="DBH23" s="84"/>
      <c r="DBI23" s="84"/>
      <c r="DBJ23" s="84"/>
      <c r="DBK23" s="84"/>
      <c r="DBL23" s="84"/>
      <c r="DBM23" s="84"/>
      <c r="DBN23" s="84"/>
      <c r="DBO23" s="84"/>
      <c r="DBP23" s="84"/>
      <c r="DBQ23" s="84"/>
      <c r="DBR23" s="84"/>
      <c r="DBS23" s="84"/>
      <c r="DBT23" s="84"/>
      <c r="DBU23" s="84"/>
      <c r="DBV23" s="84"/>
      <c r="DBW23" s="84"/>
      <c r="DBX23" s="84"/>
      <c r="DBY23" s="84"/>
      <c r="DBZ23" s="84"/>
      <c r="DCA23" s="84"/>
      <c r="DCB23" s="84"/>
      <c r="DCC23" s="84"/>
      <c r="DCD23" s="84"/>
      <c r="DCE23" s="84"/>
      <c r="DCF23" s="84"/>
      <c r="DCG23" s="84"/>
      <c r="DCH23" s="84"/>
      <c r="DCI23" s="84"/>
      <c r="DCJ23" s="84"/>
      <c r="DCK23" s="84"/>
      <c r="DCL23" s="84"/>
      <c r="DCM23" s="84"/>
      <c r="DCN23" s="84"/>
      <c r="DCO23" s="84"/>
      <c r="DCP23" s="84"/>
      <c r="DCQ23" s="84"/>
      <c r="DCR23" s="84"/>
      <c r="DCS23" s="84"/>
      <c r="DCT23" s="84"/>
      <c r="DCU23" s="84"/>
      <c r="DCV23" s="84"/>
      <c r="DCW23" s="84"/>
      <c r="DCX23" s="84"/>
      <c r="DCY23" s="84"/>
      <c r="DCZ23" s="84"/>
      <c r="DDA23" s="84"/>
      <c r="DDB23" s="84"/>
      <c r="DDC23" s="84"/>
      <c r="DDD23" s="84"/>
      <c r="DDE23" s="84"/>
      <c r="DDF23" s="84"/>
      <c r="DDG23" s="84"/>
      <c r="DDH23" s="84"/>
      <c r="DDI23" s="84"/>
      <c r="DDJ23" s="84"/>
      <c r="DDK23" s="84"/>
      <c r="DDL23" s="84"/>
      <c r="DDM23" s="84"/>
      <c r="DDN23" s="84"/>
      <c r="DDO23" s="84"/>
      <c r="DDP23" s="84"/>
      <c r="DDQ23" s="84"/>
      <c r="DDR23" s="84"/>
      <c r="DDS23" s="84"/>
      <c r="DDT23" s="84"/>
      <c r="DDU23" s="84"/>
      <c r="DDV23" s="84"/>
      <c r="DDW23" s="84"/>
      <c r="DDX23" s="84"/>
      <c r="DDY23" s="84"/>
      <c r="DDZ23" s="84"/>
      <c r="DEA23" s="84"/>
      <c r="DEB23" s="84"/>
      <c r="DEC23" s="84"/>
      <c r="DED23" s="84"/>
      <c r="DEE23" s="84"/>
      <c r="DEF23" s="84"/>
      <c r="DEG23" s="84"/>
      <c r="DEH23" s="84"/>
      <c r="DEI23" s="84"/>
      <c r="DEJ23" s="84"/>
      <c r="DEK23" s="84"/>
      <c r="DEL23" s="84"/>
      <c r="DEM23" s="84"/>
      <c r="DEN23" s="84"/>
      <c r="DEO23" s="84"/>
      <c r="DEP23" s="84"/>
      <c r="DEQ23" s="84"/>
      <c r="DER23" s="84"/>
      <c r="DES23" s="84"/>
      <c r="DET23" s="84"/>
      <c r="DEU23" s="84"/>
      <c r="DEV23" s="84"/>
      <c r="DEW23" s="84"/>
      <c r="DEX23" s="84"/>
      <c r="DEY23" s="84"/>
      <c r="DEZ23" s="84"/>
      <c r="DFA23" s="84"/>
      <c r="DFB23" s="84"/>
      <c r="DFC23" s="84"/>
      <c r="DFD23" s="84"/>
      <c r="DFE23" s="84"/>
      <c r="DFF23" s="84"/>
      <c r="DFG23" s="84"/>
      <c r="DFH23" s="84"/>
      <c r="DFI23" s="84"/>
      <c r="DFJ23" s="84"/>
      <c r="DFK23" s="84"/>
      <c r="DFL23" s="84"/>
      <c r="DFM23" s="84"/>
      <c r="DFN23" s="84"/>
      <c r="DFO23" s="84"/>
      <c r="DFP23" s="84"/>
      <c r="DFQ23" s="84"/>
      <c r="DFR23" s="84"/>
      <c r="DFS23" s="84"/>
      <c r="DFT23" s="84"/>
      <c r="DFU23" s="84"/>
      <c r="DFV23" s="84"/>
      <c r="DFW23" s="84"/>
      <c r="DFX23" s="84"/>
      <c r="DFY23" s="84"/>
      <c r="DFZ23" s="84"/>
      <c r="DGA23" s="84"/>
      <c r="DGB23" s="84"/>
      <c r="DGC23" s="84"/>
      <c r="DGD23" s="84"/>
      <c r="DGE23" s="84"/>
      <c r="DGF23" s="84"/>
      <c r="DGG23" s="84"/>
      <c r="DGH23" s="84"/>
      <c r="DGI23" s="84"/>
      <c r="DGJ23" s="84"/>
      <c r="DGK23" s="84"/>
      <c r="DGL23" s="84"/>
      <c r="DGM23" s="84"/>
      <c r="DGN23" s="84"/>
      <c r="DGO23" s="84"/>
      <c r="DGP23" s="84"/>
      <c r="DGQ23" s="84"/>
      <c r="DGR23" s="84"/>
      <c r="DGS23" s="84"/>
      <c r="DGT23" s="84"/>
      <c r="DGU23" s="84"/>
      <c r="DGV23" s="84"/>
      <c r="DGW23" s="84"/>
      <c r="DGX23" s="84"/>
      <c r="DGY23" s="84"/>
      <c r="DGZ23" s="84"/>
      <c r="DHA23" s="84"/>
      <c r="DHB23" s="84"/>
      <c r="DHC23" s="84"/>
      <c r="DHD23" s="84"/>
      <c r="DHE23" s="84"/>
      <c r="DHF23" s="84"/>
      <c r="DHG23" s="84"/>
      <c r="DHH23" s="84"/>
      <c r="DHI23" s="84"/>
      <c r="DHJ23" s="84"/>
      <c r="DHK23" s="84"/>
      <c r="DHL23" s="84"/>
      <c r="DHM23" s="84"/>
      <c r="DHN23" s="84"/>
      <c r="DHO23" s="84"/>
      <c r="DHP23" s="84"/>
      <c r="DHQ23" s="84"/>
      <c r="DHR23" s="84"/>
      <c r="DHS23" s="84"/>
      <c r="DHT23" s="84"/>
      <c r="DHU23" s="84"/>
      <c r="DHV23" s="84"/>
      <c r="DHW23" s="84"/>
      <c r="DHX23" s="84"/>
      <c r="DHY23" s="84"/>
      <c r="DHZ23" s="84"/>
      <c r="DIA23" s="84"/>
      <c r="DIB23" s="84"/>
      <c r="DIC23" s="84"/>
      <c r="DID23" s="84"/>
      <c r="DIE23" s="84"/>
      <c r="DIF23" s="84"/>
      <c r="DIG23" s="84"/>
      <c r="DIH23" s="84"/>
      <c r="DII23" s="84"/>
      <c r="DIJ23" s="84"/>
      <c r="DIK23" s="84"/>
      <c r="DIL23" s="84"/>
      <c r="DIM23" s="84"/>
      <c r="DIN23" s="84"/>
      <c r="DIO23" s="84"/>
      <c r="DIP23" s="84"/>
      <c r="DIQ23" s="84"/>
      <c r="DIR23" s="84"/>
      <c r="DIS23" s="84"/>
      <c r="DIT23" s="84"/>
      <c r="DIU23" s="84"/>
      <c r="DIV23" s="84"/>
      <c r="DIW23" s="84"/>
      <c r="DIX23" s="84"/>
      <c r="DIY23" s="84"/>
      <c r="DIZ23" s="84"/>
      <c r="DJA23" s="84"/>
      <c r="DJB23" s="84"/>
      <c r="DJC23" s="84"/>
      <c r="DJD23" s="84"/>
      <c r="DJE23" s="84"/>
      <c r="DJF23" s="84"/>
      <c r="DJG23" s="84"/>
      <c r="DJH23" s="84"/>
      <c r="DJI23" s="84"/>
      <c r="DJJ23" s="84"/>
      <c r="DJK23" s="84"/>
      <c r="DJL23" s="84"/>
      <c r="DJM23" s="84"/>
      <c r="DJN23" s="84"/>
      <c r="DJO23" s="84"/>
      <c r="DJP23" s="84"/>
      <c r="DJQ23" s="84"/>
      <c r="DJR23" s="84"/>
      <c r="DJS23" s="84"/>
      <c r="DJT23" s="84"/>
      <c r="DJU23" s="84"/>
      <c r="DJV23" s="84"/>
      <c r="DJW23" s="84"/>
      <c r="DJX23" s="84"/>
      <c r="DJY23" s="84"/>
      <c r="DJZ23" s="84"/>
      <c r="DKA23" s="84"/>
      <c r="DKB23" s="84"/>
      <c r="DKC23" s="84"/>
      <c r="DKD23" s="84"/>
      <c r="DKE23" s="84"/>
      <c r="DKF23" s="84"/>
      <c r="DKG23" s="84"/>
      <c r="DKH23" s="84"/>
      <c r="DKI23" s="84"/>
      <c r="DKJ23" s="84"/>
      <c r="DKK23" s="84"/>
      <c r="DKL23" s="84"/>
      <c r="DKM23" s="84"/>
      <c r="DKN23" s="84"/>
      <c r="DKO23" s="84"/>
      <c r="DKP23" s="84"/>
      <c r="DKQ23" s="84"/>
      <c r="DKR23" s="84"/>
      <c r="DKS23" s="84"/>
      <c r="DKT23" s="84"/>
      <c r="DKU23" s="84"/>
      <c r="DKV23" s="84"/>
      <c r="DKW23" s="84"/>
      <c r="DKX23" s="84"/>
      <c r="DKY23" s="84"/>
      <c r="DKZ23" s="84"/>
      <c r="DLA23" s="84"/>
      <c r="DLB23" s="84"/>
      <c r="DLC23" s="84"/>
      <c r="DLD23" s="84"/>
      <c r="DLE23" s="84"/>
      <c r="DLF23" s="84"/>
      <c r="DLG23" s="84"/>
      <c r="DLH23" s="84"/>
      <c r="DLI23" s="84"/>
      <c r="DLJ23" s="84"/>
      <c r="DLK23" s="84"/>
      <c r="DLL23" s="84"/>
      <c r="DLM23" s="84"/>
      <c r="DLN23" s="84"/>
      <c r="DLO23" s="84"/>
      <c r="DLP23" s="84"/>
      <c r="DLQ23" s="84"/>
      <c r="DLR23" s="84"/>
      <c r="DLS23" s="84"/>
      <c r="DLT23" s="84"/>
      <c r="DLU23" s="84"/>
      <c r="DLV23" s="84"/>
      <c r="DLW23" s="84"/>
      <c r="DLX23" s="84"/>
      <c r="DLY23" s="84"/>
      <c r="DLZ23" s="84"/>
      <c r="DMA23" s="84"/>
      <c r="DMB23" s="84"/>
      <c r="DMC23" s="84"/>
      <c r="DMD23" s="84"/>
      <c r="DME23" s="84"/>
      <c r="DMF23" s="84"/>
      <c r="DMG23" s="84"/>
      <c r="DMH23" s="84"/>
      <c r="DMI23" s="84"/>
      <c r="DMJ23" s="84"/>
      <c r="DMK23" s="84"/>
      <c r="DML23" s="84"/>
      <c r="DMM23" s="84"/>
      <c r="DMN23" s="84"/>
      <c r="DMO23" s="84"/>
      <c r="DMP23" s="84"/>
      <c r="DMQ23" s="84"/>
      <c r="DMR23" s="84"/>
      <c r="DMS23" s="84"/>
      <c r="DMT23" s="84"/>
      <c r="DMU23" s="84"/>
      <c r="DMV23" s="84"/>
      <c r="DMW23" s="84"/>
      <c r="DMX23" s="84"/>
      <c r="DMY23" s="84"/>
      <c r="DMZ23" s="84"/>
      <c r="DNA23" s="84"/>
      <c r="DNB23" s="84"/>
      <c r="DNC23" s="84"/>
      <c r="DND23" s="84"/>
      <c r="DNE23" s="84"/>
      <c r="DNF23" s="84"/>
      <c r="DNG23" s="84"/>
      <c r="DNH23" s="84"/>
      <c r="DNI23" s="84"/>
      <c r="DNJ23" s="84"/>
      <c r="DNK23" s="84"/>
      <c r="DNL23" s="84"/>
      <c r="DNM23" s="84"/>
      <c r="DNN23" s="84"/>
      <c r="DNO23" s="84"/>
      <c r="DNP23" s="84"/>
      <c r="DNQ23" s="84"/>
      <c r="DNR23" s="84"/>
      <c r="DNS23" s="84"/>
      <c r="DNT23" s="84"/>
      <c r="DNU23" s="84"/>
      <c r="DNV23" s="84"/>
      <c r="DNW23" s="84"/>
      <c r="DNX23" s="84"/>
      <c r="DNY23" s="84"/>
      <c r="DNZ23" s="84"/>
      <c r="DOA23" s="84"/>
      <c r="DOB23" s="84"/>
      <c r="DOC23" s="84"/>
      <c r="DOD23" s="84"/>
      <c r="DOE23" s="84"/>
      <c r="DOF23" s="84"/>
      <c r="DOG23" s="84"/>
      <c r="DOH23" s="84"/>
      <c r="DOI23" s="84"/>
      <c r="DOJ23" s="84"/>
      <c r="DOK23" s="84"/>
      <c r="DOL23" s="84"/>
      <c r="DOM23" s="84"/>
      <c r="DON23" s="84"/>
      <c r="DOO23" s="84"/>
      <c r="DOP23" s="84"/>
      <c r="DOQ23" s="84"/>
      <c r="DOR23" s="84"/>
      <c r="DOS23" s="84"/>
      <c r="DOT23" s="84"/>
      <c r="DOU23" s="84"/>
      <c r="DOV23" s="84"/>
      <c r="DOW23" s="84"/>
      <c r="DOX23" s="84"/>
      <c r="DOY23" s="84"/>
      <c r="DOZ23" s="84"/>
      <c r="DPA23" s="84"/>
      <c r="DPB23" s="84"/>
      <c r="DPC23" s="84"/>
      <c r="DPD23" s="84"/>
      <c r="DPE23" s="84"/>
      <c r="DPF23" s="84"/>
      <c r="DPG23" s="84"/>
      <c r="DPH23" s="84"/>
      <c r="DPI23" s="84"/>
      <c r="DPJ23" s="84"/>
      <c r="DPK23" s="84"/>
      <c r="DPL23" s="84"/>
      <c r="DPM23" s="84"/>
      <c r="DPN23" s="84"/>
      <c r="DPO23" s="84"/>
      <c r="DPP23" s="84"/>
      <c r="DPQ23" s="84"/>
      <c r="DPR23" s="84"/>
      <c r="DPS23" s="84"/>
      <c r="DPT23" s="84"/>
      <c r="DPU23" s="84"/>
      <c r="DPV23" s="84"/>
      <c r="DPW23" s="84"/>
      <c r="DPX23" s="84"/>
      <c r="DPY23" s="84"/>
      <c r="DPZ23" s="84"/>
      <c r="DQA23" s="84"/>
      <c r="DQB23" s="84"/>
      <c r="DQC23" s="84"/>
      <c r="DQD23" s="84"/>
      <c r="DQE23" s="84"/>
      <c r="DQF23" s="84"/>
      <c r="DQG23" s="84"/>
      <c r="DQH23" s="84"/>
      <c r="DQI23" s="84"/>
      <c r="DQJ23" s="84"/>
      <c r="DQK23" s="84"/>
      <c r="DQL23" s="84"/>
      <c r="DQM23" s="84"/>
      <c r="DQN23" s="84"/>
      <c r="DQO23" s="84"/>
      <c r="DQP23" s="84"/>
      <c r="DQQ23" s="84"/>
      <c r="DQR23" s="84"/>
      <c r="DQS23" s="84"/>
      <c r="DQT23" s="84"/>
      <c r="DQU23" s="84"/>
      <c r="DQV23" s="84"/>
      <c r="DQW23" s="84"/>
      <c r="DQX23" s="84"/>
      <c r="DQY23" s="84"/>
      <c r="DQZ23" s="84"/>
      <c r="DRA23" s="84"/>
      <c r="DRB23" s="84"/>
      <c r="DRC23" s="84"/>
      <c r="DRD23" s="84"/>
      <c r="DRE23" s="84"/>
      <c r="DRF23" s="84"/>
      <c r="DRG23" s="84"/>
      <c r="DRH23" s="84"/>
      <c r="DRI23" s="84"/>
      <c r="DRJ23" s="84"/>
      <c r="DRK23" s="84"/>
      <c r="DRL23" s="84"/>
      <c r="DRM23" s="84"/>
      <c r="DRN23" s="84"/>
      <c r="DRO23" s="84"/>
      <c r="DRP23" s="84"/>
      <c r="DRQ23" s="84"/>
      <c r="DRR23" s="84"/>
      <c r="DRS23" s="84"/>
      <c r="DRT23" s="84"/>
      <c r="DRU23" s="84"/>
      <c r="DRV23" s="84"/>
      <c r="DRW23" s="84"/>
      <c r="DRX23" s="84"/>
      <c r="DRY23" s="84"/>
      <c r="DRZ23" s="84"/>
      <c r="DSA23" s="84"/>
      <c r="DSB23" s="84"/>
      <c r="DSC23" s="84"/>
      <c r="DSD23" s="84"/>
      <c r="DSE23" s="84"/>
      <c r="DSF23" s="84"/>
      <c r="DSG23" s="84"/>
      <c r="DSH23" s="84"/>
      <c r="DSI23" s="84"/>
      <c r="DSJ23" s="84"/>
      <c r="DSK23" s="84"/>
      <c r="DSL23" s="84"/>
      <c r="DSM23" s="84"/>
      <c r="DSN23" s="84"/>
      <c r="DSO23" s="84"/>
      <c r="DSP23" s="84"/>
      <c r="DSQ23" s="84"/>
      <c r="DSR23" s="84"/>
      <c r="DSS23" s="84"/>
      <c r="DST23" s="84"/>
      <c r="DSU23" s="84"/>
      <c r="DSV23" s="84"/>
      <c r="DSW23" s="84"/>
      <c r="DSX23" s="84"/>
      <c r="DSY23" s="84"/>
      <c r="DSZ23" s="84"/>
      <c r="DTA23" s="84"/>
      <c r="DTB23" s="84"/>
      <c r="DTC23" s="84"/>
      <c r="DTD23" s="84"/>
      <c r="DTE23" s="84"/>
      <c r="DTF23" s="84"/>
      <c r="DTG23" s="84"/>
      <c r="DTH23" s="84"/>
      <c r="DTI23" s="84"/>
      <c r="DTJ23" s="84"/>
      <c r="DTK23" s="84"/>
      <c r="DTL23" s="84"/>
      <c r="DTM23" s="84"/>
      <c r="DTN23" s="84"/>
      <c r="DTO23" s="84"/>
      <c r="DTP23" s="84"/>
      <c r="DTQ23" s="84"/>
      <c r="DTR23" s="84"/>
      <c r="DTS23" s="84"/>
      <c r="DTT23" s="84"/>
      <c r="DTU23" s="84"/>
      <c r="DTV23" s="84"/>
      <c r="DTW23" s="84"/>
      <c r="DTX23" s="84"/>
      <c r="DTY23" s="84"/>
      <c r="DTZ23" s="84"/>
      <c r="DUA23" s="84"/>
      <c r="DUB23" s="84"/>
      <c r="DUC23" s="84"/>
      <c r="DUD23" s="84"/>
      <c r="DUE23" s="84"/>
      <c r="DUF23" s="84"/>
      <c r="DUG23" s="84"/>
      <c r="DUH23" s="84"/>
      <c r="DUI23" s="84"/>
      <c r="DUJ23" s="84"/>
      <c r="DUK23" s="84"/>
      <c r="DUL23" s="84"/>
      <c r="DUM23" s="84"/>
      <c r="DUN23" s="84"/>
      <c r="DUO23" s="84"/>
      <c r="DUP23" s="84"/>
      <c r="DUQ23" s="84"/>
      <c r="DUR23" s="84"/>
      <c r="DUS23" s="84"/>
      <c r="DUT23" s="84"/>
      <c r="DUU23" s="84"/>
      <c r="DUV23" s="84"/>
      <c r="DUW23" s="84"/>
      <c r="DUX23" s="84"/>
      <c r="DUY23" s="84"/>
      <c r="DUZ23" s="84"/>
      <c r="DVA23" s="84"/>
      <c r="DVB23" s="84"/>
      <c r="DVC23" s="84"/>
      <c r="DVD23" s="84"/>
      <c r="DVE23" s="84"/>
      <c r="DVF23" s="84"/>
      <c r="DVG23" s="84"/>
      <c r="DVH23" s="84"/>
      <c r="DVI23" s="84"/>
      <c r="DVJ23" s="84"/>
      <c r="DVK23" s="84"/>
      <c r="DVL23" s="84"/>
      <c r="DVM23" s="84"/>
      <c r="DVN23" s="84"/>
      <c r="DVO23" s="84"/>
      <c r="DVP23" s="84"/>
      <c r="DVQ23" s="84"/>
      <c r="DVR23" s="84"/>
      <c r="DVS23" s="84"/>
      <c r="DVT23" s="84"/>
      <c r="DVU23" s="84"/>
      <c r="DVV23" s="84"/>
      <c r="DVW23" s="84"/>
      <c r="DVX23" s="84"/>
      <c r="DVY23" s="84"/>
      <c r="DVZ23" s="84"/>
      <c r="DWA23" s="84"/>
      <c r="DWB23" s="84"/>
      <c r="DWC23" s="84"/>
      <c r="DWD23" s="84"/>
      <c r="DWE23" s="84"/>
      <c r="DWF23" s="84"/>
      <c r="DWG23" s="84"/>
      <c r="DWH23" s="84"/>
      <c r="DWI23" s="84"/>
      <c r="DWJ23" s="84"/>
      <c r="DWK23" s="84"/>
      <c r="DWL23" s="84"/>
      <c r="DWM23" s="84"/>
      <c r="DWN23" s="84"/>
      <c r="DWO23" s="84"/>
      <c r="DWP23" s="84"/>
      <c r="DWQ23" s="84"/>
      <c r="DWR23" s="84"/>
      <c r="DWS23" s="84"/>
      <c r="DWT23" s="84"/>
      <c r="DWU23" s="84"/>
      <c r="DWV23" s="84"/>
      <c r="DWW23" s="84"/>
      <c r="DWX23" s="84"/>
      <c r="DWY23" s="84"/>
      <c r="DWZ23" s="84"/>
      <c r="DXA23" s="84"/>
      <c r="DXB23" s="84"/>
      <c r="DXC23" s="84"/>
      <c r="DXD23" s="84"/>
      <c r="DXE23" s="84"/>
      <c r="DXF23" s="84"/>
      <c r="DXG23" s="84"/>
      <c r="DXH23" s="84"/>
      <c r="DXI23" s="84"/>
      <c r="DXJ23" s="84"/>
      <c r="DXK23" s="84"/>
      <c r="DXL23" s="84"/>
      <c r="DXM23" s="84"/>
      <c r="DXN23" s="84"/>
      <c r="DXO23" s="84"/>
      <c r="DXP23" s="84"/>
      <c r="DXQ23" s="84"/>
      <c r="DXR23" s="84"/>
      <c r="DXS23" s="84"/>
      <c r="DXT23" s="84"/>
      <c r="DXU23" s="84"/>
      <c r="DXV23" s="84"/>
      <c r="DXW23" s="84"/>
      <c r="DXX23" s="84"/>
      <c r="DXY23" s="84"/>
      <c r="DXZ23" s="84"/>
      <c r="DYA23" s="84"/>
      <c r="DYB23" s="84"/>
      <c r="DYC23" s="84"/>
      <c r="DYD23" s="84"/>
      <c r="DYE23" s="84"/>
      <c r="DYF23" s="84"/>
      <c r="DYG23" s="84"/>
      <c r="DYH23" s="84"/>
      <c r="DYI23" s="84"/>
      <c r="DYJ23" s="84"/>
      <c r="DYK23" s="84"/>
      <c r="DYL23" s="84"/>
      <c r="DYM23" s="84"/>
      <c r="DYN23" s="84"/>
      <c r="DYO23" s="84"/>
      <c r="DYP23" s="84"/>
      <c r="DYQ23" s="84"/>
      <c r="DYR23" s="84"/>
      <c r="DYS23" s="84"/>
      <c r="DYT23" s="84"/>
      <c r="DYU23" s="84"/>
      <c r="DYV23" s="84"/>
      <c r="DYW23" s="84"/>
      <c r="DYX23" s="84"/>
      <c r="DYY23" s="84"/>
      <c r="DYZ23" s="84"/>
      <c r="DZA23" s="84"/>
      <c r="DZB23" s="84"/>
      <c r="DZC23" s="84"/>
      <c r="DZD23" s="84"/>
      <c r="DZE23" s="84"/>
      <c r="DZF23" s="84"/>
      <c r="DZG23" s="84"/>
      <c r="DZH23" s="84"/>
      <c r="DZI23" s="84"/>
      <c r="DZJ23" s="84"/>
      <c r="DZK23" s="84"/>
      <c r="DZL23" s="84"/>
      <c r="DZM23" s="84"/>
      <c r="DZN23" s="84"/>
      <c r="DZO23" s="84"/>
      <c r="DZP23" s="84"/>
      <c r="DZQ23" s="84"/>
      <c r="DZR23" s="84"/>
      <c r="DZS23" s="84"/>
      <c r="DZT23" s="84"/>
      <c r="DZU23" s="84"/>
      <c r="DZV23" s="84"/>
      <c r="DZW23" s="84"/>
      <c r="DZX23" s="84"/>
      <c r="DZY23" s="84"/>
      <c r="DZZ23" s="84"/>
      <c r="EAA23" s="84"/>
      <c r="EAB23" s="84"/>
      <c r="EAC23" s="84"/>
      <c r="EAD23" s="84"/>
      <c r="EAE23" s="84"/>
      <c r="EAF23" s="84"/>
      <c r="EAG23" s="84"/>
      <c r="EAH23" s="84"/>
      <c r="EAI23" s="84"/>
      <c r="EAJ23" s="84"/>
      <c r="EAK23" s="84"/>
      <c r="EAL23" s="84"/>
      <c r="EAM23" s="84"/>
      <c r="EAN23" s="84"/>
      <c r="EAO23" s="84"/>
      <c r="EAP23" s="84"/>
      <c r="EAQ23" s="84"/>
      <c r="EAR23" s="84"/>
      <c r="EAS23" s="84"/>
      <c r="EAT23" s="84"/>
      <c r="EAU23" s="84"/>
      <c r="EAV23" s="84"/>
      <c r="EAW23" s="84"/>
      <c r="EAX23" s="84"/>
      <c r="EAY23" s="84"/>
      <c r="EAZ23" s="84"/>
      <c r="EBA23" s="84"/>
      <c r="EBB23" s="84"/>
      <c r="EBC23" s="84"/>
      <c r="EBD23" s="84"/>
      <c r="EBE23" s="84"/>
      <c r="EBF23" s="84"/>
      <c r="EBG23" s="84"/>
      <c r="EBH23" s="84"/>
      <c r="EBI23" s="84"/>
      <c r="EBJ23" s="84"/>
      <c r="EBK23" s="84"/>
      <c r="EBL23" s="84"/>
      <c r="EBM23" s="84"/>
      <c r="EBN23" s="84"/>
      <c r="EBO23" s="84"/>
      <c r="EBP23" s="84"/>
      <c r="EBQ23" s="84"/>
      <c r="EBR23" s="84"/>
      <c r="EBS23" s="84"/>
      <c r="EBT23" s="84"/>
      <c r="EBU23" s="84"/>
      <c r="EBV23" s="84"/>
      <c r="EBW23" s="84"/>
      <c r="EBX23" s="84"/>
      <c r="EBY23" s="84"/>
      <c r="EBZ23" s="84"/>
      <c r="ECA23" s="84"/>
      <c r="ECB23" s="84"/>
      <c r="ECC23" s="84"/>
      <c r="ECD23" s="84"/>
      <c r="ECE23" s="84"/>
      <c r="ECF23" s="84"/>
      <c r="ECG23" s="84"/>
      <c r="ECH23" s="84"/>
      <c r="ECI23" s="84"/>
      <c r="ECJ23" s="84"/>
      <c r="ECK23" s="84"/>
      <c r="ECL23" s="84"/>
      <c r="ECM23" s="84"/>
      <c r="ECN23" s="84"/>
      <c r="ECO23" s="84"/>
      <c r="ECP23" s="84"/>
      <c r="ECQ23" s="84"/>
      <c r="ECR23" s="84"/>
      <c r="ECS23" s="84"/>
      <c r="ECT23" s="84"/>
      <c r="ECU23" s="84"/>
      <c r="ECV23" s="84"/>
      <c r="ECW23" s="84"/>
      <c r="ECX23" s="84"/>
      <c r="ECY23" s="84"/>
      <c r="ECZ23" s="84"/>
      <c r="EDA23" s="84"/>
      <c r="EDB23" s="84"/>
      <c r="EDC23" s="84"/>
      <c r="EDD23" s="84"/>
      <c r="EDE23" s="84"/>
      <c r="EDF23" s="84"/>
      <c r="EDG23" s="84"/>
      <c r="EDH23" s="84"/>
      <c r="EDI23" s="84"/>
      <c r="EDJ23" s="84"/>
      <c r="EDK23" s="84"/>
      <c r="EDL23" s="84"/>
      <c r="EDM23" s="84"/>
      <c r="EDN23" s="84"/>
      <c r="EDO23" s="84"/>
      <c r="EDP23" s="84"/>
      <c r="EDQ23" s="84"/>
      <c r="EDR23" s="84"/>
      <c r="EDS23" s="84"/>
      <c r="EDT23" s="84"/>
      <c r="EDU23" s="84"/>
      <c r="EDV23" s="84"/>
      <c r="EDW23" s="84"/>
      <c r="EDX23" s="84"/>
      <c r="EDY23" s="84"/>
      <c r="EDZ23" s="84"/>
      <c r="EEA23" s="84"/>
      <c r="EEB23" s="84"/>
      <c r="EEC23" s="84"/>
      <c r="EED23" s="84"/>
      <c r="EEE23" s="84"/>
      <c r="EEF23" s="84"/>
      <c r="EEG23" s="84"/>
      <c r="EEH23" s="84"/>
      <c r="EEI23" s="84"/>
      <c r="EEJ23" s="84"/>
      <c r="EEK23" s="84"/>
      <c r="EEL23" s="84"/>
      <c r="EEM23" s="84"/>
      <c r="EEN23" s="84"/>
      <c r="EEO23" s="84"/>
      <c r="EEP23" s="84"/>
      <c r="EEQ23" s="84"/>
      <c r="EER23" s="84"/>
      <c r="EES23" s="84"/>
      <c r="EET23" s="84"/>
      <c r="EEU23" s="84"/>
      <c r="EEV23" s="84"/>
      <c r="EEW23" s="84"/>
      <c r="EEX23" s="84"/>
      <c r="EEY23" s="84"/>
      <c r="EEZ23" s="84"/>
      <c r="EFA23" s="84"/>
      <c r="EFB23" s="84"/>
      <c r="EFC23" s="84"/>
      <c r="EFD23" s="84"/>
      <c r="EFE23" s="84"/>
      <c r="EFF23" s="84"/>
      <c r="EFG23" s="84"/>
      <c r="EFH23" s="84"/>
      <c r="EFI23" s="84"/>
      <c r="EFJ23" s="84"/>
      <c r="EFK23" s="84"/>
      <c r="EFL23" s="84"/>
      <c r="EFM23" s="84"/>
      <c r="EFN23" s="84"/>
      <c r="EFO23" s="84"/>
      <c r="EFP23" s="84"/>
      <c r="EFQ23" s="84"/>
      <c r="EFR23" s="84"/>
      <c r="EFS23" s="84"/>
      <c r="EFT23" s="84"/>
      <c r="EFU23" s="84"/>
      <c r="EFV23" s="84"/>
      <c r="EFW23" s="84"/>
      <c r="EFX23" s="84"/>
      <c r="EFY23" s="84"/>
      <c r="EFZ23" s="84"/>
      <c r="EGA23" s="84"/>
      <c r="EGB23" s="84"/>
      <c r="EGC23" s="84"/>
      <c r="EGD23" s="84"/>
      <c r="EGE23" s="84"/>
      <c r="EGF23" s="84"/>
      <c r="EGG23" s="84"/>
      <c r="EGH23" s="84"/>
      <c r="EGI23" s="84"/>
      <c r="EGJ23" s="84"/>
      <c r="EGK23" s="84"/>
      <c r="EGL23" s="84"/>
      <c r="EGM23" s="84"/>
      <c r="EGN23" s="84"/>
      <c r="EGO23" s="84"/>
      <c r="EGP23" s="84"/>
      <c r="EGQ23" s="84"/>
      <c r="EGR23" s="84"/>
      <c r="EGS23" s="84"/>
      <c r="EGT23" s="84"/>
      <c r="EGU23" s="84"/>
      <c r="EGV23" s="84"/>
      <c r="EGW23" s="84"/>
      <c r="EGX23" s="84"/>
      <c r="EGY23" s="84"/>
      <c r="EGZ23" s="84"/>
      <c r="EHA23" s="84"/>
      <c r="EHB23" s="84"/>
      <c r="EHC23" s="84"/>
      <c r="EHD23" s="84"/>
      <c r="EHE23" s="84"/>
      <c r="EHF23" s="84"/>
      <c r="EHG23" s="84"/>
      <c r="EHH23" s="84"/>
      <c r="EHI23" s="84"/>
      <c r="EHJ23" s="84"/>
      <c r="EHK23" s="84"/>
      <c r="EHL23" s="84"/>
      <c r="EHM23" s="84"/>
      <c r="EHN23" s="84"/>
      <c r="EHO23" s="84"/>
      <c r="EHP23" s="84"/>
      <c r="EHQ23" s="84"/>
      <c r="EHR23" s="84"/>
      <c r="EHS23" s="84"/>
      <c r="EHT23" s="84"/>
      <c r="EHU23" s="84"/>
      <c r="EHV23" s="84"/>
      <c r="EHW23" s="84"/>
      <c r="EHX23" s="84"/>
      <c r="EHY23" s="84"/>
      <c r="EHZ23" s="84"/>
      <c r="EIA23" s="84"/>
      <c r="EIB23" s="84"/>
      <c r="EIC23" s="84"/>
      <c r="EID23" s="84"/>
      <c r="EIE23" s="84"/>
      <c r="EIF23" s="84"/>
      <c r="EIG23" s="84"/>
      <c r="EIH23" s="84"/>
      <c r="EII23" s="84"/>
      <c r="EIJ23" s="84"/>
      <c r="EIK23" s="84"/>
      <c r="EIL23" s="84"/>
      <c r="EIM23" s="84"/>
      <c r="EIN23" s="84"/>
      <c r="EIO23" s="84"/>
      <c r="EIP23" s="84"/>
      <c r="EIQ23" s="84"/>
      <c r="EIR23" s="84"/>
      <c r="EIS23" s="84"/>
      <c r="EIT23" s="84"/>
      <c r="EIU23" s="84"/>
      <c r="EIV23" s="84"/>
      <c r="EIW23" s="84"/>
      <c r="EIX23" s="84"/>
      <c r="EIY23" s="84"/>
      <c r="EIZ23" s="84"/>
      <c r="EJA23" s="84"/>
      <c r="EJB23" s="84"/>
      <c r="EJC23" s="84"/>
      <c r="EJD23" s="84"/>
      <c r="EJE23" s="84"/>
      <c r="EJF23" s="84"/>
      <c r="EJG23" s="84"/>
      <c r="EJH23" s="84"/>
      <c r="EJI23" s="84"/>
      <c r="EJJ23" s="84"/>
      <c r="EJK23" s="84"/>
      <c r="EJL23" s="84"/>
      <c r="EJM23" s="84"/>
      <c r="EJN23" s="84"/>
      <c r="EJO23" s="84"/>
      <c r="EJP23" s="84"/>
      <c r="EJQ23" s="84"/>
      <c r="EJR23" s="84"/>
      <c r="EJS23" s="84"/>
      <c r="EJT23" s="84"/>
      <c r="EJU23" s="84"/>
      <c r="EJV23" s="84"/>
      <c r="EJW23" s="84"/>
      <c r="EJX23" s="84"/>
      <c r="EJY23" s="84"/>
      <c r="EJZ23" s="84"/>
      <c r="EKA23" s="84"/>
      <c r="EKB23" s="84"/>
      <c r="EKC23" s="84"/>
      <c r="EKD23" s="84"/>
      <c r="EKE23" s="84"/>
      <c r="EKF23" s="84"/>
      <c r="EKG23" s="84"/>
      <c r="EKH23" s="84"/>
      <c r="EKI23" s="84"/>
      <c r="EKJ23" s="84"/>
      <c r="EKK23" s="84"/>
      <c r="EKL23" s="84"/>
      <c r="EKM23" s="84"/>
      <c r="EKN23" s="84"/>
      <c r="EKO23" s="84"/>
      <c r="EKP23" s="84"/>
      <c r="EKQ23" s="84"/>
      <c r="EKR23" s="84"/>
      <c r="EKS23" s="84"/>
      <c r="EKT23" s="84"/>
      <c r="EKU23" s="84"/>
      <c r="EKV23" s="84"/>
      <c r="EKW23" s="84"/>
      <c r="EKX23" s="84"/>
      <c r="EKY23" s="84"/>
      <c r="EKZ23" s="84"/>
      <c r="ELA23" s="84"/>
      <c r="ELB23" s="84"/>
      <c r="ELC23" s="84"/>
      <c r="ELD23" s="84"/>
      <c r="ELE23" s="84"/>
      <c r="ELF23" s="84"/>
      <c r="ELG23" s="84"/>
      <c r="ELH23" s="84"/>
      <c r="ELI23" s="84"/>
      <c r="ELJ23" s="84"/>
      <c r="ELK23" s="84"/>
      <c r="ELL23" s="84"/>
      <c r="ELM23" s="84"/>
      <c r="ELN23" s="84"/>
      <c r="ELO23" s="84"/>
      <c r="ELP23" s="84"/>
      <c r="ELQ23" s="84"/>
      <c r="ELR23" s="84"/>
      <c r="ELS23" s="84"/>
      <c r="ELT23" s="84"/>
      <c r="ELU23" s="84"/>
      <c r="ELV23" s="84"/>
      <c r="ELW23" s="84"/>
      <c r="ELX23" s="84"/>
      <c r="ELY23" s="84"/>
      <c r="ELZ23" s="84"/>
      <c r="EMA23" s="84"/>
      <c r="EMB23" s="84"/>
      <c r="EMC23" s="84"/>
      <c r="EMD23" s="84"/>
      <c r="EME23" s="84"/>
      <c r="EMF23" s="84"/>
      <c r="EMG23" s="84"/>
      <c r="EMH23" s="84"/>
      <c r="EMI23" s="84"/>
      <c r="EMJ23" s="84"/>
      <c r="EMK23" s="84"/>
      <c r="EML23" s="84"/>
      <c r="EMM23" s="84"/>
      <c r="EMN23" s="84"/>
      <c r="EMO23" s="84"/>
      <c r="EMP23" s="84"/>
      <c r="EMQ23" s="84"/>
      <c r="EMR23" s="84"/>
      <c r="EMS23" s="84"/>
      <c r="EMT23" s="84"/>
      <c r="EMU23" s="84"/>
      <c r="EMV23" s="84"/>
      <c r="EMW23" s="84"/>
      <c r="EMX23" s="84"/>
      <c r="EMY23" s="84"/>
      <c r="EMZ23" s="84"/>
      <c r="ENA23" s="84"/>
      <c r="ENB23" s="84"/>
      <c r="ENC23" s="84"/>
      <c r="END23" s="84"/>
      <c r="ENE23" s="84"/>
      <c r="ENF23" s="84"/>
      <c r="ENG23" s="84"/>
      <c r="ENH23" s="84"/>
      <c r="ENI23" s="84"/>
      <c r="ENJ23" s="84"/>
      <c r="ENK23" s="84"/>
      <c r="ENL23" s="84"/>
      <c r="ENM23" s="84"/>
      <c r="ENN23" s="84"/>
      <c r="ENO23" s="84"/>
      <c r="ENP23" s="84"/>
      <c r="ENQ23" s="84"/>
      <c r="ENR23" s="84"/>
      <c r="ENS23" s="84"/>
      <c r="ENT23" s="84"/>
      <c r="ENU23" s="84"/>
      <c r="ENV23" s="84"/>
      <c r="ENW23" s="84"/>
      <c r="ENX23" s="84"/>
      <c r="ENY23" s="84"/>
      <c r="ENZ23" s="84"/>
      <c r="EOA23" s="84"/>
      <c r="EOB23" s="84"/>
      <c r="EOC23" s="84"/>
      <c r="EOD23" s="84"/>
      <c r="EOE23" s="84"/>
      <c r="EOF23" s="84"/>
      <c r="EOG23" s="84"/>
      <c r="EOH23" s="84"/>
      <c r="EOI23" s="84"/>
      <c r="EOJ23" s="84"/>
      <c r="EOK23" s="84"/>
      <c r="EOL23" s="84"/>
      <c r="EOM23" s="84"/>
      <c r="EON23" s="84"/>
      <c r="EOO23" s="84"/>
      <c r="EOP23" s="84"/>
      <c r="EOQ23" s="84"/>
      <c r="EOR23" s="84"/>
      <c r="EOS23" s="84"/>
      <c r="EOT23" s="84"/>
      <c r="EOU23" s="84"/>
      <c r="EOV23" s="84"/>
      <c r="EOW23" s="84"/>
      <c r="EOX23" s="84"/>
      <c r="EOY23" s="84"/>
      <c r="EOZ23" s="84"/>
      <c r="EPA23" s="84"/>
      <c r="EPB23" s="84"/>
      <c r="EPC23" s="84"/>
      <c r="EPD23" s="84"/>
      <c r="EPE23" s="84"/>
      <c r="EPF23" s="84"/>
      <c r="EPG23" s="84"/>
      <c r="EPH23" s="84"/>
      <c r="EPI23" s="84"/>
      <c r="EPJ23" s="84"/>
      <c r="EPK23" s="84"/>
      <c r="EPL23" s="84"/>
      <c r="EPM23" s="84"/>
      <c r="EPN23" s="84"/>
      <c r="EPO23" s="84"/>
      <c r="EPP23" s="84"/>
      <c r="EPQ23" s="84"/>
      <c r="EPR23" s="84"/>
      <c r="EPS23" s="84"/>
      <c r="EPT23" s="84"/>
      <c r="EPU23" s="84"/>
      <c r="EPV23" s="84"/>
      <c r="EPW23" s="84"/>
      <c r="EPX23" s="84"/>
      <c r="EPY23" s="84"/>
      <c r="EPZ23" s="84"/>
      <c r="EQA23" s="84"/>
      <c r="EQB23" s="84"/>
      <c r="EQC23" s="84"/>
      <c r="EQD23" s="84"/>
      <c r="EQE23" s="84"/>
      <c r="EQF23" s="84"/>
      <c r="EQG23" s="84"/>
      <c r="EQH23" s="84"/>
      <c r="EQI23" s="84"/>
      <c r="EQJ23" s="84"/>
      <c r="EQK23" s="84"/>
      <c r="EQL23" s="84"/>
      <c r="EQM23" s="84"/>
      <c r="EQN23" s="84"/>
      <c r="EQO23" s="84"/>
      <c r="EQP23" s="84"/>
      <c r="EQQ23" s="84"/>
      <c r="EQR23" s="84"/>
      <c r="EQS23" s="84"/>
      <c r="EQT23" s="84"/>
      <c r="EQU23" s="84"/>
      <c r="EQV23" s="84"/>
      <c r="EQW23" s="84"/>
      <c r="EQX23" s="84"/>
      <c r="EQY23" s="84"/>
      <c r="EQZ23" s="84"/>
      <c r="ERA23" s="84"/>
      <c r="ERB23" s="84"/>
      <c r="ERC23" s="84"/>
      <c r="ERD23" s="84"/>
      <c r="ERE23" s="84"/>
      <c r="ERF23" s="84"/>
      <c r="ERG23" s="84"/>
      <c r="ERH23" s="84"/>
      <c r="ERI23" s="84"/>
      <c r="ERJ23" s="84"/>
      <c r="ERK23" s="84"/>
      <c r="ERL23" s="84"/>
      <c r="ERM23" s="84"/>
      <c r="ERN23" s="84"/>
      <c r="ERO23" s="84"/>
      <c r="ERP23" s="84"/>
      <c r="ERQ23" s="84"/>
      <c r="ERR23" s="84"/>
      <c r="ERS23" s="84"/>
      <c r="ERT23" s="84"/>
      <c r="ERU23" s="84"/>
      <c r="ERV23" s="84"/>
      <c r="ERW23" s="84"/>
      <c r="ERX23" s="84"/>
      <c r="ERY23" s="84"/>
      <c r="ERZ23" s="84"/>
      <c r="ESA23" s="84"/>
      <c r="ESB23" s="84"/>
      <c r="ESC23" s="84"/>
      <c r="ESD23" s="84"/>
      <c r="ESE23" s="84"/>
      <c r="ESF23" s="84"/>
      <c r="ESG23" s="84"/>
      <c r="ESH23" s="84"/>
      <c r="ESI23" s="84"/>
      <c r="ESJ23" s="84"/>
      <c r="ESK23" s="84"/>
      <c r="ESL23" s="84"/>
      <c r="ESM23" s="84"/>
      <c r="ESN23" s="84"/>
      <c r="ESO23" s="84"/>
      <c r="ESP23" s="84"/>
      <c r="ESQ23" s="84"/>
      <c r="ESR23" s="84"/>
      <c r="ESS23" s="84"/>
      <c r="EST23" s="84"/>
      <c r="ESU23" s="84"/>
      <c r="ESV23" s="84"/>
      <c r="ESW23" s="84"/>
      <c r="ESX23" s="84"/>
      <c r="ESY23" s="84"/>
      <c r="ESZ23" s="84"/>
      <c r="ETA23" s="84"/>
      <c r="ETB23" s="84"/>
      <c r="ETC23" s="84"/>
      <c r="ETD23" s="84"/>
      <c r="ETE23" s="84"/>
      <c r="ETF23" s="84"/>
      <c r="ETG23" s="84"/>
      <c r="ETH23" s="84"/>
      <c r="ETI23" s="84"/>
      <c r="ETJ23" s="84"/>
      <c r="ETK23" s="84"/>
      <c r="ETL23" s="84"/>
      <c r="ETM23" s="84"/>
      <c r="ETN23" s="84"/>
      <c r="ETO23" s="84"/>
      <c r="ETP23" s="84"/>
      <c r="ETQ23" s="84"/>
      <c r="ETR23" s="84"/>
      <c r="ETS23" s="84"/>
      <c r="ETT23" s="84"/>
      <c r="ETU23" s="84"/>
      <c r="ETV23" s="84"/>
      <c r="ETW23" s="84"/>
      <c r="ETX23" s="84"/>
      <c r="ETY23" s="84"/>
      <c r="ETZ23" s="84"/>
      <c r="EUA23" s="84"/>
      <c r="EUB23" s="84"/>
      <c r="EUC23" s="84"/>
      <c r="EUD23" s="84"/>
      <c r="EUE23" s="84"/>
      <c r="EUF23" s="84"/>
      <c r="EUG23" s="84"/>
      <c r="EUH23" s="84"/>
      <c r="EUI23" s="84"/>
      <c r="EUJ23" s="84"/>
      <c r="EUK23" s="84"/>
      <c r="EUL23" s="84"/>
      <c r="EUM23" s="84"/>
      <c r="EUN23" s="84"/>
      <c r="EUO23" s="84"/>
      <c r="EUP23" s="84"/>
      <c r="EUQ23" s="84"/>
      <c r="EUR23" s="84"/>
      <c r="EUS23" s="84"/>
      <c r="EUT23" s="84"/>
      <c r="EUU23" s="84"/>
      <c r="EUV23" s="84"/>
      <c r="EUW23" s="84"/>
      <c r="EUX23" s="84"/>
      <c r="EUY23" s="84"/>
      <c r="EUZ23" s="84"/>
      <c r="EVA23" s="84"/>
      <c r="EVB23" s="84"/>
      <c r="EVC23" s="84"/>
      <c r="EVD23" s="84"/>
      <c r="EVE23" s="84"/>
      <c r="EVF23" s="84"/>
      <c r="EVG23" s="84"/>
      <c r="EVH23" s="84"/>
      <c r="EVI23" s="84"/>
      <c r="EVJ23" s="84"/>
      <c r="EVK23" s="84"/>
      <c r="EVL23" s="84"/>
      <c r="EVM23" s="84"/>
      <c r="EVN23" s="84"/>
      <c r="EVO23" s="84"/>
      <c r="EVP23" s="84"/>
      <c r="EVQ23" s="84"/>
      <c r="EVR23" s="84"/>
      <c r="EVS23" s="84"/>
      <c r="EVT23" s="84"/>
      <c r="EVU23" s="84"/>
      <c r="EVV23" s="84"/>
      <c r="EVW23" s="84"/>
      <c r="EVX23" s="84"/>
      <c r="EVY23" s="84"/>
      <c r="EVZ23" s="84"/>
      <c r="EWA23" s="84"/>
      <c r="EWB23" s="84"/>
      <c r="EWC23" s="84"/>
      <c r="EWD23" s="84"/>
      <c r="EWE23" s="84"/>
      <c r="EWF23" s="84"/>
      <c r="EWG23" s="84"/>
      <c r="EWH23" s="84"/>
      <c r="EWI23" s="84"/>
      <c r="EWJ23" s="84"/>
      <c r="EWK23" s="84"/>
      <c r="EWL23" s="84"/>
      <c r="EWM23" s="84"/>
      <c r="EWN23" s="84"/>
      <c r="EWO23" s="84"/>
      <c r="EWP23" s="84"/>
      <c r="EWQ23" s="84"/>
      <c r="EWR23" s="84"/>
      <c r="EWS23" s="84"/>
      <c r="EWT23" s="84"/>
      <c r="EWU23" s="84"/>
      <c r="EWV23" s="84"/>
      <c r="EWW23" s="84"/>
      <c r="EWX23" s="84"/>
      <c r="EWY23" s="84"/>
      <c r="EWZ23" s="84"/>
      <c r="EXA23" s="84"/>
      <c r="EXB23" s="84"/>
      <c r="EXC23" s="84"/>
      <c r="EXD23" s="84"/>
      <c r="EXE23" s="84"/>
      <c r="EXF23" s="84"/>
      <c r="EXG23" s="84"/>
      <c r="EXH23" s="84"/>
      <c r="EXI23" s="84"/>
      <c r="EXJ23" s="84"/>
      <c r="EXK23" s="84"/>
      <c r="EXL23" s="84"/>
      <c r="EXM23" s="84"/>
      <c r="EXN23" s="84"/>
      <c r="EXO23" s="84"/>
      <c r="EXP23" s="84"/>
      <c r="EXQ23" s="84"/>
      <c r="EXR23" s="84"/>
      <c r="EXS23" s="84"/>
      <c r="EXT23" s="84"/>
      <c r="EXU23" s="84"/>
      <c r="EXV23" s="84"/>
      <c r="EXW23" s="84"/>
      <c r="EXX23" s="84"/>
      <c r="EXY23" s="84"/>
      <c r="EXZ23" s="84"/>
      <c r="EYA23" s="84"/>
      <c r="EYB23" s="84"/>
      <c r="EYC23" s="84"/>
      <c r="EYD23" s="84"/>
      <c r="EYE23" s="84"/>
      <c r="EYF23" s="84"/>
      <c r="EYG23" s="84"/>
      <c r="EYH23" s="84"/>
      <c r="EYI23" s="84"/>
      <c r="EYJ23" s="84"/>
      <c r="EYK23" s="84"/>
      <c r="EYL23" s="84"/>
      <c r="EYM23" s="84"/>
      <c r="EYN23" s="84"/>
      <c r="EYO23" s="84"/>
      <c r="EYP23" s="84"/>
      <c r="EYQ23" s="84"/>
      <c r="EYR23" s="84"/>
      <c r="EYS23" s="84"/>
      <c r="EYT23" s="84"/>
      <c r="EYU23" s="84"/>
      <c r="EYV23" s="84"/>
      <c r="EYW23" s="84"/>
      <c r="EYX23" s="84"/>
      <c r="EYY23" s="84"/>
      <c r="EYZ23" s="84"/>
      <c r="EZA23" s="84"/>
      <c r="EZB23" s="84"/>
      <c r="EZC23" s="84"/>
      <c r="EZD23" s="84"/>
      <c r="EZE23" s="84"/>
      <c r="EZF23" s="84"/>
      <c r="EZG23" s="84"/>
      <c r="EZH23" s="84"/>
      <c r="EZI23" s="84"/>
      <c r="EZJ23" s="84"/>
      <c r="EZK23" s="84"/>
      <c r="EZL23" s="84"/>
      <c r="EZM23" s="84"/>
      <c r="EZN23" s="84"/>
      <c r="EZO23" s="84"/>
      <c r="EZP23" s="84"/>
      <c r="EZQ23" s="84"/>
      <c r="EZR23" s="84"/>
      <c r="EZS23" s="84"/>
      <c r="EZT23" s="84"/>
      <c r="EZU23" s="84"/>
      <c r="EZV23" s="84"/>
      <c r="EZW23" s="84"/>
      <c r="EZX23" s="84"/>
      <c r="EZY23" s="84"/>
      <c r="EZZ23" s="84"/>
      <c r="FAA23" s="84"/>
      <c r="FAB23" s="84"/>
      <c r="FAC23" s="84"/>
      <c r="FAD23" s="84"/>
      <c r="FAE23" s="84"/>
      <c r="FAF23" s="84"/>
      <c r="FAG23" s="84"/>
      <c r="FAH23" s="84"/>
      <c r="FAI23" s="84"/>
      <c r="FAJ23" s="84"/>
      <c r="FAK23" s="84"/>
      <c r="FAL23" s="84"/>
      <c r="FAM23" s="84"/>
      <c r="FAN23" s="84"/>
      <c r="FAO23" s="84"/>
      <c r="FAP23" s="84"/>
      <c r="FAQ23" s="84"/>
      <c r="FAR23" s="84"/>
      <c r="FAS23" s="84"/>
      <c r="FAT23" s="84"/>
      <c r="FAU23" s="84"/>
      <c r="FAV23" s="84"/>
      <c r="FAW23" s="84"/>
      <c r="FAX23" s="84"/>
      <c r="FAY23" s="84"/>
      <c r="FAZ23" s="84"/>
      <c r="FBA23" s="84"/>
      <c r="FBB23" s="84"/>
      <c r="FBC23" s="84"/>
      <c r="FBD23" s="84"/>
      <c r="FBE23" s="84"/>
      <c r="FBF23" s="84"/>
      <c r="FBG23" s="84"/>
      <c r="FBH23" s="84"/>
      <c r="FBI23" s="84"/>
      <c r="FBJ23" s="84"/>
      <c r="FBK23" s="84"/>
      <c r="FBL23" s="84"/>
      <c r="FBM23" s="84"/>
      <c r="FBN23" s="84"/>
      <c r="FBO23" s="84"/>
      <c r="FBP23" s="84"/>
      <c r="FBQ23" s="84"/>
      <c r="FBR23" s="84"/>
      <c r="FBS23" s="84"/>
      <c r="FBT23" s="84"/>
      <c r="FBU23" s="84"/>
      <c r="FBV23" s="84"/>
      <c r="FBW23" s="84"/>
      <c r="FBX23" s="84"/>
      <c r="FBY23" s="84"/>
      <c r="FBZ23" s="84"/>
      <c r="FCA23" s="84"/>
      <c r="FCB23" s="84"/>
      <c r="FCC23" s="84"/>
      <c r="FCD23" s="84"/>
      <c r="FCE23" s="84"/>
      <c r="FCF23" s="84"/>
      <c r="FCG23" s="84"/>
      <c r="FCH23" s="84"/>
      <c r="FCI23" s="84"/>
      <c r="FCJ23" s="84"/>
      <c r="FCK23" s="84"/>
      <c r="FCL23" s="84"/>
      <c r="FCM23" s="84"/>
      <c r="FCN23" s="84"/>
      <c r="FCO23" s="84"/>
      <c r="FCP23" s="84"/>
      <c r="FCQ23" s="84"/>
      <c r="FCR23" s="84"/>
      <c r="FCS23" s="84"/>
      <c r="FCT23" s="84"/>
      <c r="FCU23" s="84"/>
      <c r="FCV23" s="84"/>
      <c r="FCW23" s="84"/>
      <c r="FCX23" s="84"/>
      <c r="FCY23" s="84"/>
      <c r="FCZ23" s="84"/>
      <c r="FDA23" s="84"/>
      <c r="FDB23" s="84"/>
      <c r="FDC23" s="84"/>
      <c r="FDD23" s="84"/>
      <c r="FDE23" s="84"/>
      <c r="FDF23" s="84"/>
      <c r="FDG23" s="84"/>
      <c r="FDH23" s="84"/>
      <c r="FDI23" s="84"/>
      <c r="FDJ23" s="84"/>
      <c r="FDK23" s="84"/>
      <c r="FDL23" s="84"/>
      <c r="FDM23" s="84"/>
      <c r="FDN23" s="84"/>
      <c r="FDO23" s="84"/>
      <c r="FDP23" s="84"/>
      <c r="FDQ23" s="84"/>
      <c r="FDR23" s="84"/>
      <c r="FDS23" s="84"/>
      <c r="FDT23" s="84"/>
      <c r="FDU23" s="84"/>
      <c r="FDV23" s="84"/>
      <c r="FDW23" s="84"/>
      <c r="FDX23" s="84"/>
      <c r="FDY23" s="84"/>
      <c r="FDZ23" s="84"/>
      <c r="FEA23" s="84"/>
      <c r="FEB23" s="84"/>
      <c r="FEC23" s="84"/>
      <c r="FED23" s="84"/>
      <c r="FEE23" s="84"/>
      <c r="FEF23" s="84"/>
      <c r="FEG23" s="84"/>
      <c r="FEH23" s="84"/>
      <c r="FEI23" s="84"/>
      <c r="FEJ23" s="84"/>
      <c r="FEK23" s="84"/>
      <c r="FEL23" s="84"/>
      <c r="FEM23" s="84"/>
      <c r="FEN23" s="84"/>
      <c r="FEO23" s="84"/>
      <c r="FEP23" s="84"/>
      <c r="FEQ23" s="84"/>
      <c r="FER23" s="84"/>
      <c r="FES23" s="84"/>
      <c r="FET23" s="84"/>
      <c r="FEU23" s="84"/>
      <c r="FEV23" s="84"/>
      <c r="FEW23" s="84"/>
      <c r="FEX23" s="84"/>
      <c r="FEY23" s="84"/>
      <c r="FEZ23" s="84"/>
      <c r="FFA23" s="84"/>
      <c r="FFB23" s="84"/>
      <c r="FFC23" s="84"/>
      <c r="FFD23" s="84"/>
      <c r="FFE23" s="84"/>
      <c r="FFF23" s="84"/>
      <c r="FFG23" s="84"/>
      <c r="FFH23" s="84"/>
      <c r="FFI23" s="84"/>
      <c r="FFJ23" s="84"/>
      <c r="FFK23" s="84"/>
      <c r="FFL23" s="84"/>
      <c r="FFM23" s="84"/>
      <c r="FFN23" s="84"/>
      <c r="FFO23" s="84"/>
      <c r="FFP23" s="84"/>
      <c r="FFQ23" s="84"/>
      <c r="FFR23" s="84"/>
      <c r="FFS23" s="84"/>
      <c r="FFT23" s="84"/>
      <c r="FFU23" s="84"/>
      <c r="FFV23" s="84"/>
      <c r="FFW23" s="84"/>
      <c r="FFX23" s="84"/>
      <c r="FFY23" s="84"/>
      <c r="FFZ23" s="84"/>
      <c r="FGA23" s="84"/>
      <c r="FGB23" s="84"/>
      <c r="FGC23" s="84"/>
      <c r="FGD23" s="84"/>
      <c r="FGE23" s="84"/>
      <c r="FGF23" s="84"/>
      <c r="FGG23" s="84"/>
      <c r="FGH23" s="84"/>
      <c r="FGI23" s="84"/>
      <c r="FGJ23" s="84"/>
      <c r="FGK23" s="84"/>
      <c r="FGL23" s="84"/>
      <c r="FGM23" s="84"/>
      <c r="FGN23" s="84"/>
      <c r="FGO23" s="84"/>
      <c r="FGP23" s="84"/>
      <c r="FGQ23" s="84"/>
      <c r="FGR23" s="84"/>
      <c r="FGS23" s="84"/>
      <c r="FGT23" s="84"/>
      <c r="FGU23" s="84"/>
      <c r="FGV23" s="84"/>
      <c r="FGW23" s="84"/>
      <c r="FGX23" s="84"/>
      <c r="FGY23" s="84"/>
      <c r="FGZ23" s="84"/>
      <c r="FHA23" s="84"/>
      <c r="FHB23" s="84"/>
      <c r="FHC23" s="84"/>
      <c r="FHD23" s="84"/>
      <c r="FHE23" s="84"/>
      <c r="FHF23" s="84"/>
      <c r="FHG23" s="84"/>
      <c r="FHH23" s="84"/>
      <c r="FHI23" s="84"/>
      <c r="FHJ23" s="84"/>
      <c r="FHK23" s="84"/>
      <c r="FHL23" s="84"/>
      <c r="FHM23" s="84"/>
      <c r="FHN23" s="84"/>
      <c r="FHO23" s="84"/>
      <c r="FHP23" s="84"/>
      <c r="FHQ23" s="84"/>
      <c r="FHR23" s="84"/>
      <c r="FHS23" s="84"/>
      <c r="FHT23" s="84"/>
      <c r="FHU23" s="84"/>
      <c r="FHV23" s="84"/>
      <c r="FHW23" s="84"/>
      <c r="FHX23" s="84"/>
      <c r="FHY23" s="84"/>
      <c r="FHZ23" s="84"/>
      <c r="FIA23" s="84"/>
      <c r="FIB23" s="84"/>
      <c r="FIC23" s="84"/>
      <c r="FID23" s="84"/>
      <c r="FIE23" s="84"/>
      <c r="FIF23" s="84"/>
      <c r="FIG23" s="84"/>
      <c r="FIH23" s="84"/>
      <c r="FII23" s="84"/>
      <c r="FIJ23" s="84"/>
      <c r="FIK23" s="84"/>
      <c r="FIL23" s="84"/>
      <c r="FIM23" s="84"/>
      <c r="FIN23" s="84"/>
      <c r="FIO23" s="84"/>
      <c r="FIP23" s="84"/>
      <c r="FIQ23" s="84"/>
      <c r="FIR23" s="84"/>
      <c r="FIS23" s="84"/>
      <c r="FIT23" s="84"/>
      <c r="FIU23" s="84"/>
      <c r="FIV23" s="84"/>
      <c r="FIW23" s="84"/>
      <c r="FIX23" s="84"/>
      <c r="FIY23" s="84"/>
      <c r="FIZ23" s="84"/>
      <c r="FJA23" s="84"/>
      <c r="FJB23" s="84"/>
      <c r="FJC23" s="84"/>
      <c r="FJD23" s="84"/>
      <c r="FJE23" s="84"/>
      <c r="FJF23" s="84"/>
      <c r="FJG23" s="84"/>
      <c r="FJH23" s="84"/>
      <c r="FJI23" s="84"/>
      <c r="FJJ23" s="84"/>
      <c r="FJK23" s="84"/>
      <c r="FJL23" s="84"/>
      <c r="FJM23" s="84"/>
      <c r="FJN23" s="84"/>
      <c r="FJO23" s="84"/>
      <c r="FJP23" s="84"/>
      <c r="FJQ23" s="84"/>
      <c r="FJR23" s="84"/>
      <c r="FJS23" s="84"/>
      <c r="FJT23" s="84"/>
      <c r="FJU23" s="84"/>
      <c r="FJV23" s="84"/>
      <c r="FJW23" s="84"/>
      <c r="FJX23" s="84"/>
      <c r="FJY23" s="84"/>
      <c r="FJZ23" s="84"/>
      <c r="FKA23" s="84"/>
      <c r="FKB23" s="84"/>
      <c r="FKC23" s="84"/>
      <c r="FKD23" s="84"/>
      <c r="FKE23" s="84"/>
      <c r="FKF23" s="84"/>
      <c r="FKG23" s="84"/>
      <c r="FKH23" s="84"/>
      <c r="FKI23" s="84"/>
      <c r="FKJ23" s="84"/>
      <c r="FKK23" s="84"/>
      <c r="FKL23" s="84"/>
      <c r="FKM23" s="84"/>
      <c r="FKN23" s="84"/>
      <c r="FKO23" s="84"/>
      <c r="FKP23" s="84"/>
      <c r="FKQ23" s="84"/>
      <c r="FKR23" s="84"/>
      <c r="FKS23" s="84"/>
      <c r="FKT23" s="84"/>
      <c r="FKU23" s="84"/>
      <c r="FKV23" s="84"/>
      <c r="FKW23" s="84"/>
      <c r="FKX23" s="84"/>
      <c r="FKY23" s="84"/>
      <c r="FKZ23" s="84"/>
      <c r="FLA23" s="84"/>
      <c r="FLB23" s="84"/>
      <c r="FLC23" s="84"/>
      <c r="FLD23" s="84"/>
      <c r="FLE23" s="84"/>
      <c r="FLF23" s="84"/>
      <c r="FLG23" s="84"/>
      <c r="FLH23" s="84"/>
      <c r="FLI23" s="84"/>
      <c r="FLJ23" s="84"/>
      <c r="FLK23" s="84"/>
      <c r="FLL23" s="84"/>
      <c r="FLM23" s="84"/>
      <c r="FLN23" s="84"/>
      <c r="FLO23" s="84"/>
      <c r="FLP23" s="84"/>
      <c r="FLQ23" s="84"/>
      <c r="FLR23" s="84"/>
      <c r="FLS23" s="84"/>
      <c r="FLT23" s="84"/>
      <c r="FLU23" s="84"/>
      <c r="FLV23" s="84"/>
      <c r="FLW23" s="84"/>
      <c r="FLX23" s="84"/>
      <c r="FLY23" s="84"/>
      <c r="FLZ23" s="84"/>
      <c r="FMA23" s="84"/>
      <c r="FMB23" s="84"/>
      <c r="FMC23" s="84"/>
      <c r="FMD23" s="84"/>
      <c r="FME23" s="84"/>
      <c r="FMF23" s="84"/>
      <c r="FMG23" s="84"/>
      <c r="FMH23" s="84"/>
      <c r="FMI23" s="84"/>
      <c r="FMJ23" s="84"/>
      <c r="FMK23" s="84"/>
      <c r="FML23" s="84"/>
      <c r="FMM23" s="84"/>
      <c r="FMN23" s="84"/>
      <c r="FMO23" s="84"/>
      <c r="FMP23" s="84"/>
      <c r="FMQ23" s="84"/>
      <c r="FMR23" s="84"/>
      <c r="FMS23" s="84"/>
      <c r="FMT23" s="84"/>
      <c r="FMU23" s="84"/>
      <c r="FMV23" s="84"/>
      <c r="FMW23" s="84"/>
      <c r="FMX23" s="84"/>
      <c r="FMY23" s="84"/>
      <c r="FMZ23" s="84"/>
      <c r="FNA23" s="84"/>
      <c r="FNB23" s="84"/>
      <c r="FNC23" s="84"/>
      <c r="FND23" s="84"/>
      <c r="FNE23" s="84"/>
      <c r="FNF23" s="84"/>
      <c r="FNG23" s="84"/>
      <c r="FNH23" s="84"/>
      <c r="FNI23" s="84"/>
      <c r="FNJ23" s="84"/>
      <c r="FNK23" s="84"/>
      <c r="FNL23" s="84"/>
      <c r="FNM23" s="84"/>
      <c r="FNN23" s="84"/>
      <c r="FNO23" s="84"/>
      <c r="FNP23" s="84"/>
      <c r="FNQ23" s="84"/>
      <c r="FNR23" s="84"/>
      <c r="FNS23" s="84"/>
      <c r="FNT23" s="84"/>
      <c r="FNU23" s="84"/>
      <c r="FNV23" s="84"/>
      <c r="FNW23" s="84"/>
      <c r="FNX23" s="84"/>
      <c r="FNY23" s="84"/>
      <c r="FNZ23" s="84"/>
      <c r="FOA23" s="84"/>
      <c r="FOB23" s="84"/>
      <c r="FOC23" s="84"/>
      <c r="FOD23" s="84"/>
      <c r="FOE23" s="84"/>
      <c r="FOF23" s="84"/>
      <c r="FOG23" s="84"/>
      <c r="FOH23" s="84"/>
      <c r="FOI23" s="84"/>
      <c r="FOJ23" s="84"/>
      <c r="FOK23" s="84"/>
      <c r="FOL23" s="84"/>
      <c r="FOM23" s="84"/>
      <c r="FON23" s="84"/>
      <c r="FOO23" s="84"/>
      <c r="FOP23" s="84"/>
      <c r="FOQ23" s="84"/>
      <c r="FOR23" s="84"/>
      <c r="FOS23" s="84"/>
      <c r="FOT23" s="84"/>
      <c r="FOU23" s="84"/>
      <c r="FOV23" s="84"/>
      <c r="FOW23" s="84"/>
      <c r="FOX23" s="84"/>
      <c r="FOY23" s="84"/>
      <c r="FOZ23" s="84"/>
      <c r="FPA23" s="84"/>
      <c r="FPB23" s="84"/>
      <c r="FPC23" s="84"/>
      <c r="FPD23" s="84"/>
      <c r="FPE23" s="84"/>
      <c r="FPF23" s="84"/>
      <c r="FPG23" s="84"/>
      <c r="FPH23" s="84"/>
      <c r="FPI23" s="84"/>
      <c r="FPJ23" s="84"/>
      <c r="FPK23" s="84"/>
      <c r="FPL23" s="84"/>
      <c r="FPM23" s="84"/>
      <c r="FPN23" s="84"/>
      <c r="FPO23" s="84"/>
      <c r="FPP23" s="84"/>
      <c r="FPQ23" s="84"/>
      <c r="FPR23" s="84"/>
      <c r="FPS23" s="84"/>
      <c r="FPT23" s="84"/>
      <c r="FPU23" s="84"/>
      <c r="FPV23" s="84"/>
      <c r="FPW23" s="84"/>
      <c r="FPX23" s="84"/>
      <c r="FPY23" s="84"/>
      <c r="FPZ23" s="84"/>
      <c r="FQA23" s="84"/>
      <c r="FQB23" s="84"/>
      <c r="FQC23" s="84"/>
      <c r="FQD23" s="84"/>
      <c r="FQE23" s="84"/>
      <c r="FQF23" s="84"/>
      <c r="FQG23" s="84"/>
      <c r="FQH23" s="84"/>
      <c r="FQI23" s="84"/>
      <c r="FQJ23" s="84"/>
      <c r="FQK23" s="84"/>
      <c r="FQL23" s="84"/>
      <c r="FQM23" s="84"/>
      <c r="FQN23" s="84"/>
      <c r="FQO23" s="84"/>
      <c r="FQP23" s="84"/>
      <c r="FQQ23" s="84"/>
      <c r="FQR23" s="84"/>
      <c r="FQS23" s="84"/>
      <c r="FQT23" s="84"/>
      <c r="FQU23" s="84"/>
      <c r="FQV23" s="84"/>
      <c r="FQW23" s="84"/>
      <c r="FQX23" s="84"/>
      <c r="FQY23" s="84"/>
      <c r="FQZ23" s="84"/>
      <c r="FRA23" s="84"/>
      <c r="FRB23" s="84"/>
      <c r="FRC23" s="84"/>
      <c r="FRD23" s="84"/>
      <c r="FRE23" s="84"/>
      <c r="FRF23" s="84"/>
      <c r="FRG23" s="84"/>
      <c r="FRH23" s="84"/>
      <c r="FRI23" s="84"/>
      <c r="FRJ23" s="84"/>
      <c r="FRK23" s="84"/>
      <c r="FRL23" s="84"/>
      <c r="FRM23" s="84"/>
      <c r="FRN23" s="84"/>
      <c r="FRO23" s="84"/>
      <c r="FRP23" s="84"/>
      <c r="FRQ23" s="84"/>
      <c r="FRR23" s="84"/>
      <c r="FRS23" s="84"/>
      <c r="FRT23" s="84"/>
      <c r="FRU23" s="84"/>
      <c r="FRV23" s="84"/>
      <c r="FRW23" s="84"/>
      <c r="FRX23" s="84"/>
      <c r="FRY23" s="84"/>
      <c r="FRZ23" s="84"/>
      <c r="FSA23" s="84"/>
      <c r="FSB23" s="84"/>
      <c r="FSC23" s="84"/>
      <c r="FSD23" s="84"/>
      <c r="FSE23" s="84"/>
      <c r="FSF23" s="84"/>
      <c r="FSG23" s="84"/>
      <c r="FSH23" s="84"/>
      <c r="FSI23" s="84"/>
      <c r="FSJ23" s="84"/>
      <c r="FSK23" s="84"/>
      <c r="FSL23" s="84"/>
      <c r="FSM23" s="84"/>
      <c r="FSN23" s="84"/>
      <c r="FSO23" s="84"/>
      <c r="FSP23" s="84"/>
      <c r="FSQ23" s="84"/>
      <c r="FSR23" s="84"/>
      <c r="FSS23" s="84"/>
      <c r="FST23" s="84"/>
      <c r="FSU23" s="84"/>
      <c r="FSV23" s="84"/>
      <c r="FSW23" s="84"/>
      <c r="FSX23" s="84"/>
      <c r="FSY23" s="84"/>
      <c r="FSZ23" s="84"/>
      <c r="FTA23" s="84"/>
      <c r="FTB23" s="84"/>
      <c r="FTC23" s="84"/>
      <c r="FTD23" s="84"/>
      <c r="FTE23" s="84"/>
      <c r="FTF23" s="84"/>
      <c r="FTG23" s="84"/>
      <c r="FTH23" s="84"/>
      <c r="FTI23" s="84"/>
      <c r="FTJ23" s="84"/>
      <c r="FTK23" s="84"/>
      <c r="FTL23" s="84"/>
      <c r="FTM23" s="84"/>
      <c r="FTN23" s="84"/>
      <c r="FTO23" s="84"/>
      <c r="FTP23" s="84"/>
      <c r="FTQ23" s="84"/>
      <c r="FTR23" s="84"/>
      <c r="FTS23" s="84"/>
      <c r="FTT23" s="84"/>
      <c r="FTU23" s="84"/>
      <c r="FTV23" s="84"/>
      <c r="FTW23" s="84"/>
      <c r="FTX23" s="84"/>
      <c r="FTY23" s="84"/>
      <c r="FTZ23" s="84"/>
      <c r="FUA23" s="84"/>
      <c r="FUB23" s="84"/>
      <c r="FUC23" s="84"/>
      <c r="FUD23" s="84"/>
      <c r="FUE23" s="84"/>
      <c r="FUF23" s="84"/>
      <c r="FUG23" s="84"/>
      <c r="FUH23" s="84"/>
      <c r="FUI23" s="84"/>
      <c r="FUJ23" s="84"/>
      <c r="FUK23" s="84"/>
      <c r="FUL23" s="84"/>
      <c r="FUM23" s="84"/>
      <c r="FUN23" s="84"/>
      <c r="FUO23" s="84"/>
      <c r="FUP23" s="84"/>
      <c r="FUQ23" s="84"/>
      <c r="FUR23" s="84"/>
      <c r="FUS23" s="84"/>
      <c r="FUT23" s="84"/>
      <c r="FUU23" s="84"/>
      <c r="FUV23" s="84"/>
      <c r="FUW23" s="84"/>
      <c r="FUX23" s="84"/>
      <c r="FUY23" s="84"/>
      <c r="FUZ23" s="84"/>
      <c r="FVA23" s="84"/>
      <c r="FVB23" s="84"/>
      <c r="FVC23" s="84"/>
      <c r="FVD23" s="84"/>
      <c r="FVE23" s="84"/>
      <c r="FVF23" s="84"/>
      <c r="FVG23" s="84"/>
      <c r="FVH23" s="84"/>
      <c r="FVI23" s="84"/>
      <c r="FVJ23" s="84"/>
      <c r="FVK23" s="84"/>
      <c r="FVL23" s="84"/>
      <c r="FVM23" s="84"/>
      <c r="FVN23" s="84"/>
      <c r="FVO23" s="84"/>
      <c r="FVP23" s="84"/>
      <c r="FVQ23" s="84"/>
      <c r="FVR23" s="84"/>
      <c r="FVS23" s="84"/>
      <c r="FVT23" s="84"/>
      <c r="FVU23" s="84"/>
      <c r="FVV23" s="84"/>
      <c r="FVW23" s="84"/>
      <c r="FVX23" s="84"/>
      <c r="FVY23" s="84"/>
      <c r="FVZ23" s="84"/>
      <c r="FWA23" s="84"/>
      <c r="FWB23" s="84"/>
      <c r="FWC23" s="84"/>
      <c r="FWD23" s="84"/>
      <c r="FWE23" s="84"/>
      <c r="FWF23" s="84"/>
      <c r="FWG23" s="84"/>
      <c r="FWH23" s="84"/>
      <c r="FWI23" s="84"/>
      <c r="FWJ23" s="84"/>
      <c r="FWK23" s="84"/>
      <c r="FWL23" s="84"/>
      <c r="FWM23" s="84"/>
      <c r="FWN23" s="84"/>
      <c r="FWO23" s="84"/>
      <c r="FWP23" s="84"/>
      <c r="FWQ23" s="84"/>
      <c r="FWR23" s="84"/>
      <c r="FWS23" s="84"/>
      <c r="FWT23" s="84"/>
      <c r="FWU23" s="84"/>
      <c r="FWV23" s="84"/>
      <c r="FWW23" s="84"/>
      <c r="FWX23" s="84"/>
      <c r="FWY23" s="84"/>
      <c r="FWZ23" s="84"/>
      <c r="FXA23" s="84"/>
      <c r="FXB23" s="84"/>
      <c r="FXC23" s="84"/>
      <c r="FXD23" s="84"/>
      <c r="FXE23" s="84"/>
      <c r="FXF23" s="84"/>
      <c r="FXG23" s="84"/>
      <c r="FXH23" s="84"/>
      <c r="FXI23" s="84"/>
      <c r="FXJ23" s="84"/>
      <c r="FXK23" s="84"/>
      <c r="FXL23" s="84"/>
      <c r="FXM23" s="84"/>
      <c r="FXN23" s="84"/>
      <c r="FXO23" s="84"/>
      <c r="FXP23" s="84"/>
      <c r="FXQ23" s="84"/>
      <c r="FXR23" s="84"/>
      <c r="FXS23" s="84"/>
      <c r="FXT23" s="84"/>
      <c r="FXU23" s="84"/>
      <c r="FXV23" s="84"/>
      <c r="FXW23" s="84"/>
      <c r="FXX23" s="84"/>
      <c r="FXY23" s="84"/>
      <c r="FXZ23" s="84"/>
      <c r="FYA23" s="84"/>
      <c r="FYB23" s="84"/>
      <c r="FYC23" s="84"/>
      <c r="FYD23" s="84"/>
      <c r="FYE23" s="84"/>
      <c r="FYF23" s="84"/>
      <c r="FYG23" s="84"/>
      <c r="FYH23" s="84"/>
      <c r="FYI23" s="84"/>
      <c r="FYJ23" s="84"/>
      <c r="FYK23" s="84"/>
      <c r="FYL23" s="84"/>
      <c r="FYM23" s="84"/>
      <c r="FYN23" s="84"/>
      <c r="FYO23" s="84"/>
      <c r="FYP23" s="84"/>
      <c r="FYQ23" s="84"/>
      <c r="FYR23" s="84"/>
      <c r="FYS23" s="84"/>
      <c r="FYT23" s="84"/>
      <c r="FYU23" s="84"/>
      <c r="FYV23" s="84"/>
      <c r="FYW23" s="84"/>
      <c r="FYX23" s="84"/>
      <c r="FYY23" s="84"/>
      <c r="FYZ23" s="84"/>
      <c r="FZA23" s="84"/>
      <c r="FZB23" s="84"/>
      <c r="FZC23" s="84"/>
      <c r="FZD23" s="84"/>
      <c r="FZE23" s="84"/>
      <c r="FZF23" s="84"/>
      <c r="FZG23" s="84"/>
      <c r="FZH23" s="84"/>
      <c r="FZI23" s="84"/>
      <c r="FZJ23" s="84"/>
      <c r="FZK23" s="84"/>
      <c r="FZL23" s="84"/>
      <c r="FZM23" s="84"/>
      <c r="FZN23" s="84"/>
      <c r="FZO23" s="84"/>
      <c r="FZP23" s="84"/>
      <c r="FZQ23" s="84"/>
      <c r="FZR23" s="84"/>
      <c r="FZS23" s="84"/>
      <c r="FZT23" s="84"/>
      <c r="FZU23" s="84"/>
      <c r="FZV23" s="84"/>
      <c r="FZW23" s="84"/>
      <c r="FZX23" s="84"/>
      <c r="FZY23" s="84"/>
      <c r="FZZ23" s="84"/>
      <c r="GAA23" s="84"/>
      <c r="GAB23" s="84"/>
      <c r="GAC23" s="84"/>
      <c r="GAD23" s="84"/>
      <c r="GAE23" s="84"/>
      <c r="GAF23" s="84"/>
      <c r="GAG23" s="84"/>
      <c r="GAH23" s="84"/>
      <c r="GAI23" s="84"/>
      <c r="GAJ23" s="84"/>
      <c r="GAK23" s="84"/>
      <c r="GAL23" s="84"/>
      <c r="GAM23" s="84"/>
      <c r="GAN23" s="84"/>
      <c r="GAO23" s="84"/>
      <c r="GAP23" s="84"/>
      <c r="GAQ23" s="84"/>
      <c r="GAR23" s="84"/>
      <c r="GAS23" s="84"/>
      <c r="GAT23" s="84"/>
      <c r="GAU23" s="84"/>
      <c r="GAV23" s="84"/>
      <c r="GAW23" s="84"/>
      <c r="GAX23" s="84"/>
      <c r="GAY23" s="84"/>
      <c r="GAZ23" s="84"/>
      <c r="GBA23" s="84"/>
      <c r="GBB23" s="84"/>
      <c r="GBC23" s="84"/>
      <c r="GBD23" s="84"/>
      <c r="GBE23" s="84"/>
      <c r="GBF23" s="84"/>
      <c r="GBG23" s="84"/>
      <c r="GBH23" s="84"/>
      <c r="GBI23" s="84"/>
      <c r="GBJ23" s="84"/>
      <c r="GBK23" s="84"/>
      <c r="GBL23" s="84"/>
      <c r="GBM23" s="84"/>
      <c r="GBN23" s="84"/>
      <c r="GBO23" s="84"/>
      <c r="GBP23" s="84"/>
      <c r="GBQ23" s="84"/>
      <c r="GBR23" s="84"/>
      <c r="GBS23" s="84"/>
      <c r="GBT23" s="84"/>
      <c r="GBU23" s="84"/>
      <c r="GBV23" s="84"/>
      <c r="GBW23" s="84"/>
      <c r="GBX23" s="84"/>
      <c r="GBY23" s="84"/>
      <c r="GBZ23" s="84"/>
      <c r="GCA23" s="84"/>
      <c r="GCB23" s="84"/>
      <c r="GCC23" s="84"/>
      <c r="GCD23" s="84"/>
      <c r="GCE23" s="84"/>
      <c r="GCF23" s="84"/>
      <c r="GCG23" s="84"/>
      <c r="GCH23" s="84"/>
      <c r="GCI23" s="84"/>
      <c r="GCJ23" s="84"/>
      <c r="GCK23" s="84"/>
      <c r="GCL23" s="84"/>
      <c r="GCM23" s="84"/>
      <c r="GCN23" s="84"/>
      <c r="GCO23" s="84"/>
      <c r="GCP23" s="84"/>
      <c r="GCQ23" s="84"/>
      <c r="GCR23" s="84"/>
      <c r="GCS23" s="84"/>
      <c r="GCT23" s="84"/>
      <c r="GCU23" s="84"/>
      <c r="GCV23" s="84"/>
      <c r="GCW23" s="84"/>
      <c r="GCX23" s="84"/>
      <c r="GCY23" s="84"/>
      <c r="GCZ23" s="84"/>
      <c r="GDA23" s="84"/>
      <c r="GDB23" s="84"/>
      <c r="GDC23" s="84"/>
      <c r="GDD23" s="84"/>
      <c r="GDE23" s="84"/>
      <c r="GDF23" s="84"/>
      <c r="GDG23" s="84"/>
      <c r="GDH23" s="84"/>
      <c r="GDI23" s="84"/>
      <c r="GDJ23" s="84"/>
      <c r="GDK23" s="84"/>
      <c r="GDL23" s="84"/>
      <c r="GDM23" s="84"/>
      <c r="GDN23" s="84"/>
      <c r="GDO23" s="84"/>
      <c r="GDP23" s="84"/>
      <c r="GDQ23" s="84"/>
      <c r="GDR23" s="84"/>
      <c r="GDS23" s="84"/>
      <c r="GDT23" s="84"/>
      <c r="GDU23" s="84"/>
      <c r="GDV23" s="84"/>
      <c r="GDW23" s="84"/>
      <c r="GDX23" s="84"/>
      <c r="GDY23" s="84"/>
      <c r="GDZ23" s="84"/>
      <c r="GEA23" s="84"/>
      <c r="GEB23" s="84"/>
      <c r="GEC23" s="84"/>
      <c r="GED23" s="84"/>
      <c r="GEE23" s="84"/>
      <c r="GEF23" s="84"/>
      <c r="GEG23" s="84"/>
      <c r="GEH23" s="84"/>
      <c r="GEI23" s="84"/>
      <c r="GEJ23" s="84"/>
      <c r="GEK23" s="84"/>
      <c r="GEL23" s="84"/>
      <c r="GEM23" s="84"/>
      <c r="GEN23" s="84"/>
      <c r="GEO23" s="84"/>
      <c r="GEP23" s="84"/>
      <c r="GEQ23" s="84"/>
      <c r="GER23" s="84"/>
      <c r="GES23" s="84"/>
      <c r="GET23" s="84"/>
      <c r="GEU23" s="84"/>
      <c r="GEV23" s="84"/>
      <c r="GEW23" s="84"/>
      <c r="GEX23" s="84"/>
      <c r="GEY23" s="84"/>
      <c r="GEZ23" s="84"/>
      <c r="GFA23" s="84"/>
      <c r="GFB23" s="84"/>
      <c r="GFC23" s="84"/>
      <c r="GFD23" s="84"/>
      <c r="GFE23" s="84"/>
      <c r="GFF23" s="84"/>
      <c r="GFG23" s="84"/>
      <c r="GFH23" s="84"/>
      <c r="GFI23" s="84"/>
      <c r="GFJ23" s="84"/>
      <c r="GFK23" s="84"/>
      <c r="GFL23" s="84"/>
      <c r="GFM23" s="84"/>
      <c r="GFN23" s="84"/>
      <c r="GFO23" s="84"/>
      <c r="GFP23" s="84"/>
      <c r="GFQ23" s="84"/>
      <c r="GFR23" s="84"/>
      <c r="GFS23" s="84"/>
      <c r="GFT23" s="84"/>
      <c r="GFU23" s="84"/>
      <c r="GFV23" s="84"/>
      <c r="GFW23" s="84"/>
      <c r="GFX23" s="84"/>
      <c r="GFY23" s="84"/>
      <c r="GFZ23" s="84"/>
      <c r="GGA23" s="84"/>
      <c r="GGB23" s="84"/>
      <c r="GGC23" s="84"/>
      <c r="GGD23" s="84"/>
      <c r="GGE23" s="84"/>
      <c r="GGF23" s="84"/>
      <c r="GGG23" s="84"/>
      <c r="GGH23" s="84"/>
      <c r="GGI23" s="84"/>
      <c r="GGJ23" s="84"/>
      <c r="GGK23" s="84"/>
      <c r="GGL23" s="84"/>
      <c r="GGM23" s="84"/>
      <c r="GGN23" s="84"/>
      <c r="GGO23" s="84"/>
      <c r="GGP23" s="84"/>
      <c r="GGQ23" s="84"/>
      <c r="GGR23" s="84"/>
      <c r="GGS23" s="84"/>
      <c r="GGT23" s="84"/>
      <c r="GGU23" s="84"/>
      <c r="GGV23" s="84"/>
      <c r="GGW23" s="84"/>
      <c r="GGX23" s="84"/>
      <c r="GGY23" s="84"/>
      <c r="GGZ23" s="84"/>
      <c r="GHA23" s="84"/>
      <c r="GHB23" s="84"/>
      <c r="GHC23" s="84"/>
      <c r="GHD23" s="84"/>
      <c r="GHE23" s="84"/>
      <c r="GHF23" s="84"/>
      <c r="GHG23" s="84"/>
      <c r="GHH23" s="84"/>
      <c r="GHI23" s="84"/>
      <c r="GHJ23" s="84"/>
      <c r="GHK23" s="84"/>
      <c r="GHL23" s="84"/>
      <c r="GHM23" s="84"/>
      <c r="GHN23" s="84"/>
      <c r="GHO23" s="84"/>
      <c r="GHP23" s="84"/>
      <c r="GHQ23" s="84"/>
      <c r="GHR23" s="84"/>
      <c r="GHS23" s="84"/>
      <c r="GHT23" s="84"/>
      <c r="GHU23" s="84"/>
      <c r="GHV23" s="84"/>
      <c r="GHW23" s="84"/>
      <c r="GHX23" s="84"/>
      <c r="GHY23" s="84"/>
      <c r="GHZ23" s="84"/>
      <c r="GIA23" s="84"/>
      <c r="GIB23" s="84"/>
      <c r="GIC23" s="84"/>
      <c r="GID23" s="84"/>
      <c r="GIE23" s="84"/>
      <c r="GIF23" s="84"/>
      <c r="GIG23" s="84"/>
      <c r="GIH23" s="84"/>
      <c r="GII23" s="84"/>
      <c r="GIJ23" s="84"/>
      <c r="GIK23" s="84"/>
      <c r="GIL23" s="84"/>
      <c r="GIM23" s="84"/>
      <c r="GIN23" s="84"/>
      <c r="GIO23" s="84"/>
      <c r="GIP23" s="84"/>
      <c r="GIQ23" s="84"/>
      <c r="GIR23" s="84"/>
      <c r="GIS23" s="84"/>
      <c r="GIT23" s="84"/>
      <c r="GIU23" s="84"/>
      <c r="GIV23" s="84"/>
      <c r="GIW23" s="84"/>
      <c r="GIX23" s="84"/>
      <c r="GIY23" s="84"/>
      <c r="GIZ23" s="84"/>
      <c r="GJA23" s="84"/>
      <c r="GJB23" s="84"/>
      <c r="GJC23" s="84"/>
      <c r="GJD23" s="84"/>
      <c r="GJE23" s="84"/>
      <c r="GJF23" s="84"/>
      <c r="GJG23" s="84"/>
      <c r="GJH23" s="84"/>
      <c r="GJI23" s="84"/>
      <c r="GJJ23" s="84"/>
      <c r="GJK23" s="84"/>
      <c r="GJL23" s="84"/>
      <c r="GJM23" s="84"/>
      <c r="GJN23" s="84"/>
      <c r="GJO23" s="84"/>
      <c r="GJP23" s="84"/>
      <c r="GJQ23" s="84"/>
      <c r="GJR23" s="84"/>
      <c r="GJS23" s="84"/>
      <c r="GJT23" s="84"/>
      <c r="GJU23" s="84"/>
      <c r="GJV23" s="84"/>
      <c r="GJW23" s="84"/>
      <c r="GJX23" s="84"/>
      <c r="GJY23" s="84"/>
      <c r="GJZ23" s="84"/>
      <c r="GKA23" s="84"/>
      <c r="GKB23" s="84"/>
      <c r="GKC23" s="84"/>
      <c r="GKD23" s="84"/>
      <c r="GKE23" s="84"/>
      <c r="GKF23" s="84"/>
      <c r="GKG23" s="84"/>
      <c r="GKH23" s="84"/>
      <c r="GKI23" s="84"/>
      <c r="GKJ23" s="84"/>
      <c r="GKK23" s="84"/>
      <c r="GKL23" s="84"/>
      <c r="GKM23" s="84"/>
      <c r="GKN23" s="84"/>
      <c r="GKO23" s="84"/>
      <c r="GKP23" s="84"/>
      <c r="GKQ23" s="84"/>
      <c r="GKR23" s="84"/>
      <c r="GKS23" s="84"/>
      <c r="GKT23" s="84"/>
      <c r="GKU23" s="84"/>
      <c r="GKV23" s="84"/>
      <c r="GKW23" s="84"/>
      <c r="GKX23" s="84"/>
      <c r="GKY23" s="84"/>
      <c r="GKZ23" s="84"/>
      <c r="GLA23" s="84"/>
      <c r="GLB23" s="84"/>
      <c r="GLC23" s="84"/>
      <c r="GLD23" s="84"/>
      <c r="GLE23" s="84"/>
      <c r="GLF23" s="84"/>
      <c r="GLG23" s="84"/>
      <c r="GLH23" s="84"/>
      <c r="GLI23" s="84"/>
      <c r="GLJ23" s="84"/>
      <c r="GLK23" s="84"/>
      <c r="GLL23" s="84"/>
      <c r="GLM23" s="84"/>
      <c r="GLN23" s="84"/>
      <c r="GLO23" s="84"/>
      <c r="GLP23" s="84"/>
      <c r="GLQ23" s="84"/>
      <c r="GLR23" s="84"/>
      <c r="GLS23" s="84"/>
      <c r="GLT23" s="84"/>
      <c r="GLU23" s="84"/>
      <c r="GLV23" s="84"/>
      <c r="GLW23" s="84"/>
      <c r="GLX23" s="84"/>
      <c r="GLY23" s="84"/>
      <c r="GLZ23" s="84"/>
      <c r="GMA23" s="84"/>
      <c r="GMB23" s="84"/>
      <c r="GMC23" s="84"/>
      <c r="GMD23" s="84"/>
      <c r="GME23" s="84"/>
      <c r="GMF23" s="84"/>
      <c r="GMG23" s="84"/>
      <c r="GMH23" s="84"/>
      <c r="GMI23" s="84"/>
      <c r="GMJ23" s="84"/>
      <c r="GMK23" s="84"/>
      <c r="GML23" s="84"/>
      <c r="GMM23" s="84"/>
      <c r="GMN23" s="84"/>
      <c r="GMO23" s="84"/>
      <c r="GMP23" s="84"/>
      <c r="GMQ23" s="84"/>
      <c r="GMR23" s="84"/>
      <c r="GMS23" s="84"/>
      <c r="GMT23" s="84"/>
      <c r="GMU23" s="84"/>
      <c r="GMV23" s="84"/>
      <c r="GMW23" s="84"/>
      <c r="GMX23" s="84"/>
      <c r="GMY23" s="84"/>
      <c r="GMZ23" s="84"/>
      <c r="GNA23" s="84"/>
      <c r="GNB23" s="84"/>
      <c r="GNC23" s="84"/>
      <c r="GND23" s="84"/>
      <c r="GNE23" s="84"/>
      <c r="GNF23" s="84"/>
      <c r="GNG23" s="84"/>
      <c r="GNH23" s="84"/>
      <c r="GNI23" s="84"/>
      <c r="GNJ23" s="84"/>
      <c r="GNK23" s="84"/>
      <c r="GNL23" s="84"/>
      <c r="GNM23" s="84"/>
      <c r="GNN23" s="84"/>
      <c r="GNO23" s="84"/>
      <c r="GNP23" s="84"/>
      <c r="GNQ23" s="84"/>
      <c r="GNR23" s="84"/>
      <c r="GNS23" s="84"/>
      <c r="GNT23" s="84"/>
      <c r="GNU23" s="84"/>
      <c r="GNV23" s="84"/>
      <c r="GNW23" s="84"/>
      <c r="GNX23" s="84"/>
      <c r="GNY23" s="84"/>
      <c r="GNZ23" s="84"/>
      <c r="GOA23" s="84"/>
      <c r="GOB23" s="84"/>
      <c r="GOC23" s="84"/>
      <c r="GOD23" s="84"/>
      <c r="GOE23" s="84"/>
      <c r="GOF23" s="84"/>
      <c r="GOG23" s="84"/>
      <c r="GOH23" s="84"/>
      <c r="GOI23" s="84"/>
      <c r="GOJ23" s="84"/>
      <c r="GOK23" s="84"/>
      <c r="GOL23" s="84"/>
      <c r="GOM23" s="84"/>
      <c r="GON23" s="84"/>
      <c r="GOO23" s="84"/>
      <c r="GOP23" s="84"/>
      <c r="GOQ23" s="84"/>
      <c r="GOR23" s="84"/>
      <c r="GOS23" s="84"/>
      <c r="GOT23" s="84"/>
      <c r="GOU23" s="84"/>
      <c r="GOV23" s="84"/>
      <c r="GOW23" s="84"/>
      <c r="GOX23" s="84"/>
      <c r="GOY23" s="84"/>
      <c r="GOZ23" s="84"/>
      <c r="GPA23" s="84"/>
      <c r="GPB23" s="84"/>
      <c r="GPC23" s="84"/>
      <c r="GPD23" s="84"/>
      <c r="GPE23" s="84"/>
      <c r="GPF23" s="84"/>
      <c r="GPG23" s="84"/>
      <c r="GPH23" s="84"/>
      <c r="GPI23" s="84"/>
      <c r="GPJ23" s="84"/>
      <c r="GPK23" s="84"/>
      <c r="GPL23" s="84"/>
      <c r="GPM23" s="84"/>
      <c r="GPN23" s="84"/>
      <c r="GPO23" s="84"/>
      <c r="GPP23" s="84"/>
      <c r="GPQ23" s="84"/>
      <c r="GPR23" s="84"/>
      <c r="GPS23" s="84"/>
      <c r="GPT23" s="84"/>
      <c r="GPU23" s="84"/>
      <c r="GPV23" s="84"/>
      <c r="GPW23" s="84"/>
      <c r="GPX23" s="84"/>
      <c r="GPY23" s="84"/>
      <c r="GPZ23" s="84"/>
      <c r="GQA23" s="84"/>
      <c r="GQB23" s="84"/>
      <c r="GQC23" s="84"/>
      <c r="GQD23" s="84"/>
      <c r="GQE23" s="84"/>
      <c r="GQF23" s="84"/>
      <c r="GQG23" s="84"/>
      <c r="GQH23" s="84"/>
      <c r="GQI23" s="84"/>
      <c r="GQJ23" s="84"/>
      <c r="GQK23" s="84"/>
      <c r="GQL23" s="84"/>
      <c r="GQM23" s="84"/>
      <c r="GQN23" s="84"/>
      <c r="GQO23" s="84"/>
      <c r="GQP23" s="84"/>
      <c r="GQQ23" s="84"/>
      <c r="GQR23" s="84"/>
      <c r="GQS23" s="84"/>
      <c r="GQT23" s="84"/>
      <c r="GQU23" s="84"/>
      <c r="GQV23" s="84"/>
      <c r="GQW23" s="84"/>
      <c r="GQX23" s="84"/>
      <c r="GQY23" s="84"/>
      <c r="GQZ23" s="84"/>
      <c r="GRA23" s="84"/>
      <c r="GRB23" s="84"/>
      <c r="GRC23" s="84"/>
      <c r="GRD23" s="84"/>
      <c r="GRE23" s="84"/>
      <c r="GRF23" s="84"/>
      <c r="GRG23" s="84"/>
      <c r="GRH23" s="84"/>
      <c r="GRI23" s="84"/>
      <c r="GRJ23" s="84"/>
      <c r="GRK23" s="84"/>
      <c r="GRL23" s="84"/>
      <c r="GRM23" s="84"/>
      <c r="GRN23" s="84"/>
      <c r="GRO23" s="84"/>
      <c r="GRP23" s="84"/>
      <c r="GRQ23" s="84"/>
      <c r="GRR23" s="84"/>
      <c r="GRS23" s="84"/>
      <c r="GRT23" s="84"/>
      <c r="GRU23" s="84"/>
      <c r="GRV23" s="84"/>
      <c r="GRW23" s="84"/>
      <c r="GRX23" s="84"/>
      <c r="GRY23" s="84"/>
      <c r="GRZ23" s="84"/>
      <c r="GSA23" s="84"/>
      <c r="GSB23" s="84"/>
      <c r="GSC23" s="84"/>
      <c r="GSD23" s="84"/>
      <c r="GSE23" s="84"/>
      <c r="GSF23" s="84"/>
      <c r="GSG23" s="84"/>
      <c r="GSH23" s="84"/>
      <c r="GSI23" s="84"/>
      <c r="GSJ23" s="84"/>
      <c r="GSK23" s="84"/>
      <c r="GSL23" s="84"/>
      <c r="GSM23" s="84"/>
      <c r="GSN23" s="84"/>
      <c r="GSO23" s="84"/>
      <c r="GSP23" s="84"/>
      <c r="GSQ23" s="84"/>
      <c r="GSR23" s="84"/>
      <c r="GSS23" s="84"/>
      <c r="GST23" s="84"/>
      <c r="GSU23" s="84"/>
      <c r="GSV23" s="84"/>
      <c r="GSW23" s="84"/>
      <c r="GSX23" s="84"/>
      <c r="GSY23" s="84"/>
      <c r="GSZ23" s="84"/>
      <c r="GTA23" s="84"/>
      <c r="GTB23" s="84"/>
      <c r="GTC23" s="84"/>
      <c r="GTD23" s="84"/>
      <c r="GTE23" s="84"/>
      <c r="GTF23" s="84"/>
      <c r="GTG23" s="84"/>
      <c r="GTH23" s="84"/>
      <c r="GTI23" s="84"/>
      <c r="GTJ23" s="84"/>
      <c r="GTK23" s="84"/>
      <c r="GTL23" s="84"/>
      <c r="GTM23" s="84"/>
      <c r="GTN23" s="84"/>
      <c r="GTO23" s="84"/>
      <c r="GTP23" s="84"/>
      <c r="GTQ23" s="84"/>
      <c r="GTR23" s="84"/>
      <c r="GTS23" s="84"/>
      <c r="GTT23" s="84"/>
      <c r="GTU23" s="84"/>
      <c r="GTV23" s="84"/>
      <c r="GTW23" s="84"/>
      <c r="GTX23" s="84"/>
      <c r="GTY23" s="84"/>
      <c r="GTZ23" s="84"/>
      <c r="GUA23" s="84"/>
      <c r="GUB23" s="84"/>
      <c r="GUC23" s="84"/>
      <c r="GUD23" s="84"/>
      <c r="GUE23" s="84"/>
      <c r="GUF23" s="84"/>
      <c r="GUG23" s="84"/>
      <c r="GUH23" s="84"/>
      <c r="GUI23" s="84"/>
      <c r="GUJ23" s="84"/>
      <c r="GUK23" s="84"/>
      <c r="GUL23" s="84"/>
      <c r="GUM23" s="84"/>
      <c r="GUN23" s="84"/>
      <c r="GUO23" s="84"/>
      <c r="GUP23" s="84"/>
      <c r="GUQ23" s="84"/>
      <c r="GUR23" s="84"/>
      <c r="GUS23" s="84"/>
      <c r="GUT23" s="84"/>
      <c r="GUU23" s="84"/>
      <c r="GUV23" s="84"/>
      <c r="GUW23" s="84"/>
      <c r="GUX23" s="84"/>
      <c r="GUY23" s="84"/>
      <c r="GUZ23" s="84"/>
      <c r="GVA23" s="84"/>
      <c r="GVB23" s="84"/>
      <c r="GVC23" s="84"/>
      <c r="GVD23" s="84"/>
      <c r="GVE23" s="84"/>
      <c r="GVF23" s="84"/>
      <c r="GVG23" s="84"/>
      <c r="GVH23" s="84"/>
      <c r="GVI23" s="84"/>
      <c r="GVJ23" s="84"/>
      <c r="GVK23" s="84"/>
      <c r="GVL23" s="84"/>
      <c r="GVM23" s="84"/>
      <c r="GVN23" s="84"/>
      <c r="GVO23" s="84"/>
      <c r="GVP23" s="84"/>
      <c r="GVQ23" s="84"/>
      <c r="GVR23" s="84"/>
      <c r="GVS23" s="84"/>
      <c r="GVT23" s="84"/>
      <c r="GVU23" s="84"/>
      <c r="GVV23" s="84"/>
      <c r="GVW23" s="84"/>
      <c r="GVX23" s="84"/>
      <c r="GVY23" s="84"/>
      <c r="GVZ23" s="84"/>
      <c r="GWA23" s="84"/>
      <c r="GWB23" s="84"/>
      <c r="GWC23" s="84"/>
      <c r="GWD23" s="84"/>
      <c r="GWE23" s="84"/>
      <c r="GWF23" s="84"/>
      <c r="GWG23" s="84"/>
      <c r="GWH23" s="84"/>
      <c r="GWI23" s="84"/>
      <c r="GWJ23" s="84"/>
      <c r="GWK23" s="84"/>
      <c r="GWL23" s="84"/>
      <c r="GWM23" s="84"/>
      <c r="GWN23" s="84"/>
      <c r="GWO23" s="84"/>
      <c r="GWP23" s="84"/>
      <c r="GWQ23" s="84"/>
      <c r="GWR23" s="84"/>
      <c r="GWS23" s="84"/>
      <c r="GWT23" s="84"/>
      <c r="GWU23" s="84"/>
      <c r="GWV23" s="84"/>
      <c r="GWW23" s="84"/>
      <c r="GWX23" s="84"/>
      <c r="GWY23" s="84"/>
      <c r="GWZ23" s="84"/>
      <c r="GXA23" s="84"/>
      <c r="GXB23" s="84"/>
      <c r="GXC23" s="84"/>
      <c r="GXD23" s="84"/>
      <c r="GXE23" s="84"/>
      <c r="GXF23" s="84"/>
      <c r="GXG23" s="84"/>
      <c r="GXH23" s="84"/>
      <c r="GXI23" s="84"/>
      <c r="GXJ23" s="84"/>
      <c r="GXK23" s="84"/>
      <c r="GXL23" s="84"/>
      <c r="GXM23" s="84"/>
      <c r="GXN23" s="84"/>
      <c r="GXO23" s="84"/>
      <c r="GXP23" s="84"/>
      <c r="GXQ23" s="84"/>
      <c r="GXR23" s="84"/>
      <c r="GXS23" s="84"/>
      <c r="GXT23" s="84"/>
      <c r="GXU23" s="84"/>
      <c r="GXV23" s="84"/>
      <c r="GXW23" s="84"/>
      <c r="GXX23" s="84"/>
      <c r="GXY23" s="84"/>
      <c r="GXZ23" s="84"/>
      <c r="GYA23" s="84"/>
      <c r="GYB23" s="84"/>
      <c r="GYC23" s="84"/>
      <c r="GYD23" s="84"/>
      <c r="GYE23" s="84"/>
      <c r="GYF23" s="84"/>
      <c r="GYG23" s="84"/>
      <c r="GYH23" s="84"/>
      <c r="GYI23" s="84"/>
      <c r="GYJ23" s="84"/>
      <c r="GYK23" s="84"/>
      <c r="GYL23" s="84"/>
      <c r="GYM23" s="84"/>
      <c r="GYN23" s="84"/>
      <c r="GYO23" s="84"/>
      <c r="GYP23" s="84"/>
      <c r="GYQ23" s="84"/>
      <c r="GYR23" s="84"/>
      <c r="GYS23" s="84"/>
      <c r="GYT23" s="84"/>
      <c r="GYU23" s="84"/>
      <c r="GYV23" s="84"/>
      <c r="GYW23" s="84"/>
      <c r="GYX23" s="84"/>
      <c r="GYY23" s="84"/>
      <c r="GYZ23" s="84"/>
      <c r="GZA23" s="84"/>
      <c r="GZB23" s="84"/>
      <c r="GZC23" s="84"/>
      <c r="GZD23" s="84"/>
      <c r="GZE23" s="84"/>
      <c r="GZF23" s="84"/>
      <c r="GZG23" s="84"/>
      <c r="GZH23" s="84"/>
      <c r="GZI23" s="84"/>
      <c r="GZJ23" s="84"/>
      <c r="GZK23" s="84"/>
      <c r="GZL23" s="84"/>
      <c r="GZM23" s="84"/>
      <c r="GZN23" s="84"/>
      <c r="GZO23" s="84"/>
      <c r="GZP23" s="84"/>
      <c r="GZQ23" s="84"/>
      <c r="GZR23" s="84"/>
      <c r="GZS23" s="84"/>
      <c r="GZT23" s="84"/>
      <c r="GZU23" s="84"/>
      <c r="GZV23" s="84"/>
      <c r="GZW23" s="84"/>
      <c r="GZX23" s="84"/>
      <c r="GZY23" s="84"/>
      <c r="GZZ23" s="84"/>
      <c r="HAA23" s="84"/>
      <c r="HAB23" s="84"/>
      <c r="HAC23" s="84"/>
      <c r="HAD23" s="84"/>
      <c r="HAE23" s="84"/>
      <c r="HAF23" s="84"/>
      <c r="HAG23" s="84"/>
      <c r="HAH23" s="84"/>
      <c r="HAI23" s="84"/>
      <c r="HAJ23" s="84"/>
      <c r="HAK23" s="84"/>
      <c r="HAL23" s="84"/>
      <c r="HAM23" s="84"/>
      <c r="HAN23" s="84"/>
      <c r="HAO23" s="84"/>
      <c r="HAP23" s="84"/>
      <c r="HAQ23" s="84"/>
      <c r="HAR23" s="84"/>
      <c r="HAS23" s="84"/>
      <c r="HAT23" s="84"/>
      <c r="HAU23" s="84"/>
      <c r="HAV23" s="84"/>
      <c r="HAW23" s="84"/>
      <c r="HAX23" s="84"/>
      <c r="HAY23" s="84"/>
      <c r="HAZ23" s="84"/>
      <c r="HBA23" s="84"/>
      <c r="HBB23" s="84"/>
      <c r="HBC23" s="84"/>
      <c r="HBD23" s="84"/>
      <c r="HBE23" s="84"/>
      <c r="HBF23" s="84"/>
      <c r="HBG23" s="84"/>
      <c r="HBH23" s="84"/>
      <c r="HBI23" s="84"/>
      <c r="HBJ23" s="84"/>
      <c r="HBK23" s="84"/>
      <c r="HBL23" s="84"/>
    </row>
    <row r="24" spans="1:5473" s="24" customFormat="1" x14ac:dyDescent="0.3">
      <c r="A24" s="316"/>
      <c r="B24" s="84"/>
      <c r="D24" s="240"/>
      <c r="E24" s="240"/>
      <c r="G24" s="316"/>
      <c r="H24" s="49"/>
      <c r="I24" s="549"/>
      <c r="J24" s="179"/>
      <c r="K24" s="179"/>
      <c r="L24" s="354"/>
      <c r="M24" s="354"/>
      <c r="N24" s="461"/>
      <c r="O24" s="354"/>
      <c r="P24" s="551"/>
    </row>
    <row r="25" spans="1:5473" s="24" customFormat="1" x14ac:dyDescent="0.3">
      <c r="A25" s="316"/>
      <c r="I25" s="551"/>
      <c r="J25" s="179"/>
      <c r="K25" s="179"/>
      <c r="L25" s="354"/>
      <c r="M25" s="354"/>
      <c r="N25" s="461"/>
      <c r="O25" s="354"/>
      <c r="P25" s="551"/>
    </row>
    <row r="26" spans="1:5473" s="24" customFormat="1" x14ac:dyDescent="0.3">
      <c r="A26" s="316"/>
      <c r="B26" s="84"/>
      <c r="D26" s="240"/>
      <c r="E26" s="240"/>
      <c r="G26" s="316"/>
      <c r="H26" s="49"/>
      <c r="I26" s="549"/>
      <c r="J26" s="179"/>
      <c r="K26" s="179"/>
      <c r="L26" s="354"/>
      <c r="M26" s="354"/>
      <c r="N26" s="461"/>
      <c r="O26" s="354"/>
      <c r="P26" s="551"/>
    </row>
    <row r="27" spans="1:5473" s="24" customFormat="1" x14ac:dyDescent="0.3">
      <c r="A27" s="316"/>
      <c r="B27" s="84"/>
      <c r="D27" s="240"/>
      <c r="E27" s="240"/>
      <c r="G27" s="316"/>
      <c r="H27" s="49"/>
      <c r="I27" s="549"/>
      <c r="J27" s="179"/>
      <c r="K27" s="179"/>
      <c r="L27" s="354"/>
      <c r="M27" s="354"/>
      <c r="N27" s="461"/>
      <c r="O27" s="354"/>
      <c r="P27" s="551"/>
    </row>
    <row r="28" spans="1:5473" s="24" customFormat="1" x14ac:dyDescent="0.3">
      <c r="A28" s="316"/>
      <c r="B28" s="84"/>
      <c r="D28" s="240"/>
      <c r="E28" s="240"/>
      <c r="G28" s="316"/>
      <c r="H28" s="49"/>
      <c r="I28" s="549"/>
      <c r="J28" s="179"/>
      <c r="K28" s="179"/>
      <c r="L28" s="354"/>
      <c r="M28" s="354"/>
      <c r="N28" s="461"/>
      <c r="O28" s="354"/>
      <c r="P28" s="551"/>
    </row>
    <row r="29" spans="1:5473" s="24" customFormat="1" x14ac:dyDescent="0.3">
      <c r="A29" s="37"/>
      <c r="B29" s="84"/>
      <c r="D29" s="240"/>
      <c r="E29" s="240"/>
      <c r="G29" s="316"/>
      <c r="H29" s="49"/>
      <c r="I29" s="549"/>
      <c r="J29" s="179"/>
      <c r="K29" s="179"/>
      <c r="L29" s="354"/>
      <c r="M29" s="354"/>
      <c r="N29" s="461"/>
      <c r="O29" s="354"/>
      <c r="P29" s="551"/>
      <c r="Q29" s="84"/>
    </row>
    <row r="30" spans="1:5473" s="24" customFormat="1" x14ac:dyDescent="0.3">
      <c r="A30" s="37"/>
      <c r="B30" s="84"/>
      <c r="D30" s="240"/>
      <c r="E30" s="240"/>
      <c r="H30" s="49"/>
      <c r="I30" s="549"/>
      <c r="J30" s="179"/>
      <c r="K30" s="179"/>
      <c r="L30" s="354"/>
      <c r="M30" s="354"/>
      <c r="N30" s="461"/>
      <c r="O30" s="354"/>
      <c r="P30" s="551"/>
      <c r="Q30" s="84"/>
    </row>
    <row r="31" spans="1:5473" s="15" customFormat="1" x14ac:dyDescent="0.3">
      <c r="A31" s="27"/>
      <c r="B31" s="1"/>
      <c r="D31" s="240"/>
      <c r="E31" s="240"/>
      <c r="H31" s="21"/>
      <c r="I31" s="396"/>
      <c r="J31" s="78"/>
      <c r="K31" s="78"/>
      <c r="L31" s="120"/>
      <c r="M31" s="120"/>
      <c r="N31" s="293"/>
      <c r="O31" s="120"/>
      <c r="P31" s="188"/>
      <c r="Q31" s="1"/>
    </row>
    <row r="32" spans="1:5473" s="15" customFormat="1" x14ac:dyDescent="0.3">
      <c r="A32" s="27"/>
      <c r="B32" s="1"/>
      <c r="D32" s="240"/>
      <c r="E32" s="240"/>
      <c r="H32" s="21"/>
      <c r="I32" s="396"/>
      <c r="J32" s="78"/>
      <c r="K32" s="78"/>
      <c r="L32" s="120"/>
      <c r="M32" s="120"/>
      <c r="N32" s="293"/>
      <c r="O32" s="120"/>
      <c r="P32" s="188"/>
      <c r="Q32" s="1"/>
    </row>
    <row r="33" spans="1:17" s="15" customFormat="1" x14ac:dyDescent="0.3">
      <c r="A33" s="27"/>
      <c r="B33" s="1"/>
      <c r="D33" s="240"/>
      <c r="E33" s="240"/>
      <c r="H33" s="21"/>
      <c r="I33" s="396"/>
      <c r="J33" s="78"/>
      <c r="K33" s="78"/>
      <c r="L33" s="120"/>
      <c r="M33" s="120"/>
      <c r="N33" s="293"/>
      <c r="O33" s="120"/>
      <c r="P33" s="188"/>
      <c r="Q33" s="1"/>
    </row>
    <row r="34" spans="1:17" s="15" customFormat="1" x14ac:dyDescent="0.3">
      <c r="A34" s="27"/>
      <c r="B34" s="1"/>
      <c r="D34" s="240"/>
      <c r="E34" s="240"/>
      <c r="H34" s="21"/>
      <c r="I34" s="396"/>
      <c r="J34" s="78"/>
      <c r="K34" s="78"/>
      <c r="L34" s="120"/>
      <c r="M34" s="120"/>
      <c r="N34" s="293"/>
      <c r="O34" s="120"/>
      <c r="P34" s="188"/>
      <c r="Q34" s="1"/>
    </row>
    <row r="35" spans="1:17" s="15" customFormat="1" x14ac:dyDescent="0.3">
      <c r="A35" s="27"/>
      <c r="B35" s="1"/>
      <c r="D35" s="240"/>
      <c r="E35" s="240"/>
      <c r="H35" s="21"/>
      <c r="I35" s="396"/>
      <c r="J35" s="78"/>
      <c r="K35" s="78"/>
      <c r="L35" s="120"/>
      <c r="M35" s="120"/>
      <c r="N35" s="293"/>
      <c r="O35" s="120"/>
      <c r="P35" s="188"/>
      <c r="Q35" s="1"/>
    </row>
    <row r="36" spans="1:17" s="15" customFormat="1" x14ac:dyDescent="0.3">
      <c r="A36" s="27"/>
      <c r="B36" s="1"/>
      <c r="D36" s="240"/>
      <c r="E36" s="240"/>
      <c r="H36" s="21"/>
      <c r="I36" s="396"/>
      <c r="J36" s="78"/>
      <c r="K36" s="78"/>
      <c r="L36" s="120"/>
      <c r="M36" s="120"/>
      <c r="N36" s="293"/>
      <c r="O36" s="120"/>
      <c r="P36" s="188"/>
      <c r="Q36" s="1"/>
    </row>
    <row r="37" spans="1:17" s="15" customFormat="1" x14ac:dyDescent="0.3">
      <c r="A37" s="27"/>
      <c r="B37" s="1"/>
      <c r="D37" s="240"/>
      <c r="E37" s="240"/>
      <c r="H37" s="21"/>
      <c r="I37" s="396"/>
      <c r="J37" s="78"/>
      <c r="K37" s="78"/>
      <c r="L37" s="120"/>
      <c r="M37" s="120"/>
      <c r="N37" s="293"/>
      <c r="O37" s="120"/>
      <c r="P37" s="188"/>
      <c r="Q37" s="1"/>
    </row>
    <row r="38" spans="1:17" s="15" customFormat="1" x14ac:dyDescent="0.3">
      <c r="A38" s="27"/>
      <c r="B38" s="1"/>
      <c r="D38" s="240"/>
      <c r="E38" s="240"/>
      <c r="H38" s="21"/>
      <c r="I38" s="396"/>
      <c r="J38" s="78"/>
      <c r="K38" s="78"/>
      <c r="L38" s="120"/>
      <c r="M38" s="120"/>
      <c r="N38" s="293"/>
      <c r="O38" s="120"/>
      <c r="P38" s="188"/>
      <c r="Q38" s="1"/>
    </row>
    <row r="39" spans="1:17" s="15" customFormat="1" x14ac:dyDescent="0.3">
      <c r="A39" s="27"/>
      <c r="B39" s="1"/>
      <c r="D39" s="240"/>
      <c r="E39" s="240"/>
      <c r="H39" s="21"/>
      <c r="I39" s="396"/>
      <c r="J39" s="78"/>
      <c r="K39" s="78"/>
      <c r="L39" s="120"/>
      <c r="M39" s="120"/>
      <c r="N39" s="293"/>
      <c r="O39" s="120"/>
      <c r="P39" s="188"/>
      <c r="Q39" s="1"/>
    </row>
    <row r="40" spans="1:17" s="15" customFormat="1" x14ac:dyDescent="0.3">
      <c r="A40" s="27"/>
      <c r="B40" s="1"/>
      <c r="D40" s="240"/>
      <c r="E40" s="240"/>
      <c r="H40" s="21"/>
      <c r="I40" s="396"/>
      <c r="J40" s="78"/>
      <c r="K40" s="78"/>
      <c r="L40" s="120"/>
      <c r="M40" s="120"/>
      <c r="N40" s="293"/>
      <c r="O40" s="120"/>
      <c r="P40" s="188"/>
      <c r="Q40" s="1"/>
    </row>
    <row r="41" spans="1:17" s="15" customFormat="1" x14ac:dyDescent="0.3">
      <c r="A41" s="27"/>
      <c r="B41" s="1"/>
      <c r="D41" s="240"/>
      <c r="E41" s="240"/>
      <c r="H41" s="21"/>
      <c r="I41" s="396"/>
      <c r="J41" s="78"/>
      <c r="K41" s="78"/>
      <c r="L41" s="120"/>
      <c r="M41" s="120"/>
      <c r="N41" s="293"/>
      <c r="O41" s="120"/>
      <c r="P41" s="188"/>
      <c r="Q41" s="1"/>
    </row>
    <row r="42" spans="1:17" s="15" customFormat="1" x14ac:dyDescent="0.3">
      <c r="A42" s="27"/>
      <c r="B42" s="1"/>
      <c r="D42" s="240"/>
      <c r="E42" s="240"/>
      <c r="H42" s="21"/>
      <c r="I42" s="396"/>
      <c r="J42" s="78"/>
      <c r="K42" s="78"/>
      <c r="L42" s="120"/>
      <c r="M42" s="120"/>
      <c r="N42" s="293"/>
      <c r="O42" s="120"/>
      <c r="P42" s="188"/>
      <c r="Q42" s="1"/>
    </row>
    <row r="43" spans="1:17" s="15" customFormat="1" x14ac:dyDescent="0.3">
      <c r="A43" s="27"/>
      <c r="B43" s="1"/>
      <c r="D43" s="240"/>
      <c r="E43" s="240"/>
      <c r="H43" s="21"/>
      <c r="I43" s="396"/>
      <c r="J43" s="78"/>
      <c r="K43" s="78"/>
      <c r="L43" s="120"/>
      <c r="M43" s="120"/>
      <c r="N43" s="293"/>
      <c r="O43" s="120"/>
      <c r="P43" s="188"/>
      <c r="Q43" s="1"/>
    </row>
    <row r="44" spans="1:17" s="15" customFormat="1" x14ac:dyDescent="0.3">
      <c r="A44" s="27"/>
      <c r="B44" s="1"/>
      <c r="D44" s="240"/>
      <c r="E44" s="240"/>
      <c r="H44" s="21"/>
      <c r="I44" s="396"/>
      <c r="J44" s="78"/>
      <c r="K44" s="78"/>
      <c r="L44" s="120"/>
      <c r="M44" s="120"/>
      <c r="N44" s="293"/>
      <c r="O44" s="120"/>
      <c r="P44" s="188"/>
      <c r="Q44" s="1"/>
    </row>
    <row r="45" spans="1:17" s="15" customFormat="1" x14ac:dyDescent="0.3">
      <c r="A45" s="27"/>
      <c r="B45" s="1"/>
      <c r="D45" s="240"/>
      <c r="E45" s="240"/>
      <c r="H45" s="21"/>
      <c r="I45" s="396"/>
      <c r="J45" s="78"/>
      <c r="K45" s="78"/>
      <c r="L45" s="120"/>
      <c r="M45" s="120"/>
      <c r="N45" s="293"/>
      <c r="O45" s="120"/>
      <c r="P45" s="188"/>
      <c r="Q45" s="1"/>
    </row>
    <row r="46" spans="1:17" s="15" customFormat="1" x14ac:dyDescent="0.3">
      <c r="A46" s="27"/>
      <c r="B46" s="1"/>
      <c r="D46" s="240"/>
      <c r="E46" s="240"/>
      <c r="H46" s="21"/>
      <c r="I46" s="396"/>
      <c r="J46" s="78"/>
      <c r="K46" s="78"/>
      <c r="L46" s="120"/>
      <c r="M46" s="120"/>
      <c r="N46" s="293"/>
      <c r="O46" s="120"/>
      <c r="P46" s="188"/>
      <c r="Q46" s="1"/>
    </row>
    <row r="47" spans="1:17" s="15" customFormat="1" x14ac:dyDescent="0.3">
      <c r="A47" s="27"/>
      <c r="B47" s="1"/>
      <c r="D47" s="240"/>
      <c r="E47" s="240"/>
      <c r="H47" s="21"/>
      <c r="I47" s="396"/>
      <c r="J47" s="78"/>
      <c r="K47" s="78"/>
      <c r="L47" s="120"/>
      <c r="M47" s="120"/>
      <c r="N47" s="293"/>
      <c r="O47" s="120"/>
      <c r="P47" s="188"/>
      <c r="Q47" s="1"/>
    </row>
    <row r="48" spans="1:17" s="15" customFormat="1" x14ac:dyDescent="0.3">
      <c r="A48" s="27"/>
      <c r="B48" s="1"/>
      <c r="D48" s="240"/>
      <c r="E48" s="240"/>
      <c r="H48" s="21"/>
      <c r="I48" s="396"/>
      <c r="J48" s="78"/>
      <c r="K48" s="78"/>
      <c r="L48" s="120"/>
      <c r="M48" s="120"/>
      <c r="N48" s="293"/>
      <c r="O48" s="120"/>
      <c r="P48" s="188"/>
      <c r="Q48" s="1"/>
    </row>
    <row r="49" spans="1:17" s="15" customFormat="1" x14ac:dyDescent="0.3">
      <c r="A49" s="27"/>
      <c r="B49" s="1"/>
      <c r="D49" s="240"/>
      <c r="E49" s="240"/>
      <c r="H49" s="21"/>
      <c r="I49" s="396"/>
      <c r="J49" s="78"/>
      <c r="K49" s="78"/>
      <c r="L49" s="120"/>
      <c r="M49" s="120"/>
      <c r="N49" s="293"/>
      <c r="O49" s="120"/>
      <c r="P49" s="188"/>
      <c r="Q49" s="1"/>
    </row>
    <row r="50" spans="1:17" s="15" customFormat="1" x14ac:dyDescent="0.3">
      <c r="A50" s="27"/>
      <c r="B50" s="1"/>
      <c r="D50" s="240"/>
      <c r="E50" s="240"/>
      <c r="H50" s="21"/>
      <c r="I50" s="396"/>
      <c r="J50" s="78"/>
      <c r="K50" s="78"/>
      <c r="L50" s="120"/>
      <c r="M50" s="120"/>
      <c r="N50" s="293"/>
      <c r="O50" s="120"/>
      <c r="P50" s="188"/>
      <c r="Q50" s="1"/>
    </row>
    <row r="51" spans="1:17" s="15" customFormat="1" x14ac:dyDescent="0.3">
      <c r="A51" s="27"/>
      <c r="B51" s="1"/>
      <c r="D51" s="240"/>
      <c r="E51" s="240"/>
      <c r="H51" s="21"/>
      <c r="I51" s="396"/>
      <c r="J51" s="78"/>
      <c r="K51" s="78"/>
      <c r="L51" s="120"/>
      <c r="M51" s="120"/>
      <c r="N51" s="293"/>
      <c r="O51" s="120"/>
      <c r="P51" s="188"/>
      <c r="Q51" s="1"/>
    </row>
    <row r="52" spans="1:17" s="15" customFormat="1" x14ac:dyDescent="0.3">
      <c r="A52" s="27"/>
      <c r="B52" s="1"/>
      <c r="D52" s="240"/>
      <c r="E52" s="240"/>
      <c r="H52" s="21"/>
      <c r="I52" s="396"/>
      <c r="J52" s="78"/>
      <c r="K52" s="78"/>
      <c r="L52" s="120"/>
      <c r="M52" s="120"/>
      <c r="N52" s="293"/>
      <c r="O52" s="120"/>
      <c r="P52" s="188"/>
      <c r="Q52" s="1"/>
    </row>
    <row r="53" spans="1:17" s="15" customFormat="1" x14ac:dyDescent="0.3">
      <c r="A53" s="27"/>
      <c r="B53" s="1"/>
      <c r="D53" s="240"/>
      <c r="E53" s="240"/>
      <c r="H53" s="21"/>
      <c r="I53" s="396"/>
      <c r="J53" s="78"/>
      <c r="K53" s="78"/>
      <c r="L53" s="120"/>
      <c r="M53" s="120"/>
      <c r="N53" s="293"/>
      <c r="O53" s="120"/>
      <c r="P53" s="188"/>
      <c r="Q53" s="1"/>
    </row>
    <row r="54" spans="1:17" s="15" customFormat="1" x14ac:dyDescent="0.3">
      <c r="A54" s="27"/>
      <c r="B54" s="1"/>
      <c r="D54" s="240"/>
      <c r="E54" s="240"/>
      <c r="H54" s="21"/>
      <c r="I54" s="396"/>
      <c r="J54" s="78"/>
      <c r="K54" s="78"/>
      <c r="L54" s="120"/>
      <c r="M54" s="120"/>
      <c r="N54" s="293"/>
      <c r="O54" s="120"/>
      <c r="P54" s="188"/>
      <c r="Q54" s="1"/>
    </row>
    <row r="55" spans="1:17" s="15" customFormat="1" x14ac:dyDescent="0.3">
      <c r="A55" s="27"/>
      <c r="B55" s="1"/>
      <c r="D55" s="240"/>
      <c r="E55" s="240"/>
      <c r="H55" s="21"/>
      <c r="I55" s="396"/>
      <c r="J55" s="78"/>
      <c r="K55" s="78"/>
      <c r="L55" s="120"/>
      <c r="M55" s="120"/>
      <c r="N55" s="293"/>
      <c r="O55" s="120"/>
      <c r="P55" s="188"/>
      <c r="Q55" s="1"/>
    </row>
    <row r="56" spans="1:17" s="15" customFormat="1" x14ac:dyDescent="0.3">
      <c r="A56" s="27"/>
      <c r="B56" s="1"/>
      <c r="D56" s="240"/>
      <c r="E56" s="240"/>
      <c r="H56" s="21"/>
      <c r="I56" s="396"/>
      <c r="J56" s="78"/>
      <c r="K56" s="78"/>
      <c r="L56" s="120"/>
      <c r="M56" s="120"/>
      <c r="N56" s="293"/>
      <c r="O56" s="120"/>
      <c r="P56" s="188"/>
      <c r="Q56" s="1"/>
    </row>
    <row r="57" spans="1:17" s="15" customFormat="1" x14ac:dyDescent="0.3">
      <c r="A57" s="27"/>
      <c r="B57" s="1"/>
      <c r="D57" s="240"/>
      <c r="E57" s="240"/>
      <c r="H57" s="21"/>
      <c r="I57" s="396"/>
      <c r="J57" s="78"/>
      <c r="K57" s="78"/>
      <c r="L57" s="120"/>
      <c r="M57" s="120"/>
      <c r="N57" s="293"/>
      <c r="O57" s="120"/>
      <c r="P57" s="188"/>
      <c r="Q57" s="1"/>
    </row>
    <row r="58" spans="1:17" s="15" customFormat="1" x14ac:dyDescent="0.3">
      <c r="A58" s="27"/>
      <c r="B58" s="1"/>
      <c r="D58" s="240"/>
      <c r="E58" s="240"/>
      <c r="H58" s="21"/>
      <c r="I58" s="396"/>
      <c r="J58" s="78"/>
      <c r="K58" s="78"/>
      <c r="L58" s="120"/>
      <c r="M58" s="120"/>
      <c r="N58" s="293"/>
      <c r="O58" s="120"/>
      <c r="P58" s="188"/>
      <c r="Q58" s="1"/>
    </row>
    <row r="59" spans="1:17" s="15" customFormat="1" x14ac:dyDescent="0.3">
      <c r="A59" s="27"/>
      <c r="B59" s="1"/>
      <c r="D59" s="240"/>
      <c r="E59" s="240"/>
      <c r="H59" s="21"/>
      <c r="I59" s="396"/>
      <c r="J59" s="78"/>
      <c r="K59" s="78"/>
      <c r="L59" s="120"/>
      <c r="M59" s="120"/>
      <c r="N59" s="293"/>
      <c r="O59" s="120"/>
      <c r="P59" s="188"/>
      <c r="Q59" s="1"/>
    </row>
    <row r="60" spans="1:17" s="15" customFormat="1" x14ac:dyDescent="0.3">
      <c r="A60" s="27"/>
      <c r="B60" s="1"/>
      <c r="D60" s="240"/>
      <c r="E60" s="240"/>
      <c r="H60" s="21"/>
      <c r="I60" s="396"/>
      <c r="J60" s="78"/>
      <c r="K60" s="78"/>
      <c r="L60" s="120"/>
      <c r="M60" s="120"/>
      <c r="N60" s="293"/>
      <c r="O60" s="120"/>
      <c r="P60" s="188"/>
      <c r="Q60" s="1"/>
    </row>
    <row r="61" spans="1:17" s="15" customFormat="1" x14ac:dyDescent="0.3">
      <c r="A61" s="27"/>
      <c r="B61" s="1"/>
      <c r="D61" s="240"/>
      <c r="E61" s="240"/>
      <c r="H61" s="21"/>
      <c r="I61" s="396"/>
      <c r="J61" s="78"/>
      <c r="K61" s="78"/>
      <c r="L61" s="120"/>
      <c r="M61" s="120"/>
      <c r="N61" s="293"/>
      <c r="O61" s="120"/>
      <c r="P61" s="188"/>
      <c r="Q61" s="1"/>
    </row>
    <row r="62" spans="1:17" s="15" customFormat="1" x14ac:dyDescent="0.3">
      <c r="A62" s="27"/>
      <c r="B62" s="1"/>
      <c r="D62" s="240"/>
      <c r="E62" s="240"/>
      <c r="H62" s="21"/>
      <c r="I62" s="396"/>
      <c r="J62" s="78"/>
      <c r="K62" s="78"/>
      <c r="L62" s="120"/>
      <c r="M62" s="120"/>
      <c r="N62" s="293"/>
      <c r="O62" s="120"/>
      <c r="P62" s="188"/>
      <c r="Q62" s="1"/>
    </row>
    <row r="63" spans="1:17" s="15" customFormat="1" x14ac:dyDescent="0.3">
      <c r="A63" s="27"/>
      <c r="B63" s="1"/>
      <c r="D63" s="240"/>
      <c r="E63" s="240"/>
      <c r="H63" s="21"/>
      <c r="I63" s="396"/>
      <c r="J63" s="78"/>
      <c r="K63" s="78"/>
      <c r="L63" s="120"/>
      <c r="M63" s="120"/>
      <c r="N63" s="293"/>
      <c r="O63" s="120"/>
      <c r="P63" s="188"/>
      <c r="Q63" s="1"/>
    </row>
    <row r="64" spans="1:17" s="15" customFormat="1" x14ac:dyDescent="0.3">
      <c r="A64" s="27"/>
      <c r="B64" s="1"/>
      <c r="D64" s="240"/>
      <c r="E64" s="240"/>
      <c r="H64" s="21"/>
      <c r="I64" s="396"/>
      <c r="J64" s="78"/>
      <c r="K64" s="78"/>
      <c r="L64" s="120"/>
      <c r="M64" s="120"/>
      <c r="N64" s="293"/>
      <c r="O64" s="120"/>
      <c r="P64" s="188"/>
      <c r="Q64" s="1"/>
    </row>
    <row r="65" spans="1:17" s="15" customFormat="1" x14ac:dyDescent="0.3">
      <c r="A65" s="27"/>
      <c r="B65" s="1"/>
      <c r="D65" s="240"/>
      <c r="E65" s="240"/>
      <c r="H65" s="21"/>
      <c r="I65" s="396"/>
      <c r="J65" s="78"/>
      <c r="K65" s="78"/>
      <c r="L65" s="120"/>
      <c r="M65" s="120"/>
      <c r="N65" s="293"/>
      <c r="O65" s="120"/>
      <c r="P65" s="188"/>
      <c r="Q65" s="1"/>
    </row>
    <row r="66" spans="1:17" s="15" customFormat="1" x14ac:dyDescent="0.3">
      <c r="A66" s="27"/>
      <c r="B66" s="1"/>
      <c r="D66" s="240"/>
      <c r="E66" s="240"/>
      <c r="H66" s="21"/>
      <c r="I66" s="396"/>
      <c r="J66" s="78"/>
      <c r="K66" s="78"/>
      <c r="L66" s="120"/>
      <c r="M66" s="120"/>
      <c r="N66" s="293"/>
      <c r="O66" s="120"/>
      <c r="P66" s="188"/>
      <c r="Q66" s="1"/>
    </row>
    <row r="67" spans="1:17" s="15" customFormat="1" x14ac:dyDescent="0.3">
      <c r="A67" s="27"/>
      <c r="B67" s="1"/>
      <c r="D67" s="240"/>
      <c r="E67" s="240"/>
      <c r="H67" s="21"/>
      <c r="I67" s="396"/>
      <c r="J67" s="78"/>
      <c r="K67" s="78"/>
      <c r="L67" s="120"/>
      <c r="M67" s="120"/>
      <c r="N67" s="293"/>
      <c r="O67" s="120"/>
      <c r="P67" s="188"/>
      <c r="Q67" s="1"/>
    </row>
    <row r="68" spans="1:17" s="15" customFormat="1" x14ac:dyDescent="0.3">
      <c r="A68" s="27"/>
      <c r="B68" s="1"/>
      <c r="D68" s="240"/>
      <c r="E68" s="240"/>
      <c r="H68" s="21"/>
      <c r="I68" s="396"/>
      <c r="J68" s="78"/>
      <c r="K68" s="78"/>
      <c r="L68" s="120"/>
      <c r="M68" s="120"/>
      <c r="N68" s="293"/>
      <c r="O68" s="120"/>
      <c r="P68" s="188"/>
      <c r="Q68" s="1"/>
    </row>
    <row r="69" spans="1:17" s="15" customFormat="1" x14ac:dyDescent="0.3">
      <c r="A69" s="27"/>
      <c r="B69" s="1"/>
      <c r="D69" s="240"/>
      <c r="E69" s="240"/>
      <c r="H69" s="21"/>
      <c r="I69" s="396"/>
      <c r="J69" s="78"/>
      <c r="K69" s="78"/>
      <c r="L69" s="120"/>
      <c r="M69" s="120"/>
      <c r="N69" s="293"/>
      <c r="O69" s="120"/>
      <c r="P69" s="188"/>
      <c r="Q69" s="1"/>
    </row>
    <row r="70" spans="1:17" s="15" customFormat="1" x14ac:dyDescent="0.3">
      <c r="A70" s="27"/>
      <c r="B70" s="1"/>
      <c r="D70" s="240"/>
      <c r="E70" s="240"/>
      <c r="H70" s="21"/>
      <c r="I70" s="396"/>
      <c r="J70" s="78"/>
      <c r="K70" s="78"/>
      <c r="L70" s="120"/>
      <c r="M70" s="120"/>
      <c r="N70" s="293"/>
      <c r="O70" s="120"/>
      <c r="P70" s="188"/>
      <c r="Q70" s="1"/>
    </row>
    <row r="71" spans="1:17" s="15" customFormat="1" x14ac:dyDescent="0.3">
      <c r="A71" s="27"/>
      <c r="B71" s="1"/>
      <c r="D71" s="240"/>
      <c r="E71" s="240"/>
      <c r="H71" s="21"/>
      <c r="I71" s="396"/>
      <c r="J71" s="78"/>
      <c r="K71" s="78"/>
      <c r="L71" s="120"/>
      <c r="M71" s="120"/>
      <c r="N71" s="293"/>
      <c r="O71" s="120"/>
      <c r="P71" s="188"/>
      <c r="Q71" s="1"/>
    </row>
    <row r="72" spans="1:17" s="15" customFormat="1" x14ac:dyDescent="0.3">
      <c r="A72" s="27"/>
      <c r="B72" s="1"/>
      <c r="D72" s="240"/>
      <c r="E72" s="240"/>
      <c r="H72" s="21"/>
      <c r="I72" s="396"/>
      <c r="J72" s="78"/>
      <c r="K72" s="78"/>
      <c r="L72" s="120"/>
      <c r="M72" s="120"/>
      <c r="N72" s="293"/>
      <c r="O72" s="120"/>
      <c r="P72" s="188"/>
      <c r="Q72" s="1"/>
    </row>
    <row r="73" spans="1:17" s="15" customFormat="1" x14ac:dyDescent="0.3">
      <c r="A73" s="27"/>
      <c r="B73" s="1"/>
      <c r="D73" s="240"/>
      <c r="E73" s="240"/>
      <c r="H73" s="21"/>
      <c r="I73" s="396"/>
      <c r="J73" s="78"/>
      <c r="K73" s="78"/>
      <c r="L73" s="120"/>
      <c r="M73" s="120"/>
      <c r="N73" s="293"/>
      <c r="O73" s="120"/>
      <c r="P73" s="188"/>
      <c r="Q73" s="1"/>
    </row>
    <row r="74" spans="1:17" s="15" customFormat="1" x14ac:dyDescent="0.3">
      <c r="A74" s="27"/>
      <c r="B74" s="1"/>
      <c r="D74" s="240"/>
      <c r="E74" s="240"/>
      <c r="H74" s="21"/>
      <c r="I74" s="396"/>
      <c r="J74" s="78"/>
      <c r="K74" s="78"/>
      <c r="L74" s="120"/>
      <c r="M74" s="120"/>
      <c r="N74" s="293"/>
      <c r="O74" s="120"/>
      <c r="P74" s="188"/>
      <c r="Q74" s="1"/>
    </row>
    <row r="75" spans="1:17" s="15" customFormat="1" x14ac:dyDescent="0.3">
      <c r="A75" s="27"/>
      <c r="B75" s="1"/>
      <c r="D75" s="240"/>
      <c r="E75" s="240"/>
      <c r="H75" s="21"/>
      <c r="I75" s="396"/>
      <c r="J75" s="78"/>
      <c r="K75" s="78"/>
      <c r="L75" s="120"/>
      <c r="M75" s="120"/>
      <c r="N75" s="293"/>
      <c r="O75" s="120"/>
      <c r="P75" s="188"/>
      <c r="Q75" s="1"/>
    </row>
    <row r="76" spans="1:17" s="15" customFormat="1" x14ac:dyDescent="0.3">
      <c r="A76" s="27"/>
      <c r="B76" s="1"/>
      <c r="D76" s="240"/>
      <c r="E76" s="240"/>
      <c r="H76" s="21"/>
      <c r="I76" s="396"/>
      <c r="J76" s="78"/>
      <c r="K76" s="78"/>
      <c r="L76" s="120"/>
      <c r="M76" s="120"/>
      <c r="N76" s="293"/>
      <c r="O76" s="120"/>
      <c r="P76" s="188"/>
      <c r="Q76" s="1"/>
    </row>
    <row r="77" spans="1:17" s="15" customFormat="1" x14ac:dyDescent="0.3">
      <c r="A77" s="27"/>
      <c r="B77" s="1"/>
      <c r="D77" s="240"/>
      <c r="E77" s="240"/>
      <c r="H77" s="21"/>
      <c r="I77" s="396"/>
      <c r="J77" s="78"/>
      <c r="K77" s="78"/>
      <c r="L77" s="120"/>
      <c r="M77" s="120"/>
      <c r="N77" s="293"/>
      <c r="O77" s="120"/>
      <c r="P77" s="188"/>
      <c r="Q77" s="1"/>
    </row>
    <row r="78" spans="1:17" s="15" customFormat="1" x14ac:dyDescent="0.3">
      <c r="A78" s="27"/>
      <c r="B78" s="1"/>
      <c r="D78" s="240"/>
      <c r="E78" s="240"/>
      <c r="H78" s="21"/>
      <c r="I78" s="396"/>
      <c r="J78" s="78"/>
      <c r="K78" s="78"/>
      <c r="L78" s="120"/>
      <c r="M78" s="120"/>
      <c r="N78" s="293"/>
      <c r="O78" s="120"/>
      <c r="P78" s="188"/>
      <c r="Q78" s="1"/>
    </row>
    <row r="79" spans="1:17" s="15" customFormat="1" x14ac:dyDescent="0.3">
      <c r="A79" s="27"/>
      <c r="B79" s="1"/>
      <c r="D79" s="240"/>
      <c r="E79" s="240"/>
      <c r="H79" s="21"/>
      <c r="I79" s="396"/>
      <c r="J79" s="78"/>
      <c r="K79" s="78"/>
      <c r="L79" s="120"/>
      <c r="M79" s="120"/>
      <c r="N79" s="293"/>
      <c r="O79" s="120"/>
      <c r="P79" s="188"/>
      <c r="Q79" s="1"/>
    </row>
    <row r="80" spans="1:17" s="15" customFormat="1" x14ac:dyDescent="0.3">
      <c r="A80" s="27"/>
      <c r="B80" s="1"/>
      <c r="D80" s="240"/>
      <c r="E80" s="240"/>
      <c r="H80" s="21"/>
      <c r="I80" s="396"/>
      <c r="J80" s="78"/>
      <c r="K80" s="78"/>
      <c r="L80" s="120"/>
      <c r="M80" s="120"/>
      <c r="N80" s="293"/>
      <c r="O80" s="120"/>
      <c r="P80" s="188"/>
      <c r="Q80" s="1"/>
    </row>
    <row r="81" spans="1:17" s="15" customFormat="1" x14ac:dyDescent="0.3">
      <c r="A81" s="27"/>
      <c r="B81" s="1"/>
      <c r="D81" s="240"/>
      <c r="E81" s="240"/>
      <c r="H81" s="21"/>
      <c r="I81" s="396"/>
      <c r="J81" s="78"/>
      <c r="K81" s="78"/>
      <c r="L81" s="120"/>
      <c r="M81" s="120"/>
      <c r="N81" s="293"/>
      <c r="O81" s="120"/>
      <c r="P81" s="188"/>
      <c r="Q81" s="1"/>
    </row>
    <row r="82" spans="1:17" s="15" customFormat="1" x14ac:dyDescent="0.3">
      <c r="A82" s="27"/>
      <c r="B82" s="1"/>
      <c r="D82" s="240"/>
      <c r="E82" s="240"/>
      <c r="H82" s="21"/>
      <c r="I82" s="396"/>
      <c r="J82" s="78"/>
      <c r="K82" s="78"/>
      <c r="L82" s="120"/>
      <c r="M82" s="120"/>
      <c r="N82" s="293"/>
      <c r="O82" s="120"/>
      <c r="P82" s="188"/>
      <c r="Q82" s="1"/>
    </row>
    <row r="83" spans="1:17" s="15" customFormat="1" x14ac:dyDescent="0.3">
      <c r="A83" s="27"/>
      <c r="B83" s="1"/>
      <c r="D83" s="240"/>
      <c r="E83" s="240"/>
      <c r="H83" s="21"/>
      <c r="I83" s="396"/>
      <c r="J83" s="78"/>
      <c r="K83" s="78"/>
      <c r="L83" s="120"/>
      <c r="M83" s="120"/>
      <c r="N83" s="293"/>
      <c r="O83" s="120"/>
      <c r="P83" s="188"/>
      <c r="Q83" s="1"/>
    </row>
    <row r="84" spans="1:17" s="15" customFormat="1" x14ac:dyDescent="0.3">
      <c r="A84" s="27"/>
      <c r="B84" s="1"/>
      <c r="D84" s="240"/>
      <c r="E84" s="240"/>
      <c r="H84" s="21"/>
      <c r="I84" s="396"/>
      <c r="J84" s="78"/>
      <c r="K84" s="78"/>
      <c r="L84" s="120"/>
      <c r="M84" s="120"/>
      <c r="N84" s="293"/>
      <c r="O84" s="120"/>
      <c r="P84" s="188"/>
      <c r="Q84" s="1"/>
    </row>
    <row r="85" spans="1:17" s="15" customFormat="1" x14ac:dyDescent="0.3">
      <c r="A85" s="27"/>
      <c r="B85" s="1"/>
      <c r="D85" s="240"/>
      <c r="E85" s="240"/>
      <c r="H85" s="21"/>
      <c r="I85" s="396"/>
      <c r="J85" s="78"/>
      <c r="K85" s="78"/>
      <c r="L85" s="120"/>
      <c r="M85" s="120"/>
      <c r="N85" s="293"/>
      <c r="O85" s="120"/>
      <c r="P85" s="188"/>
      <c r="Q85" s="1"/>
    </row>
    <row r="86" spans="1:17" s="15" customFormat="1" x14ac:dyDescent="0.3">
      <c r="A86" s="27"/>
      <c r="B86" s="1"/>
      <c r="D86" s="240"/>
      <c r="E86" s="240"/>
      <c r="H86" s="21"/>
      <c r="I86" s="396"/>
      <c r="J86" s="78"/>
      <c r="K86" s="78"/>
      <c r="L86" s="120"/>
      <c r="M86" s="120"/>
      <c r="N86" s="293"/>
      <c r="O86" s="120"/>
      <c r="P86" s="188"/>
      <c r="Q86" s="1"/>
    </row>
    <row r="87" spans="1:17" s="15" customFormat="1" x14ac:dyDescent="0.3">
      <c r="A87" s="27"/>
      <c r="B87" s="1"/>
      <c r="D87" s="240"/>
      <c r="E87" s="240"/>
      <c r="H87" s="21"/>
      <c r="I87" s="396"/>
      <c r="J87" s="78"/>
      <c r="K87" s="78"/>
      <c r="L87" s="120"/>
      <c r="M87" s="120"/>
      <c r="N87" s="293"/>
      <c r="O87" s="120"/>
      <c r="P87" s="188"/>
      <c r="Q87" s="1"/>
    </row>
    <row r="88" spans="1:17" s="15" customFormat="1" x14ac:dyDescent="0.3">
      <c r="A88" s="27"/>
      <c r="B88" s="1"/>
      <c r="D88" s="240"/>
      <c r="E88" s="240"/>
      <c r="H88" s="21"/>
      <c r="I88" s="396"/>
      <c r="J88" s="78"/>
      <c r="K88" s="78"/>
      <c r="L88" s="120"/>
      <c r="M88" s="120"/>
      <c r="N88" s="293"/>
      <c r="O88" s="120"/>
      <c r="P88" s="188"/>
      <c r="Q88" s="1"/>
    </row>
    <row r="89" spans="1:17" s="15" customFormat="1" x14ac:dyDescent="0.3">
      <c r="A89" s="27"/>
      <c r="B89" s="1"/>
      <c r="D89" s="240"/>
      <c r="E89" s="240"/>
      <c r="H89" s="21"/>
      <c r="I89" s="396"/>
      <c r="J89" s="78"/>
      <c r="K89" s="78"/>
      <c r="L89" s="120"/>
      <c r="M89" s="120"/>
      <c r="N89" s="293"/>
      <c r="O89" s="120"/>
      <c r="P89" s="188"/>
      <c r="Q89" s="1"/>
    </row>
    <row r="90" spans="1:17" s="15" customFormat="1" x14ac:dyDescent="0.3">
      <c r="A90" s="27"/>
      <c r="B90" s="1"/>
      <c r="D90" s="240"/>
      <c r="E90" s="240"/>
      <c r="H90" s="21"/>
      <c r="I90" s="396"/>
      <c r="J90" s="78"/>
      <c r="K90" s="78"/>
      <c r="L90" s="120"/>
      <c r="M90" s="120"/>
      <c r="N90" s="293"/>
      <c r="O90" s="120"/>
      <c r="P90" s="188"/>
      <c r="Q90" s="1"/>
    </row>
    <row r="91" spans="1:17" s="15" customFormat="1" x14ac:dyDescent="0.3">
      <c r="A91" s="27"/>
      <c r="B91" s="1"/>
      <c r="D91" s="240"/>
      <c r="E91" s="240"/>
      <c r="H91" s="21"/>
      <c r="I91" s="396"/>
      <c r="J91" s="78"/>
      <c r="K91" s="78"/>
      <c r="L91" s="120"/>
      <c r="M91" s="120"/>
      <c r="N91" s="293"/>
      <c r="O91" s="120"/>
      <c r="P91" s="188"/>
      <c r="Q91" s="1"/>
    </row>
    <row r="92" spans="1:17" s="15" customFormat="1" x14ac:dyDescent="0.3">
      <c r="A92" s="27"/>
      <c r="B92" s="1"/>
      <c r="D92" s="240"/>
      <c r="E92" s="240"/>
      <c r="H92" s="21"/>
      <c r="I92" s="396"/>
      <c r="J92" s="78"/>
      <c r="K92" s="78"/>
      <c r="L92" s="120"/>
      <c r="M92" s="120"/>
      <c r="N92" s="293"/>
      <c r="O92" s="120"/>
      <c r="P92" s="188"/>
      <c r="Q92" s="1"/>
    </row>
    <row r="93" spans="1:17" s="15" customFormat="1" x14ac:dyDescent="0.3">
      <c r="A93" s="27"/>
      <c r="B93" s="1"/>
      <c r="D93" s="240"/>
      <c r="E93" s="240"/>
      <c r="H93" s="21"/>
      <c r="I93" s="396"/>
      <c r="J93" s="78"/>
      <c r="K93" s="78"/>
      <c r="L93" s="120"/>
      <c r="M93" s="120"/>
      <c r="N93" s="293"/>
      <c r="O93" s="120"/>
      <c r="P93" s="188"/>
      <c r="Q93" s="1"/>
    </row>
    <row r="94" spans="1:17" s="15" customFormat="1" x14ac:dyDescent="0.3">
      <c r="A94" s="27"/>
      <c r="B94" s="1"/>
      <c r="D94" s="240"/>
      <c r="E94" s="240"/>
      <c r="H94" s="21"/>
      <c r="I94" s="396"/>
      <c r="J94" s="78"/>
      <c r="K94" s="78"/>
      <c r="L94" s="120"/>
      <c r="M94" s="120"/>
      <c r="N94" s="293"/>
      <c r="O94" s="120"/>
      <c r="P94" s="188"/>
      <c r="Q94" s="1"/>
    </row>
    <row r="95" spans="1:17" s="15" customFormat="1" x14ac:dyDescent="0.3">
      <c r="A95" s="27"/>
      <c r="B95" s="1"/>
      <c r="D95" s="240"/>
      <c r="E95" s="240"/>
      <c r="H95" s="21"/>
      <c r="I95" s="396"/>
      <c r="J95" s="78"/>
      <c r="K95" s="78"/>
      <c r="L95" s="120"/>
      <c r="M95" s="120"/>
      <c r="N95" s="293"/>
      <c r="O95" s="120"/>
      <c r="P95" s="188"/>
      <c r="Q95" s="1"/>
    </row>
    <row r="96" spans="1:17" s="15" customFormat="1" x14ac:dyDescent="0.3">
      <c r="A96" s="27"/>
      <c r="B96" s="1"/>
      <c r="D96" s="240"/>
      <c r="E96" s="240"/>
      <c r="H96" s="21"/>
      <c r="I96" s="396"/>
      <c r="J96" s="78"/>
      <c r="K96" s="78"/>
      <c r="L96" s="120"/>
      <c r="M96" s="120"/>
      <c r="N96" s="293"/>
      <c r="O96" s="120"/>
      <c r="P96" s="188"/>
      <c r="Q96" s="1"/>
    </row>
    <row r="97" spans="1:17" s="15" customFormat="1" x14ac:dyDescent="0.3">
      <c r="A97" s="27"/>
      <c r="B97" s="1"/>
      <c r="D97" s="240"/>
      <c r="E97" s="240"/>
      <c r="H97" s="21"/>
      <c r="I97" s="396"/>
      <c r="J97" s="78"/>
      <c r="K97" s="78"/>
      <c r="L97" s="120"/>
      <c r="M97" s="120"/>
      <c r="N97" s="293"/>
      <c r="O97" s="120"/>
      <c r="P97" s="188"/>
      <c r="Q97" s="1"/>
    </row>
    <row r="98" spans="1:17" s="15" customFormat="1" x14ac:dyDescent="0.3">
      <c r="A98" s="27"/>
      <c r="B98" s="1"/>
      <c r="D98" s="240"/>
      <c r="E98" s="240"/>
      <c r="H98" s="21"/>
      <c r="I98" s="396"/>
      <c r="J98" s="78"/>
      <c r="K98" s="78"/>
      <c r="L98" s="120"/>
      <c r="M98" s="120"/>
      <c r="N98" s="293"/>
      <c r="O98" s="120"/>
      <c r="P98" s="188"/>
      <c r="Q98" s="1"/>
    </row>
    <row r="99" spans="1:17" s="15" customFormat="1" x14ac:dyDescent="0.3">
      <c r="A99" s="27"/>
      <c r="B99" s="1"/>
      <c r="D99" s="240"/>
      <c r="E99" s="240"/>
      <c r="H99" s="21"/>
      <c r="I99" s="396"/>
      <c r="J99" s="78"/>
      <c r="K99" s="78"/>
      <c r="L99" s="120"/>
      <c r="M99" s="120"/>
      <c r="N99" s="293"/>
      <c r="O99" s="120"/>
      <c r="P99" s="188"/>
      <c r="Q99" s="1"/>
    </row>
    <row r="100" spans="1:17" s="15" customFormat="1" x14ac:dyDescent="0.3">
      <c r="A100" s="27"/>
      <c r="B100" s="1"/>
      <c r="D100" s="240"/>
      <c r="E100" s="240"/>
      <c r="H100" s="21"/>
      <c r="I100" s="396"/>
      <c r="J100" s="78"/>
      <c r="K100" s="78"/>
      <c r="L100" s="120"/>
      <c r="M100" s="120"/>
      <c r="N100" s="293"/>
      <c r="O100" s="120"/>
      <c r="P100" s="188"/>
      <c r="Q100" s="1"/>
    </row>
    <row r="101" spans="1:17" s="15" customFormat="1" x14ac:dyDescent="0.3">
      <c r="A101" s="27"/>
      <c r="B101" s="1"/>
      <c r="D101" s="240"/>
      <c r="E101" s="240"/>
      <c r="H101" s="21"/>
      <c r="I101" s="396"/>
      <c r="J101" s="78"/>
      <c r="K101" s="78"/>
      <c r="L101" s="120"/>
      <c r="M101" s="120"/>
      <c r="N101" s="293"/>
      <c r="O101" s="120"/>
      <c r="P101" s="188"/>
      <c r="Q101" s="1"/>
    </row>
    <row r="102" spans="1:17" s="15" customFormat="1" x14ac:dyDescent="0.3">
      <c r="A102" s="27"/>
      <c r="B102" s="1"/>
      <c r="D102" s="240"/>
      <c r="E102" s="240"/>
      <c r="H102" s="21"/>
      <c r="I102" s="396"/>
      <c r="J102" s="78"/>
      <c r="K102" s="78"/>
      <c r="L102" s="120"/>
      <c r="M102" s="120"/>
      <c r="N102" s="293"/>
      <c r="O102" s="120"/>
      <c r="P102" s="188"/>
      <c r="Q102" s="1"/>
    </row>
    <row r="103" spans="1:17" s="15" customFormat="1" x14ac:dyDescent="0.3">
      <c r="A103" s="27"/>
      <c r="B103" s="1"/>
      <c r="D103" s="240"/>
      <c r="E103" s="240"/>
      <c r="H103" s="21"/>
      <c r="I103" s="396"/>
      <c r="J103" s="78"/>
      <c r="K103" s="78"/>
      <c r="L103" s="120"/>
      <c r="M103" s="120"/>
      <c r="N103" s="293"/>
      <c r="O103" s="120"/>
      <c r="P103" s="188"/>
      <c r="Q103" s="1"/>
    </row>
    <row r="104" spans="1:17" s="15" customFormat="1" x14ac:dyDescent="0.3">
      <c r="A104" s="27"/>
      <c r="B104" s="1"/>
      <c r="D104" s="240"/>
      <c r="E104" s="240"/>
      <c r="H104" s="21"/>
      <c r="I104" s="396"/>
      <c r="J104" s="78"/>
      <c r="K104" s="78"/>
      <c r="L104" s="120"/>
      <c r="M104" s="120"/>
      <c r="N104" s="293"/>
      <c r="O104" s="120"/>
      <c r="P104" s="188"/>
      <c r="Q104" s="1"/>
    </row>
    <row r="105" spans="1:17" s="15" customFormat="1" x14ac:dyDescent="0.3">
      <c r="A105" s="27"/>
      <c r="B105" s="1"/>
      <c r="D105" s="240"/>
      <c r="E105" s="240"/>
      <c r="H105" s="21"/>
      <c r="I105" s="396"/>
      <c r="J105" s="78"/>
      <c r="K105" s="78"/>
      <c r="L105" s="120"/>
      <c r="M105" s="120"/>
      <c r="N105" s="293"/>
      <c r="O105" s="120"/>
      <c r="P105" s="188"/>
      <c r="Q105" s="1"/>
    </row>
    <row r="106" spans="1:17" s="15" customFormat="1" x14ac:dyDescent="0.3">
      <c r="A106" s="27"/>
      <c r="B106" s="1"/>
      <c r="D106" s="240"/>
      <c r="E106" s="240"/>
      <c r="H106" s="21"/>
      <c r="I106" s="396"/>
      <c r="J106" s="78"/>
      <c r="K106" s="78"/>
      <c r="L106" s="120"/>
      <c r="M106" s="120"/>
      <c r="N106" s="293"/>
      <c r="O106" s="120"/>
      <c r="P106" s="188"/>
      <c r="Q106" s="1"/>
    </row>
    <row r="107" spans="1:17" s="15" customFormat="1" x14ac:dyDescent="0.3">
      <c r="A107" s="27"/>
      <c r="B107" s="1"/>
      <c r="D107" s="240"/>
      <c r="E107" s="240"/>
      <c r="H107" s="21"/>
      <c r="I107" s="396"/>
      <c r="J107" s="78"/>
      <c r="K107" s="78"/>
      <c r="L107" s="120"/>
      <c r="M107" s="120"/>
      <c r="N107" s="293"/>
      <c r="O107" s="120"/>
      <c r="P107" s="188"/>
      <c r="Q107" s="1"/>
    </row>
    <row r="108" spans="1:17" s="15" customFormat="1" x14ac:dyDescent="0.3">
      <c r="A108" s="27"/>
      <c r="B108" s="1"/>
      <c r="D108" s="240"/>
      <c r="E108" s="240"/>
      <c r="H108" s="21"/>
      <c r="I108" s="396"/>
      <c r="J108" s="78"/>
      <c r="K108" s="78"/>
      <c r="L108" s="120"/>
      <c r="M108" s="120"/>
      <c r="N108" s="293"/>
      <c r="O108" s="120"/>
      <c r="P108" s="188"/>
      <c r="Q108" s="1"/>
    </row>
    <row r="109" spans="1:17" s="15" customFormat="1" x14ac:dyDescent="0.3">
      <c r="A109" s="27"/>
      <c r="B109" s="1"/>
      <c r="D109" s="240"/>
      <c r="E109" s="240"/>
      <c r="H109" s="21"/>
      <c r="I109" s="396"/>
      <c r="J109" s="78"/>
      <c r="K109" s="78"/>
      <c r="L109" s="120"/>
      <c r="M109" s="120"/>
      <c r="N109" s="293"/>
      <c r="O109" s="120"/>
      <c r="P109" s="188"/>
      <c r="Q109" s="1"/>
    </row>
    <row r="110" spans="1:17" s="15" customFormat="1" x14ac:dyDescent="0.3">
      <c r="A110" s="27"/>
      <c r="B110" s="1"/>
      <c r="D110" s="240"/>
      <c r="E110" s="240"/>
      <c r="H110" s="21"/>
      <c r="I110" s="396"/>
      <c r="J110" s="78"/>
      <c r="K110" s="78"/>
      <c r="L110" s="120"/>
      <c r="M110" s="120"/>
      <c r="N110" s="293"/>
      <c r="O110" s="120"/>
      <c r="P110" s="188"/>
      <c r="Q110" s="1"/>
    </row>
    <row r="111" spans="1:17" s="15" customFormat="1" x14ac:dyDescent="0.3">
      <c r="A111" s="27"/>
      <c r="B111" s="1"/>
      <c r="D111" s="240"/>
      <c r="E111" s="240"/>
      <c r="H111" s="21"/>
      <c r="I111" s="396"/>
      <c r="J111" s="78"/>
      <c r="K111" s="78"/>
      <c r="L111" s="120"/>
      <c r="M111" s="120"/>
      <c r="N111" s="293"/>
      <c r="O111" s="120"/>
      <c r="P111" s="188"/>
      <c r="Q111" s="1"/>
    </row>
    <row r="112" spans="1:17" s="15" customFormat="1" x14ac:dyDescent="0.3">
      <c r="A112" s="27"/>
      <c r="B112" s="1"/>
      <c r="D112" s="240"/>
      <c r="E112" s="240"/>
      <c r="H112" s="21"/>
      <c r="I112" s="396"/>
      <c r="J112" s="78"/>
      <c r="K112" s="78"/>
      <c r="L112" s="120"/>
      <c r="M112" s="120"/>
      <c r="N112" s="293"/>
      <c r="O112" s="120"/>
      <c r="P112" s="188"/>
      <c r="Q112" s="1"/>
    </row>
    <row r="113" spans="1:17" s="15" customFormat="1" x14ac:dyDescent="0.3">
      <c r="A113" s="27"/>
      <c r="B113" s="1"/>
      <c r="D113" s="240"/>
      <c r="E113" s="240"/>
      <c r="H113" s="21"/>
      <c r="I113" s="396"/>
      <c r="J113" s="78"/>
      <c r="K113" s="78"/>
      <c r="L113" s="120"/>
      <c r="M113" s="120"/>
      <c r="N113" s="293"/>
      <c r="O113" s="120"/>
      <c r="P113" s="188"/>
      <c r="Q113" s="1"/>
    </row>
    <row r="114" spans="1:17" s="15" customFormat="1" x14ac:dyDescent="0.3">
      <c r="A114" s="27"/>
      <c r="B114" s="1"/>
      <c r="D114" s="240"/>
      <c r="E114" s="240"/>
      <c r="H114" s="21"/>
      <c r="I114" s="396"/>
      <c r="J114" s="78"/>
      <c r="K114" s="78"/>
      <c r="L114" s="120"/>
      <c r="M114" s="120"/>
      <c r="N114" s="293"/>
      <c r="O114" s="120"/>
      <c r="P114" s="188"/>
      <c r="Q114" s="1"/>
    </row>
    <row r="115" spans="1:17" s="15" customFormat="1" x14ac:dyDescent="0.3">
      <c r="A115" s="27"/>
      <c r="B115" s="1"/>
      <c r="D115" s="240"/>
      <c r="E115" s="240"/>
      <c r="H115" s="21"/>
      <c r="I115" s="396"/>
      <c r="J115" s="78"/>
      <c r="K115" s="78"/>
      <c r="L115" s="120"/>
      <c r="M115" s="120"/>
      <c r="N115" s="293"/>
      <c r="O115" s="120"/>
      <c r="P115" s="188"/>
      <c r="Q115" s="1"/>
    </row>
    <row r="116" spans="1:17" s="15" customFormat="1" x14ac:dyDescent="0.3">
      <c r="A116" s="27"/>
      <c r="B116" s="1"/>
      <c r="D116" s="240"/>
      <c r="E116" s="240"/>
      <c r="H116" s="21"/>
      <c r="I116" s="396"/>
      <c r="J116" s="78"/>
      <c r="K116" s="78"/>
      <c r="L116" s="120"/>
      <c r="M116" s="120"/>
      <c r="N116" s="293"/>
      <c r="O116" s="120"/>
      <c r="P116" s="188"/>
      <c r="Q116" s="1"/>
    </row>
    <row r="117" spans="1:17" s="15" customFormat="1" x14ac:dyDescent="0.3">
      <c r="A117" s="27"/>
      <c r="B117" s="1"/>
      <c r="D117" s="240"/>
      <c r="E117" s="240"/>
      <c r="H117" s="21"/>
      <c r="I117" s="396"/>
      <c r="J117" s="78"/>
      <c r="K117" s="78"/>
      <c r="L117" s="120"/>
      <c r="M117" s="120"/>
      <c r="N117" s="293"/>
      <c r="O117" s="120"/>
      <c r="P117" s="188"/>
      <c r="Q117" s="1"/>
    </row>
    <row r="118" spans="1:17" s="15" customFormat="1" x14ac:dyDescent="0.3">
      <c r="A118" s="27"/>
      <c r="B118" s="1"/>
      <c r="D118" s="240"/>
      <c r="E118" s="240"/>
      <c r="H118" s="21"/>
      <c r="I118" s="396"/>
      <c r="J118" s="78"/>
      <c r="K118" s="78"/>
      <c r="L118" s="120"/>
      <c r="M118" s="120"/>
      <c r="N118" s="293"/>
      <c r="O118" s="120"/>
      <c r="P118" s="188"/>
      <c r="Q118" s="1"/>
    </row>
    <row r="119" spans="1:17" s="15" customFormat="1" x14ac:dyDescent="0.3">
      <c r="A119" s="27"/>
      <c r="B119" s="1"/>
      <c r="D119" s="240"/>
      <c r="E119" s="240"/>
      <c r="H119" s="21"/>
      <c r="I119" s="396"/>
      <c r="J119" s="78"/>
      <c r="K119" s="78"/>
      <c r="L119" s="120"/>
      <c r="M119" s="120"/>
      <c r="N119" s="293"/>
      <c r="O119" s="120"/>
      <c r="P119" s="188"/>
      <c r="Q119" s="1"/>
    </row>
    <row r="120" spans="1:17" s="15" customFormat="1" x14ac:dyDescent="0.3">
      <c r="A120" s="27"/>
      <c r="B120" s="1"/>
      <c r="D120" s="240"/>
      <c r="E120" s="240"/>
      <c r="H120" s="21"/>
      <c r="I120" s="396"/>
      <c r="J120" s="78"/>
      <c r="K120" s="78"/>
      <c r="L120" s="120"/>
      <c r="M120" s="120"/>
      <c r="N120" s="293"/>
      <c r="O120" s="120"/>
      <c r="P120" s="188"/>
      <c r="Q120" s="1"/>
    </row>
    <row r="121" spans="1:17" s="15" customFormat="1" x14ac:dyDescent="0.3">
      <c r="A121" s="27"/>
      <c r="B121" s="1"/>
      <c r="D121" s="240"/>
      <c r="E121" s="240"/>
      <c r="H121" s="21"/>
      <c r="I121" s="396"/>
      <c r="J121" s="78"/>
      <c r="K121" s="78"/>
      <c r="L121" s="120"/>
      <c r="M121" s="120"/>
      <c r="N121" s="293"/>
      <c r="O121" s="120"/>
      <c r="P121" s="188"/>
      <c r="Q121" s="1"/>
    </row>
    <row r="122" spans="1:17" s="15" customFormat="1" x14ac:dyDescent="0.3">
      <c r="A122" s="27"/>
      <c r="B122" s="1"/>
      <c r="D122" s="240"/>
      <c r="E122" s="240"/>
      <c r="H122" s="21"/>
      <c r="I122" s="396"/>
      <c r="J122" s="78"/>
      <c r="K122" s="78"/>
      <c r="L122" s="120"/>
      <c r="M122" s="120"/>
      <c r="N122" s="293"/>
      <c r="O122" s="120"/>
      <c r="P122" s="188"/>
      <c r="Q122" s="1"/>
    </row>
    <row r="123" spans="1:17" s="15" customFormat="1" x14ac:dyDescent="0.3">
      <c r="A123" s="27"/>
      <c r="B123" s="1"/>
      <c r="D123" s="240"/>
      <c r="E123" s="240"/>
      <c r="H123" s="21"/>
      <c r="I123" s="396"/>
      <c r="J123" s="78"/>
      <c r="K123" s="78"/>
      <c r="L123" s="120"/>
      <c r="M123" s="120"/>
      <c r="N123" s="293"/>
      <c r="O123" s="120"/>
      <c r="P123" s="188"/>
      <c r="Q123" s="1"/>
    </row>
    <row r="124" spans="1:17" s="15" customFormat="1" x14ac:dyDescent="0.3">
      <c r="A124" s="27"/>
      <c r="B124" s="1"/>
      <c r="D124" s="240"/>
      <c r="E124" s="240"/>
      <c r="H124" s="21"/>
      <c r="I124" s="396"/>
      <c r="J124" s="78"/>
      <c r="K124" s="78"/>
      <c r="L124" s="120"/>
      <c r="M124" s="120"/>
      <c r="N124" s="293"/>
      <c r="O124" s="120"/>
      <c r="P124" s="188"/>
      <c r="Q124" s="1"/>
    </row>
    <row r="125" spans="1:17" s="15" customFormat="1" x14ac:dyDescent="0.3">
      <c r="A125" s="27"/>
      <c r="B125" s="1"/>
      <c r="D125" s="240"/>
      <c r="E125" s="240"/>
      <c r="H125" s="21"/>
      <c r="I125" s="396"/>
      <c r="J125" s="78"/>
      <c r="K125" s="78"/>
      <c r="L125" s="120"/>
      <c r="M125" s="120"/>
      <c r="N125" s="293"/>
      <c r="O125" s="120"/>
      <c r="P125" s="188"/>
      <c r="Q125" s="1"/>
    </row>
    <row r="126" spans="1:17" s="15" customFormat="1" x14ac:dyDescent="0.3">
      <c r="A126" s="27"/>
      <c r="B126" s="1"/>
      <c r="D126" s="240"/>
      <c r="E126" s="240"/>
      <c r="H126" s="21"/>
      <c r="I126" s="396"/>
      <c r="J126" s="78"/>
      <c r="K126" s="78"/>
      <c r="L126" s="120"/>
      <c r="M126" s="120"/>
      <c r="N126" s="293"/>
      <c r="O126" s="120"/>
      <c r="P126" s="188"/>
      <c r="Q126" s="1"/>
    </row>
    <row r="127" spans="1:17" s="15" customFormat="1" x14ac:dyDescent="0.3">
      <c r="A127" s="27"/>
      <c r="B127" s="1"/>
      <c r="D127" s="240"/>
      <c r="E127" s="240"/>
      <c r="H127" s="21"/>
      <c r="I127" s="396"/>
      <c r="J127" s="78"/>
      <c r="K127" s="78"/>
      <c r="L127" s="120"/>
      <c r="M127" s="120"/>
      <c r="N127" s="293"/>
      <c r="O127" s="120"/>
      <c r="P127" s="188"/>
      <c r="Q127" s="1"/>
    </row>
    <row r="128" spans="1:17" s="15" customFormat="1" x14ac:dyDescent="0.3">
      <c r="A128" s="27"/>
      <c r="B128" s="1"/>
      <c r="D128" s="240"/>
      <c r="E128" s="240"/>
      <c r="H128" s="21"/>
      <c r="I128" s="396"/>
      <c r="J128" s="78"/>
      <c r="K128" s="78"/>
      <c r="L128" s="120"/>
      <c r="M128" s="120"/>
      <c r="N128" s="293"/>
      <c r="O128" s="120"/>
      <c r="P128" s="188"/>
      <c r="Q128" s="1"/>
    </row>
    <row r="129" spans="1:17" s="15" customFormat="1" x14ac:dyDescent="0.3">
      <c r="A129" s="27"/>
      <c r="B129" s="1"/>
      <c r="D129" s="240"/>
      <c r="E129" s="240"/>
      <c r="H129" s="21"/>
      <c r="I129" s="396"/>
      <c r="J129" s="78"/>
      <c r="K129" s="78"/>
      <c r="L129" s="120"/>
      <c r="M129" s="120"/>
      <c r="N129" s="293"/>
      <c r="O129" s="120"/>
      <c r="P129" s="188"/>
      <c r="Q129" s="1"/>
    </row>
    <row r="130" spans="1:17" s="15" customFormat="1" x14ac:dyDescent="0.3">
      <c r="A130" s="27"/>
      <c r="B130" s="1"/>
      <c r="D130" s="240"/>
      <c r="E130" s="240"/>
      <c r="H130" s="21"/>
      <c r="I130" s="396"/>
      <c r="J130" s="78"/>
      <c r="K130" s="78"/>
      <c r="L130" s="120"/>
      <c r="M130" s="120"/>
      <c r="N130" s="293"/>
      <c r="O130" s="120"/>
      <c r="P130" s="188"/>
      <c r="Q130" s="1"/>
    </row>
    <row r="131" spans="1:17" s="15" customFormat="1" x14ac:dyDescent="0.3">
      <c r="A131" s="27"/>
      <c r="B131" s="1"/>
      <c r="D131" s="240"/>
      <c r="E131" s="240"/>
      <c r="H131" s="21"/>
      <c r="I131" s="396"/>
      <c r="J131" s="78"/>
      <c r="K131" s="78"/>
      <c r="L131" s="120"/>
      <c r="M131" s="120"/>
      <c r="N131" s="293"/>
      <c r="O131" s="120"/>
      <c r="P131" s="188"/>
      <c r="Q131" s="1"/>
    </row>
    <row r="132" spans="1:17" s="15" customFormat="1" x14ac:dyDescent="0.3">
      <c r="A132" s="27"/>
      <c r="B132" s="1"/>
      <c r="D132" s="240"/>
      <c r="E132" s="240"/>
      <c r="H132" s="21"/>
      <c r="I132" s="396"/>
      <c r="J132" s="78"/>
      <c r="K132" s="78"/>
      <c r="L132" s="120"/>
      <c r="M132" s="120"/>
      <c r="N132" s="293"/>
      <c r="O132" s="120"/>
      <c r="P132" s="188"/>
      <c r="Q132" s="1"/>
    </row>
    <row r="133" spans="1:17" s="15" customFormat="1" x14ac:dyDescent="0.3">
      <c r="A133" s="27"/>
      <c r="B133" s="1"/>
      <c r="D133" s="240"/>
      <c r="E133" s="240"/>
      <c r="H133" s="21"/>
      <c r="I133" s="396"/>
      <c r="J133" s="78"/>
      <c r="K133" s="78"/>
      <c r="L133" s="120"/>
      <c r="M133" s="120"/>
      <c r="N133" s="293"/>
      <c r="O133" s="120"/>
      <c r="P133" s="188"/>
      <c r="Q133" s="1"/>
    </row>
    <row r="134" spans="1:17" s="15" customFormat="1" x14ac:dyDescent="0.3">
      <c r="A134" s="27"/>
      <c r="B134" s="1"/>
      <c r="D134" s="240"/>
      <c r="E134" s="240"/>
      <c r="H134" s="21"/>
      <c r="I134" s="396"/>
      <c r="J134" s="78"/>
      <c r="K134" s="78"/>
      <c r="L134" s="120"/>
      <c r="M134" s="120"/>
      <c r="N134" s="293"/>
      <c r="O134" s="120"/>
      <c r="P134" s="188"/>
      <c r="Q134" s="1"/>
    </row>
    <row r="135" spans="1:17" s="15" customFormat="1" x14ac:dyDescent="0.3">
      <c r="A135" s="27"/>
      <c r="B135" s="1"/>
      <c r="D135" s="240"/>
      <c r="E135" s="240"/>
      <c r="H135" s="21"/>
      <c r="I135" s="396"/>
      <c r="J135" s="78"/>
      <c r="K135" s="78"/>
      <c r="L135" s="120"/>
      <c r="M135" s="120"/>
      <c r="N135" s="293"/>
      <c r="O135" s="120"/>
      <c r="P135" s="188"/>
      <c r="Q135" s="1"/>
    </row>
    <row r="136" spans="1:17" s="15" customFormat="1" x14ac:dyDescent="0.3">
      <c r="A136" s="27"/>
      <c r="B136" s="1"/>
      <c r="D136" s="240"/>
      <c r="E136" s="240"/>
      <c r="H136" s="21"/>
      <c r="I136" s="396"/>
      <c r="J136" s="78"/>
      <c r="K136" s="78"/>
      <c r="L136" s="120"/>
      <c r="M136" s="120"/>
      <c r="N136" s="293"/>
      <c r="O136" s="120"/>
      <c r="P136" s="188"/>
      <c r="Q136" s="1"/>
    </row>
    <row r="137" spans="1:17" s="15" customFormat="1" x14ac:dyDescent="0.3">
      <c r="A137" s="27"/>
      <c r="B137" s="1"/>
      <c r="D137" s="240"/>
      <c r="E137" s="240"/>
      <c r="H137" s="21"/>
      <c r="I137" s="396"/>
      <c r="J137" s="78"/>
      <c r="K137" s="78"/>
      <c r="L137" s="120"/>
      <c r="M137" s="120"/>
      <c r="N137" s="293"/>
      <c r="O137" s="120"/>
      <c r="P137" s="188"/>
      <c r="Q137" s="1"/>
    </row>
    <row r="138" spans="1:17" s="15" customFormat="1" x14ac:dyDescent="0.3">
      <c r="A138" s="27"/>
      <c r="B138" s="1"/>
      <c r="D138" s="240"/>
      <c r="E138" s="240"/>
      <c r="H138" s="21"/>
      <c r="I138" s="396"/>
      <c r="J138" s="78"/>
      <c r="K138" s="78"/>
      <c r="L138" s="120"/>
      <c r="M138" s="120"/>
      <c r="N138" s="293"/>
      <c r="O138" s="120"/>
      <c r="P138" s="188"/>
      <c r="Q138" s="1"/>
    </row>
    <row r="139" spans="1:17" s="15" customFormat="1" x14ac:dyDescent="0.3">
      <c r="A139" s="27"/>
      <c r="B139" s="1"/>
      <c r="D139" s="240"/>
      <c r="E139" s="240"/>
      <c r="H139" s="21"/>
      <c r="I139" s="396"/>
      <c r="J139" s="78"/>
      <c r="K139" s="78"/>
      <c r="L139" s="120"/>
      <c r="M139" s="120"/>
      <c r="N139" s="293"/>
      <c r="O139" s="120"/>
      <c r="P139" s="188"/>
      <c r="Q139" s="1"/>
    </row>
    <row r="140" spans="1:17" s="15" customFormat="1" x14ac:dyDescent="0.3">
      <c r="A140" s="27"/>
      <c r="B140" s="1"/>
      <c r="D140" s="240"/>
      <c r="E140" s="240"/>
      <c r="H140" s="21"/>
      <c r="I140" s="396"/>
      <c r="J140" s="78"/>
      <c r="K140" s="78"/>
      <c r="L140" s="120"/>
      <c r="M140" s="120"/>
      <c r="N140" s="293"/>
      <c r="O140" s="120"/>
      <c r="P140" s="188"/>
      <c r="Q140" s="1"/>
    </row>
    <row r="141" spans="1:17" s="15" customFormat="1" x14ac:dyDescent="0.3">
      <c r="A141" s="27"/>
      <c r="B141" s="1"/>
      <c r="D141" s="240"/>
      <c r="E141" s="240"/>
      <c r="H141" s="21"/>
      <c r="I141" s="396"/>
      <c r="J141" s="78"/>
      <c r="K141" s="78"/>
      <c r="L141" s="120"/>
      <c r="M141" s="120"/>
      <c r="N141" s="293"/>
      <c r="O141" s="120"/>
      <c r="P141" s="188"/>
      <c r="Q141" s="1"/>
    </row>
    <row r="142" spans="1:17" s="15" customFormat="1" x14ac:dyDescent="0.3">
      <c r="A142" s="27"/>
      <c r="B142" s="1"/>
      <c r="D142" s="240"/>
      <c r="E142" s="240"/>
      <c r="H142" s="21"/>
      <c r="I142" s="396"/>
      <c r="J142" s="78"/>
      <c r="K142" s="78"/>
      <c r="L142" s="120"/>
      <c r="M142" s="120"/>
      <c r="N142" s="293"/>
      <c r="O142" s="120"/>
      <c r="P142" s="188"/>
      <c r="Q142" s="1"/>
    </row>
    <row r="143" spans="1:17" s="15" customFormat="1" x14ac:dyDescent="0.3">
      <c r="A143" s="27"/>
      <c r="B143" s="1"/>
      <c r="D143" s="240"/>
      <c r="E143" s="240"/>
      <c r="H143" s="21"/>
      <c r="I143" s="396"/>
      <c r="J143" s="78"/>
      <c r="K143" s="78"/>
      <c r="L143" s="120"/>
      <c r="M143" s="120"/>
      <c r="N143" s="293"/>
      <c r="O143" s="120"/>
      <c r="P143" s="188"/>
      <c r="Q143" s="1"/>
    </row>
    <row r="144" spans="1:17" s="15" customFormat="1" x14ac:dyDescent="0.3">
      <c r="A144" s="27"/>
      <c r="B144" s="1"/>
      <c r="D144" s="240"/>
      <c r="E144" s="240"/>
      <c r="H144" s="21"/>
      <c r="I144" s="396"/>
      <c r="J144" s="78"/>
      <c r="K144" s="78"/>
      <c r="L144" s="120"/>
      <c r="M144" s="120"/>
      <c r="N144" s="293"/>
      <c r="O144" s="120"/>
      <c r="P144" s="188"/>
      <c r="Q144" s="1"/>
    </row>
    <row r="145" spans="1:17" s="15" customFormat="1" x14ac:dyDescent="0.3">
      <c r="A145" s="27"/>
      <c r="B145" s="1"/>
      <c r="D145" s="240"/>
      <c r="E145" s="240"/>
      <c r="H145" s="21"/>
      <c r="I145" s="396"/>
      <c r="J145" s="78"/>
      <c r="K145" s="78"/>
      <c r="L145" s="120"/>
      <c r="M145" s="120"/>
      <c r="N145" s="293"/>
      <c r="O145" s="120"/>
      <c r="P145" s="188"/>
      <c r="Q145" s="1"/>
    </row>
    <row r="146" spans="1:17" s="15" customFormat="1" x14ac:dyDescent="0.3">
      <c r="A146" s="27"/>
      <c r="B146" s="1"/>
      <c r="D146" s="240"/>
      <c r="E146" s="240"/>
      <c r="H146" s="21"/>
      <c r="I146" s="396"/>
      <c r="J146" s="78"/>
      <c r="K146" s="78"/>
      <c r="L146" s="120"/>
      <c r="M146" s="120"/>
      <c r="N146" s="293"/>
      <c r="O146" s="120"/>
      <c r="P146" s="188"/>
      <c r="Q146" s="1"/>
    </row>
    <row r="147" spans="1:17" s="15" customFormat="1" x14ac:dyDescent="0.3">
      <c r="A147" s="27"/>
      <c r="B147" s="1"/>
      <c r="D147" s="240"/>
      <c r="E147" s="240"/>
      <c r="H147" s="21"/>
      <c r="I147" s="396"/>
      <c r="J147" s="78"/>
      <c r="K147" s="78"/>
      <c r="L147" s="120"/>
      <c r="M147" s="120"/>
      <c r="N147" s="293"/>
      <c r="O147" s="120"/>
      <c r="P147" s="188"/>
      <c r="Q147" s="1"/>
    </row>
    <row r="148" spans="1:17" s="15" customFormat="1" x14ac:dyDescent="0.3">
      <c r="A148" s="27"/>
      <c r="B148" s="1"/>
      <c r="D148" s="240"/>
      <c r="E148" s="240"/>
      <c r="H148" s="21"/>
      <c r="I148" s="396"/>
      <c r="J148" s="78"/>
      <c r="K148" s="78"/>
      <c r="L148" s="120"/>
      <c r="M148" s="120"/>
      <c r="N148" s="293"/>
      <c r="O148" s="120"/>
      <c r="P148" s="188"/>
      <c r="Q148" s="1"/>
    </row>
    <row r="149" spans="1:17" s="15" customFormat="1" x14ac:dyDescent="0.3">
      <c r="A149" s="27"/>
      <c r="B149" s="1"/>
      <c r="D149" s="240"/>
      <c r="E149" s="240"/>
      <c r="H149" s="21"/>
      <c r="I149" s="396"/>
      <c r="J149" s="78"/>
      <c r="K149" s="78"/>
      <c r="L149" s="120"/>
      <c r="M149" s="120"/>
      <c r="N149" s="293"/>
      <c r="O149" s="120"/>
      <c r="P149" s="188"/>
      <c r="Q149" s="1"/>
    </row>
    <row r="150" spans="1:17" s="15" customFormat="1" x14ac:dyDescent="0.3">
      <c r="A150" s="27"/>
      <c r="B150" s="1"/>
      <c r="D150" s="240"/>
      <c r="E150" s="240"/>
      <c r="H150" s="21"/>
      <c r="I150" s="396"/>
      <c r="J150" s="78"/>
      <c r="K150" s="78"/>
      <c r="L150" s="120"/>
      <c r="M150" s="120"/>
      <c r="N150" s="293"/>
      <c r="O150" s="120"/>
      <c r="P150" s="188"/>
      <c r="Q150" s="1"/>
    </row>
    <row r="151" spans="1:17" s="15" customFormat="1" x14ac:dyDescent="0.3">
      <c r="A151" s="27"/>
      <c r="B151" s="1"/>
      <c r="D151" s="240"/>
      <c r="E151" s="240"/>
      <c r="H151" s="21"/>
      <c r="I151" s="396"/>
      <c r="J151" s="78"/>
      <c r="K151" s="78"/>
      <c r="L151" s="120"/>
      <c r="M151" s="120"/>
      <c r="N151" s="293"/>
      <c r="O151" s="120"/>
      <c r="P151" s="188"/>
      <c r="Q151" s="1"/>
    </row>
    <row r="152" spans="1:17" s="15" customFormat="1" x14ac:dyDescent="0.3">
      <c r="A152" s="27"/>
      <c r="B152" s="1"/>
      <c r="D152" s="240"/>
      <c r="E152" s="240"/>
      <c r="H152" s="21"/>
      <c r="I152" s="396"/>
      <c r="J152" s="78"/>
      <c r="K152" s="78"/>
      <c r="L152" s="120"/>
      <c r="M152" s="120"/>
      <c r="N152" s="293"/>
      <c r="O152" s="120"/>
      <c r="P152" s="188"/>
      <c r="Q152" s="1"/>
    </row>
    <row r="153" spans="1:17" s="15" customFormat="1" x14ac:dyDescent="0.3">
      <c r="A153" s="27"/>
      <c r="B153" s="1"/>
      <c r="D153" s="240"/>
      <c r="E153" s="240"/>
      <c r="H153" s="21"/>
      <c r="I153" s="396"/>
      <c r="J153" s="78"/>
      <c r="K153" s="78"/>
      <c r="L153" s="120"/>
      <c r="M153" s="120"/>
      <c r="N153" s="293"/>
      <c r="O153" s="120"/>
      <c r="P153" s="188"/>
      <c r="Q153" s="1"/>
    </row>
    <row r="154" spans="1:17" s="15" customFormat="1" x14ac:dyDescent="0.3">
      <c r="A154" s="27"/>
      <c r="B154" s="1"/>
      <c r="D154" s="240"/>
      <c r="E154" s="240"/>
      <c r="H154" s="21"/>
      <c r="I154" s="396"/>
      <c r="J154" s="78"/>
      <c r="K154" s="78"/>
      <c r="L154" s="120"/>
      <c r="M154" s="120"/>
      <c r="N154" s="293"/>
      <c r="O154" s="120"/>
      <c r="P154" s="188"/>
      <c r="Q154" s="1"/>
    </row>
    <row r="155" spans="1:17" s="15" customFormat="1" x14ac:dyDescent="0.3">
      <c r="A155" s="27"/>
      <c r="B155" s="1"/>
      <c r="D155" s="240"/>
      <c r="E155" s="240"/>
      <c r="H155" s="21"/>
      <c r="I155" s="396"/>
      <c r="J155" s="78"/>
      <c r="K155" s="78"/>
      <c r="L155" s="120"/>
      <c r="M155" s="120"/>
      <c r="N155" s="293"/>
      <c r="O155" s="120"/>
      <c r="P155" s="188"/>
      <c r="Q155" s="1"/>
    </row>
    <row r="156" spans="1:17" s="15" customFormat="1" x14ac:dyDescent="0.3">
      <c r="A156" s="27"/>
      <c r="B156" s="1"/>
      <c r="D156" s="240"/>
      <c r="E156" s="240"/>
      <c r="H156" s="21"/>
      <c r="I156" s="396"/>
      <c r="J156" s="78"/>
      <c r="K156" s="78"/>
      <c r="L156" s="120"/>
      <c r="M156" s="120"/>
      <c r="N156" s="293"/>
      <c r="O156" s="120"/>
      <c r="P156" s="188"/>
      <c r="Q156" s="1"/>
    </row>
    <row r="157" spans="1:17" s="15" customFormat="1" x14ac:dyDescent="0.3">
      <c r="A157" s="27"/>
      <c r="B157" s="1"/>
      <c r="D157" s="240"/>
      <c r="E157" s="240"/>
      <c r="H157" s="21"/>
      <c r="I157" s="396"/>
      <c r="J157" s="78"/>
      <c r="K157" s="78"/>
      <c r="L157" s="120"/>
      <c r="M157" s="120"/>
      <c r="N157" s="293"/>
      <c r="O157" s="120"/>
      <c r="P157" s="188"/>
      <c r="Q157" s="1"/>
    </row>
    <row r="158" spans="1:17" s="15" customFormat="1" x14ac:dyDescent="0.3">
      <c r="A158" s="27"/>
      <c r="B158" s="1"/>
      <c r="D158" s="240"/>
      <c r="E158" s="240"/>
      <c r="H158" s="21"/>
      <c r="I158" s="396"/>
      <c r="J158" s="78"/>
      <c r="K158" s="78"/>
      <c r="L158" s="120"/>
      <c r="M158" s="120"/>
      <c r="N158" s="293"/>
      <c r="O158" s="120"/>
      <c r="P158" s="188"/>
      <c r="Q158" s="1"/>
    </row>
    <row r="159" spans="1:17" s="15" customFormat="1" x14ac:dyDescent="0.3">
      <c r="A159" s="27"/>
      <c r="B159" s="1"/>
      <c r="D159" s="240"/>
      <c r="E159" s="240"/>
      <c r="H159" s="21"/>
      <c r="I159" s="396"/>
      <c r="J159" s="78"/>
      <c r="K159" s="78"/>
      <c r="L159" s="120"/>
      <c r="M159" s="120"/>
      <c r="N159" s="293"/>
      <c r="O159" s="120"/>
      <c r="P159" s="188"/>
      <c r="Q159" s="1"/>
    </row>
    <row r="160" spans="1:17" s="15" customFormat="1" x14ac:dyDescent="0.3">
      <c r="A160" s="27"/>
      <c r="B160" s="1"/>
      <c r="D160" s="240"/>
      <c r="E160" s="240"/>
      <c r="H160" s="21"/>
      <c r="I160" s="396"/>
      <c r="J160" s="78"/>
      <c r="K160" s="78"/>
      <c r="L160" s="120"/>
      <c r="M160" s="120"/>
      <c r="N160" s="293"/>
      <c r="O160" s="120"/>
      <c r="P160" s="188"/>
      <c r="Q160" s="1"/>
    </row>
    <row r="161" spans="1:17" s="15" customFormat="1" x14ac:dyDescent="0.3">
      <c r="A161" s="27"/>
      <c r="B161" s="1"/>
      <c r="D161" s="240"/>
      <c r="E161" s="240"/>
      <c r="H161" s="21"/>
      <c r="I161" s="396"/>
      <c r="J161" s="78"/>
      <c r="K161" s="78"/>
      <c r="L161" s="120"/>
      <c r="M161" s="120"/>
      <c r="N161" s="293"/>
      <c r="O161" s="120"/>
      <c r="P161" s="188"/>
      <c r="Q161" s="1"/>
    </row>
    <row r="162" spans="1:17" s="15" customFormat="1" x14ac:dyDescent="0.3">
      <c r="A162" s="27"/>
      <c r="B162" s="1"/>
      <c r="D162" s="240"/>
      <c r="E162" s="240"/>
      <c r="H162" s="21"/>
      <c r="I162" s="396"/>
      <c r="J162" s="78"/>
      <c r="K162" s="78"/>
      <c r="L162" s="120"/>
      <c r="M162" s="120"/>
      <c r="N162" s="293"/>
      <c r="O162" s="120"/>
      <c r="P162" s="188"/>
      <c r="Q162" s="1"/>
    </row>
    <row r="163" spans="1:17" s="15" customFormat="1" x14ac:dyDescent="0.3">
      <c r="A163" s="27"/>
      <c r="B163" s="1"/>
      <c r="D163" s="240"/>
      <c r="E163" s="240"/>
      <c r="H163" s="21"/>
      <c r="I163" s="396"/>
      <c r="J163" s="78"/>
      <c r="K163" s="78"/>
      <c r="L163" s="120"/>
      <c r="M163" s="120"/>
      <c r="N163" s="293"/>
      <c r="O163" s="120"/>
      <c r="P163" s="188"/>
      <c r="Q163" s="1"/>
    </row>
    <row r="164" spans="1:17" s="15" customFormat="1" x14ac:dyDescent="0.3">
      <c r="A164" s="27"/>
      <c r="B164" s="1"/>
      <c r="D164" s="240"/>
      <c r="E164" s="240"/>
      <c r="H164" s="21"/>
      <c r="I164" s="396"/>
      <c r="J164" s="78"/>
      <c r="K164" s="78"/>
      <c r="L164" s="120"/>
      <c r="M164" s="120"/>
      <c r="N164" s="293"/>
      <c r="O164" s="120"/>
      <c r="P164" s="188"/>
      <c r="Q164" s="1"/>
    </row>
    <row r="165" spans="1:17" s="15" customFormat="1" x14ac:dyDescent="0.3">
      <c r="A165" s="27"/>
      <c r="B165" s="1"/>
      <c r="D165" s="240"/>
      <c r="E165" s="240"/>
      <c r="H165" s="21"/>
      <c r="I165" s="396"/>
      <c r="J165" s="78"/>
      <c r="K165" s="78"/>
      <c r="L165" s="120"/>
      <c r="M165" s="120"/>
      <c r="N165" s="293"/>
      <c r="O165" s="120"/>
      <c r="P165" s="188"/>
      <c r="Q165" s="1"/>
    </row>
    <row r="166" spans="1:17" s="15" customFormat="1" x14ac:dyDescent="0.3">
      <c r="A166" s="27"/>
      <c r="B166" s="1"/>
      <c r="D166" s="240"/>
      <c r="E166" s="240"/>
      <c r="H166" s="21"/>
      <c r="I166" s="396"/>
      <c r="J166" s="78"/>
      <c r="K166" s="78"/>
      <c r="L166" s="120"/>
      <c r="M166" s="120"/>
      <c r="N166" s="293"/>
      <c r="O166" s="120"/>
      <c r="P166" s="188"/>
      <c r="Q166" s="1"/>
    </row>
    <row r="167" spans="1:17" s="15" customFormat="1" x14ac:dyDescent="0.3">
      <c r="A167" s="27"/>
      <c r="B167" s="1"/>
      <c r="D167" s="240"/>
      <c r="E167" s="240"/>
      <c r="H167" s="21"/>
      <c r="I167" s="396"/>
      <c r="J167" s="78"/>
      <c r="K167" s="78"/>
      <c r="L167" s="120"/>
      <c r="M167" s="120"/>
      <c r="N167" s="293"/>
      <c r="O167" s="120"/>
      <c r="P167" s="188"/>
      <c r="Q167" s="1"/>
    </row>
    <row r="168" spans="1:17" s="15" customFormat="1" x14ac:dyDescent="0.3">
      <c r="A168" s="27"/>
      <c r="B168" s="1"/>
      <c r="D168" s="240"/>
      <c r="E168" s="240"/>
      <c r="H168" s="21"/>
      <c r="I168" s="396"/>
      <c r="J168" s="78"/>
      <c r="K168" s="78"/>
      <c r="L168" s="120"/>
      <c r="M168" s="120"/>
      <c r="N168" s="293"/>
      <c r="O168" s="120"/>
      <c r="P168" s="188"/>
      <c r="Q168" s="1"/>
    </row>
    <row r="169" spans="1:17" s="15" customFormat="1" x14ac:dyDescent="0.3">
      <c r="A169" s="27"/>
      <c r="B169" s="1"/>
      <c r="D169" s="240"/>
      <c r="E169" s="240"/>
      <c r="H169" s="21"/>
      <c r="I169" s="396"/>
      <c r="J169" s="78"/>
      <c r="K169" s="78"/>
      <c r="L169" s="120"/>
      <c r="M169" s="120"/>
      <c r="N169" s="293"/>
      <c r="O169" s="120"/>
      <c r="P169" s="188"/>
      <c r="Q169" s="1"/>
    </row>
    <row r="170" spans="1:17" s="15" customFormat="1" x14ac:dyDescent="0.3">
      <c r="A170" s="27"/>
      <c r="B170" s="1"/>
      <c r="D170" s="240"/>
      <c r="E170" s="240"/>
      <c r="H170" s="21"/>
      <c r="I170" s="396"/>
      <c r="J170" s="78"/>
      <c r="K170" s="78"/>
      <c r="L170" s="120"/>
      <c r="M170" s="120"/>
      <c r="N170" s="293"/>
      <c r="O170" s="120"/>
      <c r="P170" s="188"/>
      <c r="Q170" s="1"/>
    </row>
    <row r="171" spans="1:17" s="15" customFormat="1" x14ac:dyDescent="0.3">
      <c r="A171" s="27"/>
      <c r="B171" s="1"/>
      <c r="D171" s="240"/>
      <c r="E171" s="240"/>
      <c r="H171" s="21"/>
      <c r="I171" s="396"/>
      <c r="J171" s="78"/>
      <c r="K171" s="78"/>
      <c r="L171" s="120"/>
      <c r="M171" s="120"/>
      <c r="N171" s="293"/>
      <c r="O171" s="120"/>
      <c r="P171" s="188"/>
      <c r="Q171" s="1"/>
    </row>
    <row r="172" spans="1:17" s="15" customFormat="1" x14ac:dyDescent="0.3">
      <c r="A172" s="27"/>
      <c r="B172" s="1"/>
      <c r="D172" s="240"/>
      <c r="E172" s="240"/>
      <c r="H172" s="21"/>
      <c r="I172" s="396"/>
      <c r="J172" s="78"/>
      <c r="K172" s="78"/>
      <c r="L172" s="120"/>
      <c r="M172" s="120"/>
      <c r="N172" s="293"/>
      <c r="O172" s="120"/>
      <c r="P172" s="188"/>
      <c r="Q172" s="1"/>
    </row>
    <row r="173" spans="1:17" s="15" customFormat="1" x14ac:dyDescent="0.3">
      <c r="A173" s="27"/>
      <c r="B173" s="1"/>
      <c r="D173" s="240"/>
      <c r="E173" s="240"/>
      <c r="H173" s="21"/>
      <c r="I173" s="396"/>
      <c r="J173" s="78"/>
      <c r="K173" s="78"/>
      <c r="L173" s="120"/>
      <c r="M173" s="120"/>
      <c r="N173" s="293"/>
      <c r="O173" s="120"/>
      <c r="P173" s="188"/>
      <c r="Q173" s="1"/>
    </row>
    <row r="174" spans="1:17" s="15" customFormat="1" x14ac:dyDescent="0.3">
      <c r="A174" s="27"/>
      <c r="B174" s="1"/>
      <c r="D174" s="240"/>
      <c r="E174" s="240"/>
      <c r="H174" s="21"/>
      <c r="I174" s="396"/>
      <c r="J174" s="78"/>
      <c r="K174" s="78"/>
      <c r="L174" s="120"/>
      <c r="M174" s="120"/>
      <c r="N174" s="293"/>
      <c r="O174" s="120"/>
      <c r="P174" s="188"/>
      <c r="Q174" s="1"/>
    </row>
    <row r="175" spans="1:17" s="15" customFormat="1" x14ac:dyDescent="0.3">
      <c r="A175" s="27"/>
      <c r="B175" s="1"/>
      <c r="D175" s="240"/>
      <c r="E175" s="240"/>
      <c r="H175" s="21"/>
      <c r="I175" s="396"/>
      <c r="J175" s="78"/>
      <c r="K175" s="78"/>
      <c r="L175" s="120"/>
      <c r="M175" s="120"/>
      <c r="N175" s="293"/>
      <c r="O175" s="120"/>
      <c r="P175" s="188"/>
      <c r="Q175" s="1"/>
    </row>
    <row r="176" spans="1:17" s="15" customFormat="1" x14ac:dyDescent="0.3">
      <c r="A176" s="27"/>
      <c r="B176" s="1"/>
      <c r="D176" s="240"/>
      <c r="E176" s="240"/>
      <c r="H176" s="21"/>
      <c r="I176" s="396"/>
      <c r="J176" s="78"/>
      <c r="K176" s="78"/>
      <c r="L176" s="120"/>
      <c r="M176" s="120"/>
      <c r="N176" s="293"/>
      <c r="O176" s="120"/>
      <c r="P176" s="188"/>
      <c r="Q176" s="1"/>
    </row>
    <row r="177" spans="1:17" s="15" customFormat="1" x14ac:dyDescent="0.3">
      <c r="A177" s="27"/>
      <c r="B177" s="1"/>
      <c r="D177" s="240"/>
      <c r="E177" s="240"/>
      <c r="H177" s="21"/>
      <c r="I177" s="396"/>
      <c r="J177" s="78"/>
      <c r="K177" s="78"/>
      <c r="L177" s="120"/>
      <c r="M177" s="120"/>
      <c r="N177" s="293"/>
      <c r="O177" s="120"/>
      <c r="P177" s="188"/>
      <c r="Q177" s="1"/>
    </row>
    <row r="178" spans="1:17" s="15" customFormat="1" x14ac:dyDescent="0.3">
      <c r="A178" s="27"/>
      <c r="B178" s="1"/>
      <c r="D178" s="240"/>
      <c r="E178" s="240"/>
      <c r="H178" s="21"/>
      <c r="I178" s="396"/>
      <c r="J178" s="78"/>
      <c r="K178" s="78"/>
      <c r="L178" s="120"/>
      <c r="M178" s="120"/>
      <c r="N178" s="293"/>
      <c r="O178" s="120"/>
      <c r="P178" s="188"/>
      <c r="Q178" s="1"/>
    </row>
    <row r="179" spans="1:17" s="15" customFormat="1" x14ac:dyDescent="0.3">
      <c r="A179" s="27"/>
      <c r="B179" s="1"/>
      <c r="D179" s="240"/>
      <c r="E179" s="240"/>
      <c r="H179" s="21"/>
      <c r="I179" s="396"/>
      <c r="J179" s="78"/>
      <c r="K179" s="78"/>
      <c r="L179" s="120"/>
      <c r="M179" s="120"/>
      <c r="N179" s="293"/>
      <c r="O179" s="120"/>
      <c r="P179" s="188"/>
      <c r="Q179" s="1"/>
    </row>
    <row r="180" spans="1:17" s="15" customFormat="1" x14ac:dyDescent="0.3">
      <c r="A180" s="27"/>
      <c r="B180" s="1"/>
      <c r="D180" s="240"/>
      <c r="E180" s="240"/>
      <c r="H180" s="21"/>
      <c r="I180" s="396"/>
      <c r="J180" s="78"/>
      <c r="K180" s="78"/>
      <c r="L180" s="120"/>
      <c r="M180" s="120"/>
      <c r="N180" s="293"/>
      <c r="O180" s="120"/>
      <c r="P180" s="188"/>
      <c r="Q180" s="1"/>
    </row>
    <row r="181" spans="1:17" s="15" customFormat="1" x14ac:dyDescent="0.3">
      <c r="A181" s="27"/>
      <c r="B181" s="1"/>
      <c r="D181" s="240"/>
      <c r="E181" s="240"/>
      <c r="H181" s="21"/>
      <c r="I181" s="396"/>
      <c r="J181" s="78"/>
      <c r="K181" s="78"/>
      <c r="L181" s="120"/>
      <c r="M181" s="120"/>
      <c r="N181" s="293"/>
      <c r="O181" s="120"/>
      <c r="P181" s="188"/>
      <c r="Q181" s="1"/>
    </row>
    <row r="182" spans="1:17" s="15" customFormat="1" x14ac:dyDescent="0.3">
      <c r="A182" s="27"/>
      <c r="B182" s="1"/>
      <c r="D182" s="240"/>
      <c r="E182" s="240"/>
      <c r="H182" s="21"/>
      <c r="I182" s="396"/>
      <c r="J182" s="78"/>
      <c r="K182" s="78"/>
      <c r="L182" s="120"/>
      <c r="M182" s="120"/>
      <c r="N182" s="293"/>
      <c r="O182" s="120"/>
      <c r="P182" s="188"/>
      <c r="Q182" s="1"/>
    </row>
    <row r="183" spans="1:17" s="15" customFormat="1" x14ac:dyDescent="0.3">
      <c r="A183" s="27"/>
      <c r="B183" s="1"/>
      <c r="D183" s="240"/>
      <c r="E183" s="240"/>
      <c r="H183" s="21"/>
      <c r="I183" s="396"/>
      <c r="J183" s="78"/>
      <c r="K183" s="78"/>
      <c r="L183" s="120"/>
      <c r="M183" s="120"/>
      <c r="N183" s="293"/>
      <c r="O183" s="120"/>
      <c r="P183" s="188"/>
      <c r="Q183" s="1"/>
    </row>
    <row r="184" spans="1:17" s="15" customFormat="1" x14ac:dyDescent="0.3">
      <c r="A184" s="27"/>
      <c r="B184" s="1"/>
      <c r="D184" s="240"/>
      <c r="E184" s="240"/>
      <c r="H184" s="21"/>
      <c r="I184" s="396"/>
      <c r="J184" s="78"/>
      <c r="K184" s="78"/>
      <c r="L184" s="120"/>
      <c r="M184" s="120"/>
      <c r="N184" s="293"/>
      <c r="O184" s="120"/>
      <c r="P184" s="188"/>
      <c r="Q184" s="1"/>
    </row>
    <row r="185" spans="1:17" s="15" customFormat="1" x14ac:dyDescent="0.3">
      <c r="A185" s="27"/>
      <c r="B185" s="1"/>
      <c r="D185" s="240"/>
      <c r="E185" s="240"/>
      <c r="H185" s="21"/>
      <c r="I185" s="396"/>
      <c r="J185" s="78"/>
      <c r="K185" s="78"/>
      <c r="L185" s="120"/>
      <c r="M185" s="120"/>
      <c r="N185" s="293"/>
      <c r="O185" s="120"/>
      <c r="P185" s="188"/>
      <c r="Q185" s="1"/>
    </row>
    <row r="186" spans="1:17" s="15" customFormat="1" x14ac:dyDescent="0.3">
      <c r="A186" s="27"/>
      <c r="B186" s="1"/>
      <c r="D186" s="240"/>
      <c r="E186" s="240"/>
      <c r="H186" s="21"/>
      <c r="I186" s="396"/>
      <c r="J186" s="78"/>
      <c r="K186" s="78"/>
      <c r="L186" s="120"/>
      <c r="M186" s="120"/>
      <c r="N186" s="293"/>
      <c r="O186" s="120"/>
      <c r="P186" s="188"/>
      <c r="Q186" s="1"/>
    </row>
    <row r="187" spans="1:17" s="15" customFormat="1" x14ac:dyDescent="0.3">
      <c r="A187" s="27"/>
      <c r="B187" s="1"/>
      <c r="D187" s="240"/>
      <c r="E187" s="240"/>
      <c r="H187" s="21"/>
      <c r="I187" s="396"/>
      <c r="J187" s="78"/>
      <c r="K187" s="78"/>
      <c r="L187" s="120"/>
      <c r="M187" s="120"/>
      <c r="N187" s="293"/>
      <c r="O187" s="120"/>
      <c r="P187" s="188"/>
      <c r="Q187" s="1"/>
    </row>
    <row r="188" spans="1:17" s="15" customFormat="1" x14ac:dyDescent="0.3">
      <c r="A188" s="27"/>
      <c r="B188" s="1"/>
      <c r="D188" s="240"/>
      <c r="E188" s="240"/>
      <c r="H188" s="21"/>
      <c r="I188" s="396"/>
      <c r="J188" s="78"/>
      <c r="K188" s="78"/>
      <c r="L188" s="120"/>
      <c r="M188" s="120"/>
      <c r="N188" s="293"/>
      <c r="O188" s="120"/>
      <c r="P188" s="188"/>
      <c r="Q188" s="1"/>
    </row>
    <row r="189" spans="1:17" s="15" customFormat="1" x14ac:dyDescent="0.3">
      <c r="A189" s="27"/>
      <c r="B189" s="1"/>
      <c r="D189" s="240"/>
      <c r="E189" s="240"/>
      <c r="H189" s="21"/>
      <c r="I189" s="396"/>
      <c r="J189" s="78"/>
      <c r="K189" s="78"/>
      <c r="L189" s="120"/>
      <c r="M189" s="120"/>
      <c r="N189" s="293"/>
      <c r="O189" s="120"/>
      <c r="P189" s="188"/>
      <c r="Q189" s="1"/>
    </row>
    <row r="190" spans="1:17" s="15" customFormat="1" x14ac:dyDescent="0.3">
      <c r="A190" s="27"/>
      <c r="B190" s="1"/>
      <c r="D190" s="240"/>
      <c r="E190" s="240"/>
      <c r="H190" s="21"/>
      <c r="I190" s="396"/>
      <c r="J190" s="78"/>
      <c r="K190" s="78"/>
      <c r="L190" s="120"/>
      <c r="M190" s="120"/>
      <c r="N190" s="293"/>
      <c r="O190" s="120"/>
      <c r="P190" s="188"/>
      <c r="Q190" s="1"/>
    </row>
    <row r="191" spans="1:17" s="15" customFormat="1" x14ac:dyDescent="0.3">
      <c r="A191" s="27"/>
      <c r="B191" s="1"/>
      <c r="D191" s="240"/>
      <c r="E191" s="240"/>
      <c r="H191" s="21"/>
      <c r="I191" s="396"/>
      <c r="J191" s="78"/>
      <c r="K191" s="78"/>
      <c r="L191" s="120"/>
      <c r="M191" s="120"/>
      <c r="N191" s="293"/>
      <c r="O191" s="120"/>
      <c r="P191" s="188"/>
      <c r="Q191" s="1"/>
    </row>
    <row r="192" spans="1:17" s="15" customFormat="1" x14ac:dyDescent="0.3">
      <c r="A192" s="27"/>
      <c r="B192" s="1"/>
      <c r="D192" s="240"/>
      <c r="E192" s="240"/>
      <c r="H192" s="21"/>
      <c r="I192" s="396"/>
      <c r="J192" s="78"/>
      <c r="K192" s="78"/>
      <c r="L192" s="120"/>
      <c r="M192" s="120"/>
      <c r="N192" s="293"/>
      <c r="O192" s="120"/>
      <c r="P192" s="188"/>
      <c r="Q192" s="1"/>
    </row>
    <row r="193" spans="1:17" s="15" customFormat="1" x14ac:dyDescent="0.3">
      <c r="A193" s="27"/>
      <c r="B193" s="1"/>
      <c r="D193" s="240"/>
      <c r="E193" s="240"/>
      <c r="H193" s="21"/>
      <c r="I193" s="396"/>
      <c r="J193" s="78"/>
      <c r="K193" s="78"/>
      <c r="L193" s="120"/>
      <c r="M193" s="120"/>
      <c r="N193" s="293"/>
      <c r="O193" s="120"/>
      <c r="P193" s="188"/>
      <c r="Q193" s="1"/>
    </row>
    <row r="194" spans="1:17" s="15" customFormat="1" x14ac:dyDescent="0.3">
      <c r="A194" s="27"/>
      <c r="B194" s="1"/>
      <c r="D194" s="240"/>
      <c r="E194" s="240"/>
      <c r="H194" s="21"/>
      <c r="I194" s="396"/>
      <c r="J194" s="78"/>
      <c r="K194" s="78"/>
      <c r="L194" s="120"/>
      <c r="M194" s="120"/>
      <c r="N194" s="293"/>
      <c r="O194" s="120"/>
      <c r="P194" s="188"/>
      <c r="Q194" s="1"/>
    </row>
    <row r="195" spans="1:17" s="15" customFormat="1" x14ac:dyDescent="0.3">
      <c r="A195" s="27"/>
      <c r="B195" s="1"/>
      <c r="D195" s="240"/>
      <c r="E195" s="240"/>
      <c r="H195" s="21"/>
      <c r="I195" s="396"/>
      <c r="J195" s="78"/>
      <c r="K195" s="78"/>
      <c r="L195" s="120"/>
      <c r="M195" s="120"/>
      <c r="N195" s="293"/>
      <c r="O195" s="120"/>
      <c r="P195" s="188"/>
      <c r="Q195" s="1"/>
    </row>
    <row r="196" spans="1:17" s="15" customFormat="1" x14ac:dyDescent="0.3">
      <c r="A196" s="27"/>
      <c r="B196" s="1"/>
      <c r="D196" s="240"/>
      <c r="E196" s="240"/>
      <c r="H196" s="21"/>
      <c r="I196" s="396"/>
      <c r="J196" s="78"/>
      <c r="K196" s="78"/>
      <c r="L196" s="120"/>
      <c r="M196" s="120"/>
      <c r="N196" s="293"/>
      <c r="O196" s="120"/>
      <c r="P196" s="188"/>
      <c r="Q196" s="1"/>
    </row>
    <row r="197" spans="1:17" s="15" customFormat="1" x14ac:dyDescent="0.3">
      <c r="A197" s="27"/>
      <c r="B197" s="1"/>
      <c r="D197" s="240"/>
      <c r="E197" s="240"/>
      <c r="H197" s="21"/>
      <c r="I197" s="396"/>
      <c r="J197" s="78"/>
      <c r="K197" s="78"/>
      <c r="L197" s="120"/>
      <c r="M197" s="120"/>
      <c r="N197" s="293"/>
      <c r="O197" s="120"/>
      <c r="P197" s="188"/>
      <c r="Q197" s="1"/>
    </row>
    <row r="198" spans="1:17" s="15" customFormat="1" x14ac:dyDescent="0.3">
      <c r="A198" s="27"/>
      <c r="B198" s="1"/>
      <c r="D198" s="240"/>
      <c r="E198" s="240"/>
      <c r="H198" s="21"/>
      <c r="I198" s="396"/>
      <c r="J198" s="78"/>
      <c r="K198" s="78"/>
      <c r="L198" s="120"/>
      <c r="M198" s="120"/>
      <c r="N198" s="293"/>
      <c r="O198" s="120"/>
      <c r="P198" s="188"/>
      <c r="Q198" s="1"/>
    </row>
    <row r="199" spans="1:17" s="15" customFormat="1" x14ac:dyDescent="0.3">
      <c r="A199" s="27"/>
      <c r="B199" s="1"/>
      <c r="D199" s="240"/>
      <c r="E199" s="240"/>
      <c r="H199" s="21"/>
      <c r="I199" s="396"/>
      <c r="J199" s="78"/>
      <c r="K199" s="78"/>
      <c r="L199" s="120"/>
      <c r="M199" s="120"/>
      <c r="N199" s="293"/>
      <c r="O199" s="120"/>
      <c r="P199" s="188"/>
      <c r="Q199" s="1"/>
    </row>
    <row r="200" spans="1:17" s="15" customFormat="1" x14ac:dyDescent="0.3">
      <c r="A200" s="27"/>
      <c r="B200" s="1"/>
      <c r="D200" s="240"/>
      <c r="E200" s="240"/>
      <c r="H200" s="21"/>
      <c r="I200" s="396"/>
      <c r="J200" s="78"/>
      <c r="K200" s="78"/>
      <c r="L200" s="120"/>
      <c r="M200" s="120"/>
      <c r="N200" s="293"/>
      <c r="O200" s="120"/>
      <c r="P200" s="188"/>
      <c r="Q200" s="1"/>
    </row>
    <row r="201" spans="1:17" s="15" customFormat="1" x14ac:dyDescent="0.3">
      <c r="A201" s="27"/>
      <c r="B201" s="1"/>
      <c r="D201" s="240"/>
      <c r="E201" s="240"/>
      <c r="H201" s="21"/>
      <c r="I201" s="396"/>
      <c r="J201" s="78"/>
      <c r="K201" s="78"/>
      <c r="L201" s="120"/>
      <c r="M201" s="120"/>
      <c r="N201" s="293"/>
      <c r="O201" s="120"/>
      <c r="P201" s="188"/>
      <c r="Q201" s="1"/>
    </row>
    <row r="202" spans="1:17" s="15" customFormat="1" x14ac:dyDescent="0.3">
      <c r="A202" s="27"/>
      <c r="B202" s="1"/>
      <c r="D202" s="240"/>
      <c r="E202" s="240"/>
      <c r="H202" s="21"/>
      <c r="I202" s="396"/>
      <c r="J202" s="78"/>
      <c r="K202" s="78"/>
      <c r="L202" s="120"/>
      <c r="M202" s="120"/>
      <c r="N202" s="293"/>
      <c r="O202" s="120"/>
      <c r="P202" s="188"/>
      <c r="Q202" s="1"/>
    </row>
    <row r="203" spans="1:17" s="15" customFormat="1" x14ac:dyDescent="0.3">
      <c r="A203" s="27"/>
      <c r="B203" s="1"/>
      <c r="D203" s="240"/>
      <c r="E203" s="240"/>
      <c r="H203" s="21"/>
      <c r="I203" s="396"/>
      <c r="J203" s="78"/>
      <c r="K203" s="78"/>
      <c r="L203" s="120"/>
      <c r="M203" s="120"/>
      <c r="N203" s="293"/>
      <c r="O203" s="120"/>
      <c r="P203" s="188"/>
      <c r="Q203" s="1"/>
    </row>
    <row r="204" spans="1:17" s="15" customFormat="1" x14ac:dyDescent="0.3">
      <c r="A204" s="27"/>
      <c r="B204" s="1"/>
      <c r="D204" s="240"/>
      <c r="E204" s="240"/>
      <c r="H204" s="21"/>
      <c r="I204" s="396"/>
      <c r="J204" s="78"/>
      <c r="K204" s="78"/>
      <c r="L204" s="120"/>
      <c r="M204" s="120"/>
      <c r="N204" s="293"/>
      <c r="O204" s="120"/>
      <c r="P204" s="188"/>
      <c r="Q204" s="1"/>
    </row>
    <row r="205" spans="1:17" s="15" customFormat="1" x14ac:dyDescent="0.3">
      <c r="A205" s="27"/>
      <c r="B205" s="1"/>
      <c r="D205" s="240"/>
      <c r="E205" s="240"/>
      <c r="H205" s="21"/>
      <c r="I205" s="396"/>
      <c r="J205" s="78"/>
      <c r="K205" s="78"/>
      <c r="L205" s="120"/>
      <c r="M205" s="120"/>
      <c r="N205" s="293"/>
      <c r="O205" s="120"/>
      <c r="P205" s="188"/>
      <c r="Q205" s="1"/>
    </row>
    <row r="206" spans="1:17" s="15" customFormat="1" x14ac:dyDescent="0.3">
      <c r="A206" s="27"/>
      <c r="B206" s="1"/>
      <c r="D206" s="240"/>
      <c r="E206" s="240"/>
      <c r="H206" s="21"/>
      <c r="I206" s="396"/>
      <c r="J206" s="78"/>
      <c r="K206" s="78"/>
      <c r="L206" s="120"/>
      <c r="M206" s="120"/>
      <c r="N206" s="293"/>
      <c r="O206" s="120"/>
      <c r="P206" s="188"/>
      <c r="Q206" s="1"/>
    </row>
    <row r="207" spans="1:17" s="15" customFormat="1" x14ac:dyDescent="0.3">
      <c r="A207" s="27"/>
      <c r="B207" s="1"/>
      <c r="D207" s="240"/>
      <c r="E207" s="240"/>
      <c r="H207" s="21"/>
      <c r="I207" s="396"/>
      <c r="J207" s="78"/>
      <c r="K207" s="78"/>
      <c r="L207" s="120"/>
      <c r="M207" s="120"/>
      <c r="N207" s="293"/>
      <c r="O207" s="120"/>
      <c r="P207" s="188"/>
      <c r="Q207" s="1"/>
    </row>
    <row r="208" spans="1:17" s="15" customFormat="1" x14ac:dyDescent="0.3">
      <c r="A208" s="27"/>
      <c r="B208" s="1"/>
      <c r="D208" s="240"/>
      <c r="E208" s="240"/>
      <c r="H208" s="21"/>
      <c r="I208" s="396"/>
      <c r="J208" s="78"/>
      <c r="K208" s="78"/>
      <c r="L208" s="120"/>
      <c r="M208" s="120"/>
      <c r="N208" s="293"/>
      <c r="O208" s="120"/>
      <c r="P208" s="188"/>
      <c r="Q208" s="1"/>
    </row>
    <row r="209" spans="1:17" s="15" customFormat="1" x14ac:dyDescent="0.3">
      <c r="A209" s="27"/>
      <c r="B209" s="1"/>
      <c r="D209" s="240"/>
      <c r="E209" s="240"/>
      <c r="H209" s="21"/>
      <c r="I209" s="396"/>
      <c r="J209" s="78"/>
      <c r="K209" s="78"/>
      <c r="L209" s="120"/>
      <c r="M209" s="120"/>
      <c r="N209" s="293"/>
      <c r="O209" s="120"/>
      <c r="P209" s="188"/>
      <c r="Q209" s="1"/>
    </row>
    <row r="210" spans="1:17" s="15" customFormat="1" x14ac:dyDescent="0.3">
      <c r="A210" s="27"/>
      <c r="B210" s="1"/>
      <c r="D210" s="240"/>
      <c r="E210" s="240"/>
      <c r="H210" s="21"/>
      <c r="I210" s="396"/>
      <c r="J210" s="78"/>
      <c r="K210" s="78"/>
      <c r="L210" s="120"/>
      <c r="M210" s="120"/>
      <c r="N210" s="293"/>
      <c r="O210" s="120"/>
      <c r="P210" s="188"/>
      <c r="Q210" s="1"/>
    </row>
    <row r="211" spans="1:17" s="15" customFormat="1" x14ac:dyDescent="0.3">
      <c r="A211" s="27"/>
      <c r="B211" s="1"/>
      <c r="D211" s="240"/>
      <c r="E211" s="240"/>
      <c r="H211" s="21"/>
      <c r="I211" s="396"/>
      <c r="J211" s="78"/>
      <c r="K211" s="78"/>
      <c r="L211" s="120"/>
      <c r="M211" s="120"/>
      <c r="N211" s="293"/>
      <c r="O211" s="120"/>
      <c r="P211" s="188"/>
      <c r="Q211" s="1"/>
    </row>
    <row r="212" spans="1:17" s="15" customFormat="1" x14ac:dyDescent="0.3">
      <c r="A212" s="27"/>
      <c r="B212" s="1"/>
      <c r="D212" s="240"/>
      <c r="E212" s="240"/>
      <c r="H212" s="21"/>
      <c r="I212" s="396"/>
      <c r="J212" s="78"/>
      <c r="K212" s="78"/>
      <c r="L212" s="120"/>
      <c r="M212" s="120"/>
      <c r="N212" s="293"/>
      <c r="O212" s="120"/>
      <c r="P212" s="188"/>
      <c r="Q212" s="1"/>
    </row>
    <row r="213" spans="1:17" s="15" customFormat="1" x14ac:dyDescent="0.3">
      <c r="A213" s="27"/>
      <c r="B213" s="1"/>
      <c r="D213" s="240"/>
      <c r="E213" s="240"/>
      <c r="H213" s="21"/>
      <c r="I213" s="396"/>
      <c r="J213" s="78"/>
      <c r="K213" s="78"/>
      <c r="L213" s="120"/>
      <c r="M213" s="120"/>
      <c r="N213" s="293"/>
      <c r="O213" s="120"/>
      <c r="P213" s="188"/>
      <c r="Q213" s="1"/>
    </row>
    <row r="214" spans="1:17" s="15" customFormat="1" x14ac:dyDescent="0.3">
      <c r="A214" s="27"/>
      <c r="B214" s="1"/>
      <c r="D214" s="240"/>
      <c r="E214" s="240"/>
      <c r="H214" s="21"/>
      <c r="I214" s="396"/>
      <c r="J214" s="78"/>
      <c r="K214" s="78"/>
      <c r="L214" s="120"/>
      <c r="M214" s="120"/>
      <c r="N214" s="293"/>
      <c r="O214" s="120"/>
      <c r="P214" s="188"/>
      <c r="Q214" s="1"/>
    </row>
    <row r="215" spans="1:17" s="15" customFormat="1" x14ac:dyDescent="0.3">
      <c r="A215" s="27"/>
      <c r="B215" s="1"/>
      <c r="D215" s="240"/>
      <c r="E215" s="240"/>
      <c r="H215" s="21"/>
      <c r="I215" s="396"/>
      <c r="J215" s="78"/>
      <c r="K215" s="78"/>
      <c r="L215" s="120"/>
      <c r="M215" s="120"/>
      <c r="N215" s="293"/>
      <c r="O215" s="120"/>
      <c r="P215" s="188"/>
      <c r="Q215" s="1"/>
    </row>
    <row r="216" spans="1:17" s="15" customFormat="1" x14ac:dyDescent="0.3">
      <c r="A216" s="27"/>
      <c r="B216" s="1"/>
      <c r="D216" s="240"/>
      <c r="E216" s="240"/>
      <c r="H216" s="21"/>
      <c r="I216" s="396"/>
      <c r="J216" s="78"/>
      <c r="K216" s="78"/>
      <c r="L216" s="120"/>
      <c r="M216" s="120"/>
      <c r="N216" s="293"/>
      <c r="O216" s="120"/>
      <c r="P216" s="188"/>
      <c r="Q216" s="1"/>
    </row>
    <row r="217" spans="1:17" s="15" customFormat="1" x14ac:dyDescent="0.3">
      <c r="A217" s="27"/>
      <c r="B217" s="1"/>
      <c r="D217" s="240"/>
      <c r="E217" s="240"/>
      <c r="H217" s="21"/>
      <c r="I217" s="396"/>
      <c r="J217" s="78"/>
      <c r="K217" s="78"/>
      <c r="L217" s="120"/>
      <c r="M217" s="120"/>
      <c r="N217" s="293"/>
      <c r="O217" s="120"/>
      <c r="P217" s="188"/>
      <c r="Q217" s="1"/>
    </row>
    <row r="218" spans="1:17" s="15" customFormat="1" x14ac:dyDescent="0.3">
      <c r="A218" s="27"/>
      <c r="B218" s="1"/>
      <c r="D218" s="240"/>
      <c r="E218" s="240"/>
      <c r="H218" s="21"/>
      <c r="I218" s="396"/>
      <c r="J218" s="78"/>
      <c r="K218" s="78"/>
      <c r="L218" s="120"/>
      <c r="M218" s="120"/>
      <c r="N218" s="293"/>
      <c r="O218" s="120"/>
      <c r="P218" s="188"/>
      <c r="Q218" s="1"/>
    </row>
    <row r="219" spans="1:17" s="15" customFormat="1" x14ac:dyDescent="0.3">
      <c r="A219" s="27"/>
      <c r="B219" s="1"/>
      <c r="D219" s="240"/>
      <c r="E219" s="240"/>
      <c r="H219" s="21"/>
      <c r="I219" s="396"/>
      <c r="J219" s="78"/>
      <c r="K219" s="78"/>
      <c r="L219" s="120"/>
      <c r="M219" s="120"/>
      <c r="N219" s="293"/>
      <c r="O219" s="120"/>
      <c r="P219" s="188"/>
      <c r="Q219" s="1"/>
    </row>
    <row r="220" spans="1:17" s="15" customFormat="1" x14ac:dyDescent="0.3">
      <c r="A220" s="27"/>
      <c r="B220" s="1"/>
      <c r="D220" s="240"/>
      <c r="E220" s="240"/>
      <c r="H220" s="21"/>
      <c r="I220" s="396"/>
      <c r="J220" s="78"/>
      <c r="K220" s="78"/>
      <c r="L220" s="120"/>
      <c r="M220" s="120"/>
      <c r="N220" s="293"/>
      <c r="O220" s="120"/>
      <c r="P220" s="188"/>
      <c r="Q220" s="1"/>
    </row>
    <row r="221" spans="1:17" s="15" customFormat="1" x14ac:dyDescent="0.3">
      <c r="A221" s="27"/>
      <c r="B221" s="1"/>
      <c r="D221" s="240"/>
      <c r="E221" s="240"/>
      <c r="H221" s="21"/>
      <c r="I221" s="396"/>
      <c r="J221" s="78"/>
      <c r="K221" s="78"/>
      <c r="L221" s="120"/>
      <c r="M221" s="120"/>
      <c r="N221" s="293"/>
      <c r="O221" s="120"/>
      <c r="P221" s="188"/>
      <c r="Q221" s="1"/>
    </row>
    <row r="222" spans="1:17" s="15" customFormat="1" x14ac:dyDescent="0.3">
      <c r="A222" s="27"/>
      <c r="B222" s="1"/>
      <c r="D222" s="240"/>
      <c r="E222" s="240"/>
      <c r="H222" s="21"/>
      <c r="I222" s="396"/>
      <c r="J222" s="78"/>
      <c r="K222" s="78"/>
      <c r="L222" s="120"/>
      <c r="M222" s="120"/>
      <c r="N222" s="293"/>
      <c r="O222" s="120"/>
      <c r="P222" s="188"/>
      <c r="Q222" s="1"/>
    </row>
    <row r="223" spans="1:17" s="15" customFormat="1" x14ac:dyDescent="0.3">
      <c r="A223" s="27"/>
      <c r="B223" s="1"/>
      <c r="D223" s="240"/>
      <c r="E223" s="240"/>
      <c r="H223" s="21"/>
      <c r="I223" s="396"/>
      <c r="J223" s="78"/>
      <c r="K223" s="78"/>
      <c r="L223" s="120"/>
      <c r="M223" s="120"/>
      <c r="N223" s="293"/>
      <c r="O223" s="120"/>
      <c r="P223" s="188"/>
      <c r="Q223" s="1"/>
    </row>
    <row r="224" spans="1:17" s="15" customFormat="1" x14ac:dyDescent="0.3">
      <c r="A224" s="27"/>
      <c r="B224" s="1"/>
      <c r="D224" s="240"/>
      <c r="E224" s="240"/>
      <c r="H224" s="21"/>
      <c r="I224" s="396"/>
      <c r="J224" s="78"/>
      <c r="K224" s="78"/>
      <c r="L224" s="120"/>
      <c r="M224" s="120"/>
      <c r="N224" s="293"/>
      <c r="O224" s="120"/>
      <c r="P224" s="188"/>
      <c r="Q224" s="1"/>
    </row>
    <row r="225" spans="1:17" s="15" customFormat="1" x14ac:dyDescent="0.3">
      <c r="A225" s="27"/>
      <c r="B225" s="1"/>
      <c r="D225" s="240"/>
      <c r="E225" s="240"/>
      <c r="H225" s="21"/>
      <c r="I225" s="396"/>
      <c r="J225" s="78"/>
      <c r="K225" s="78"/>
      <c r="L225" s="120"/>
      <c r="M225" s="120"/>
      <c r="N225" s="293"/>
      <c r="O225" s="120"/>
      <c r="P225" s="188"/>
      <c r="Q225" s="1"/>
    </row>
    <row r="226" spans="1:17" s="15" customFormat="1" x14ac:dyDescent="0.3">
      <c r="A226" s="27"/>
      <c r="B226" s="1"/>
      <c r="D226" s="240"/>
      <c r="E226" s="240"/>
      <c r="H226" s="21"/>
      <c r="I226" s="396"/>
      <c r="J226" s="78"/>
      <c r="K226" s="78"/>
      <c r="L226" s="120"/>
      <c r="M226" s="120"/>
      <c r="N226" s="293"/>
      <c r="O226" s="120"/>
      <c r="P226" s="188"/>
      <c r="Q226" s="1"/>
    </row>
    <row r="227" spans="1:17" s="15" customFormat="1" x14ac:dyDescent="0.3">
      <c r="A227" s="27"/>
      <c r="B227" s="1"/>
      <c r="D227" s="240"/>
      <c r="E227" s="240"/>
      <c r="H227" s="21"/>
      <c r="I227" s="396"/>
      <c r="J227" s="78"/>
      <c r="K227" s="78"/>
      <c r="L227" s="120"/>
      <c r="M227" s="120"/>
      <c r="N227" s="293"/>
      <c r="O227" s="120"/>
      <c r="P227" s="188"/>
      <c r="Q227" s="1"/>
    </row>
    <row r="228" spans="1:17" s="15" customFormat="1" x14ac:dyDescent="0.3">
      <c r="A228" s="27"/>
      <c r="B228" s="1"/>
      <c r="D228" s="240"/>
      <c r="E228" s="240"/>
      <c r="H228" s="21"/>
      <c r="I228" s="396"/>
      <c r="J228" s="78"/>
      <c r="K228" s="78"/>
      <c r="L228" s="120"/>
      <c r="M228" s="120"/>
      <c r="N228" s="293"/>
      <c r="O228" s="120"/>
      <c r="P228" s="188"/>
      <c r="Q228" s="1"/>
    </row>
    <row r="229" spans="1:17" s="15" customFormat="1" x14ac:dyDescent="0.3">
      <c r="A229" s="27"/>
      <c r="B229" s="1"/>
      <c r="D229" s="240"/>
      <c r="E229" s="240"/>
      <c r="H229" s="21"/>
      <c r="I229" s="396"/>
      <c r="J229" s="78"/>
      <c r="K229" s="78"/>
      <c r="L229" s="120"/>
      <c r="M229" s="120"/>
      <c r="N229" s="293"/>
      <c r="O229" s="120"/>
      <c r="P229" s="188"/>
      <c r="Q229" s="1"/>
    </row>
    <row r="230" spans="1:17" s="15" customFormat="1" x14ac:dyDescent="0.3">
      <c r="A230" s="27"/>
      <c r="B230" s="1"/>
      <c r="D230" s="240"/>
      <c r="E230" s="240"/>
      <c r="H230" s="21"/>
      <c r="I230" s="396"/>
      <c r="J230" s="78"/>
      <c r="K230" s="78"/>
      <c r="L230" s="120"/>
      <c r="M230" s="120"/>
      <c r="N230" s="293"/>
      <c r="O230" s="120"/>
      <c r="P230" s="188"/>
      <c r="Q230" s="1"/>
    </row>
    <row r="231" spans="1:17" s="15" customFormat="1" x14ac:dyDescent="0.3">
      <c r="A231" s="27"/>
      <c r="B231" s="1"/>
      <c r="D231" s="240"/>
      <c r="E231" s="240"/>
      <c r="H231" s="21"/>
      <c r="I231" s="396"/>
      <c r="J231" s="78"/>
      <c r="K231" s="78"/>
      <c r="L231" s="120"/>
      <c r="M231" s="120"/>
      <c r="N231" s="293"/>
      <c r="O231" s="120"/>
      <c r="P231" s="188"/>
      <c r="Q231" s="1"/>
    </row>
    <row r="232" spans="1:17" s="15" customFormat="1" x14ac:dyDescent="0.3">
      <c r="A232" s="27"/>
      <c r="B232" s="1"/>
      <c r="D232" s="240"/>
      <c r="E232" s="240"/>
      <c r="H232" s="21"/>
      <c r="I232" s="396"/>
      <c r="J232" s="78"/>
      <c r="K232" s="78"/>
      <c r="L232" s="120"/>
      <c r="M232" s="120"/>
      <c r="N232" s="293"/>
      <c r="O232" s="120"/>
      <c r="P232" s="188"/>
      <c r="Q232" s="1"/>
    </row>
    <row r="233" spans="1:17" s="15" customFormat="1" x14ac:dyDescent="0.3">
      <c r="A233" s="27"/>
      <c r="B233" s="1"/>
      <c r="D233" s="240"/>
      <c r="E233" s="240"/>
      <c r="H233" s="21"/>
      <c r="I233" s="396"/>
      <c r="J233" s="78"/>
      <c r="K233" s="78"/>
      <c r="L233" s="120"/>
      <c r="M233" s="120"/>
      <c r="N233" s="293"/>
      <c r="O233" s="120"/>
      <c r="P233" s="188"/>
      <c r="Q233" s="1"/>
    </row>
    <row r="234" spans="1:17" s="15" customFormat="1" x14ac:dyDescent="0.3">
      <c r="A234" s="27"/>
      <c r="B234" s="1"/>
      <c r="D234" s="240"/>
      <c r="E234" s="240"/>
      <c r="H234" s="21"/>
      <c r="I234" s="396"/>
      <c r="J234" s="78"/>
      <c r="K234" s="78"/>
      <c r="L234" s="120"/>
      <c r="M234" s="120"/>
      <c r="N234" s="293"/>
      <c r="O234" s="120"/>
      <c r="P234" s="188"/>
      <c r="Q234" s="1"/>
    </row>
    <row r="235" spans="1:17" s="15" customFormat="1" x14ac:dyDescent="0.3">
      <c r="A235" s="27"/>
      <c r="B235" s="1"/>
      <c r="D235" s="240"/>
      <c r="E235" s="240"/>
      <c r="H235" s="21"/>
      <c r="I235" s="396"/>
      <c r="J235" s="78"/>
      <c r="K235" s="78"/>
      <c r="L235" s="120"/>
      <c r="M235" s="120"/>
      <c r="N235" s="293"/>
      <c r="O235" s="120"/>
      <c r="P235" s="188"/>
      <c r="Q235" s="1"/>
    </row>
    <row r="236" spans="1:17" s="15" customFormat="1" x14ac:dyDescent="0.3">
      <c r="A236" s="27"/>
      <c r="B236" s="1"/>
      <c r="D236" s="240"/>
      <c r="E236" s="240"/>
      <c r="H236" s="21"/>
      <c r="I236" s="396"/>
      <c r="J236" s="78"/>
      <c r="K236" s="78"/>
      <c r="L236" s="120"/>
      <c r="M236" s="120"/>
      <c r="N236" s="293"/>
      <c r="O236" s="120"/>
      <c r="P236" s="188"/>
      <c r="Q236" s="1"/>
    </row>
    <row r="237" spans="1:17" s="15" customFormat="1" x14ac:dyDescent="0.3">
      <c r="A237" s="27"/>
      <c r="B237" s="1"/>
      <c r="D237" s="240"/>
      <c r="E237" s="240"/>
      <c r="H237" s="21"/>
      <c r="I237" s="396"/>
      <c r="J237" s="78"/>
      <c r="K237" s="78"/>
      <c r="L237" s="120"/>
      <c r="M237" s="120"/>
      <c r="N237" s="293"/>
      <c r="O237" s="120"/>
      <c r="P237" s="188"/>
      <c r="Q237" s="1"/>
    </row>
    <row r="238" spans="1:17" s="15" customFormat="1" x14ac:dyDescent="0.3">
      <c r="A238" s="27"/>
      <c r="B238" s="1"/>
      <c r="D238" s="240"/>
      <c r="E238" s="240"/>
      <c r="H238" s="21"/>
      <c r="I238" s="396"/>
      <c r="J238" s="78"/>
      <c r="K238" s="78"/>
      <c r="L238" s="120"/>
      <c r="M238" s="120"/>
      <c r="N238" s="293"/>
      <c r="O238" s="120"/>
      <c r="P238" s="188"/>
      <c r="Q238" s="1"/>
    </row>
    <row r="239" spans="1:17" s="15" customFormat="1" x14ac:dyDescent="0.3">
      <c r="A239" s="27"/>
      <c r="B239" s="1"/>
      <c r="D239" s="240"/>
      <c r="E239" s="240"/>
      <c r="H239" s="21"/>
      <c r="I239" s="396"/>
      <c r="J239" s="78"/>
      <c r="K239" s="78"/>
      <c r="L239" s="120"/>
      <c r="M239" s="120"/>
      <c r="N239" s="293"/>
      <c r="O239" s="120"/>
      <c r="P239" s="188"/>
      <c r="Q239" s="1"/>
    </row>
    <row r="240" spans="1:17" s="15" customFormat="1" x14ac:dyDescent="0.3">
      <c r="A240" s="27"/>
      <c r="B240" s="1"/>
      <c r="D240" s="240"/>
      <c r="E240" s="240"/>
      <c r="H240" s="21"/>
      <c r="I240" s="396"/>
      <c r="J240" s="78"/>
      <c r="K240" s="78"/>
      <c r="L240" s="120"/>
      <c r="M240" s="120"/>
      <c r="N240" s="293"/>
      <c r="O240" s="120"/>
      <c r="P240" s="188"/>
      <c r="Q240" s="1"/>
    </row>
    <row r="241" spans="1:17" s="15" customFormat="1" x14ac:dyDescent="0.3">
      <c r="A241" s="27"/>
      <c r="B241" s="1"/>
      <c r="D241" s="240"/>
      <c r="E241" s="240"/>
      <c r="H241" s="21"/>
      <c r="I241" s="396"/>
      <c r="J241" s="78"/>
      <c r="K241" s="78"/>
      <c r="L241" s="120"/>
      <c r="M241" s="120"/>
      <c r="N241" s="293"/>
      <c r="O241" s="120"/>
      <c r="P241" s="188"/>
      <c r="Q241" s="1"/>
    </row>
    <row r="242" spans="1:17" s="15" customFormat="1" x14ac:dyDescent="0.3">
      <c r="A242" s="27"/>
      <c r="B242" s="1"/>
      <c r="D242" s="240"/>
      <c r="E242" s="240"/>
      <c r="H242" s="21"/>
      <c r="I242" s="396"/>
      <c r="J242" s="78"/>
      <c r="K242" s="78"/>
      <c r="L242" s="120"/>
      <c r="M242" s="120"/>
      <c r="N242" s="293"/>
      <c r="O242" s="120"/>
      <c r="P242" s="188"/>
      <c r="Q242" s="1"/>
    </row>
    <row r="243" spans="1:17" s="15" customFormat="1" x14ac:dyDescent="0.3">
      <c r="A243" s="27"/>
      <c r="B243" s="1"/>
      <c r="D243" s="240"/>
      <c r="E243" s="240"/>
      <c r="H243" s="21"/>
      <c r="I243" s="396"/>
      <c r="J243" s="78"/>
      <c r="K243" s="78"/>
      <c r="L243" s="120"/>
      <c r="M243" s="120"/>
      <c r="N243" s="293"/>
      <c r="O243" s="120"/>
      <c r="P243" s="188"/>
      <c r="Q243" s="1"/>
    </row>
    <row r="244" spans="1:17" s="15" customFormat="1" x14ac:dyDescent="0.3">
      <c r="A244" s="27"/>
      <c r="B244" s="1"/>
      <c r="D244" s="240"/>
      <c r="E244" s="240"/>
      <c r="H244" s="21"/>
      <c r="I244" s="396"/>
      <c r="J244" s="78"/>
      <c r="K244" s="78"/>
      <c r="L244" s="120"/>
      <c r="M244" s="120"/>
      <c r="N244" s="293"/>
      <c r="O244" s="120"/>
      <c r="P244" s="188"/>
      <c r="Q244" s="1"/>
    </row>
    <row r="245" spans="1:17" s="15" customFormat="1" x14ac:dyDescent="0.3">
      <c r="A245" s="27"/>
      <c r="B245" s="1"/>
      <c r="D245" s="240"/>
      <c r="E245" s="240"/>
      <c r="H245" s="21"/>
      <c r="I245" s="396"/>
      <c r="J245" s="78"/>
      <c r="K245" s="78"/>
      <c r="L245" s="120"/>
      <c r="M245" s="120"/>
      <c r="N245" s="293"/>
      <c r="O245" s="120"/>
      <c r="P245" s="188"/>
      <c r="Q245" s="1"/>
    </row>
    <row r="246" spans="1:17" s="15" customFormat="1" x14ac:dyDescent="0.3">
      <c r="A246" s="27"/>
      <c r="B246" s="1"/>
      <c r="D246" s="240"/>
      <c r="E246" s="240"/>
      <c r="H246" s="21"/>
      <c r="I246" s="396"/>
      <c r="J246" s="78"/>
      <c r="K246" s="78"/>
      <c r="L246" s="120"/>
      <c r="M246" s="120"/>
      <c r="N246" s="293"/>
      <c r="O246" s="120"/>
      <c r="P246" s="188"/>
      <c r="Q246" s="1"/>
    </row>
    <row r="247" spans="1:17" s="15" customFormat="1" x14ac:dyDescent="0.3">
      <c r="A247" s="27"/>
      <c r="B247" s="1"/>
      <c r="D247" s="240"/>
      <c r="E247" s="240"/>
      <c r="H247" s="21"/>
      <c r="I247" s="396"/>
      <c r="J247" s="78"/>
      <c r="K247" s="78"/>
      <c r="L247" s="120"/>
      <c r="M247" s="120"/>
      <c r="N247" s="293"/>
      <c r="O247" s="120"/>
      <c r="P247" s="188"/>
      <c r="Q247" s="1"/>
    </row>
    <row r="248" spans="1:17" s="15" customFormat="1" x14ac:dyDescent="0.3">
      <c r="A248" s="27"/>
      <c r="B248" s="1"/>
      <c r="D248" s="240"/>
      <c r="E248" s="240"/>
      <c r="H248" s="21"/>
      <c r="I248" s="396"/>
      <c r="J248" s="78"/>
      <c r="K248" s="78"/>
      <c r="L248" s="120"/>
      <c r="M248" s="120"/>
      <c r="N248" s="293"/>
      <c r="O248" s="120"/>
      <c r="P248" s="188"/>
      <c r="Q248" s="1"/>
    </row>
    <row r="249" spans="1:17" s="15" customFormat="1" x14ac:dyDescent="0.3">
      <c r="A249" s="27"/>
      <c r="B249" s="1"/>
      <c r="D249" s="240"/>
      <c r="E249" s="240"/>
      <c r="H249" s="21"/>
      <c r="I249" s="396"/>
      <c r="J249" s="78"/>
      <c r="K249" s="78"/>
      <c r="L249" s="120"/>
      <c r="M249" s="120"/>
      <c r="N249" s="293"/>
      <c r="O249" s="120"/>
      <c r="P249" s="188"/>
      <c r="Q249" s="1"/>
    </row>
    <row r="250" spans="1:17" s="15" customFormat="1" x14ac:dyDescent="0.3">
      <c r="A250" s="27"/>
      <c r="B250" s="1"/>
      <c r="D250" s="240"/>
      <c r="E250" s="240"/>
      <c r="H250" s="21"/>
      <c r="I250" s="396"/>
      <c r="J250" s="78"/>
      <c r="K250" s="78"/>
      <c r="L250" s="120"/>
      <c r="M250" s="120"/>
      <c r="N250" s="293"/>
      <c r="O250" s="120"/>
      <c r="P250" s="188"/>
      <c r="Q250" s="1"/>
    </row>
    <row r="251" spans="1:17" s="15" customFormat="1" x14ac:dyDescent="0.3">
      <c r="A251" s="27"/>
      <c r="B251" s="1"/>
      <c r="D251" s="240"/>
      <c r="E251" s="240"/>
      <c r="H251" s="21"/>
      <c r="I251" s="396"/>
      <c r="J251" s="78"/>
      <c r="K251" s="78"/>
      <c r="L251" s="120"/>
      <c r="M251" s="120"/>
      <c r="N251" s="293"/>
      <c r="O251" s="120"/>
      <c r="P251" s="188"/>
      <c r="Q251" s="1"/>
    </row>
    <row r="252" spans="1:17" s="15" customFormat="1" x14ac:dyDescent="0.3">
      <c r="A252" s="27"/>
      <c r="B252" s="1"/>
      <c r="D252" s="240"/>
      <c r="E252" s="240"/>
      <c r="H252" s="21"/>
      <c r="I252" s="396"/>
      <c r="J252" s="78"/>
      <c r="K252" s="78"/>
      <c r="L252" s="120"/>
      <c r="M252" s="120"/>
      <c r="N252" s="293"/>
      <c r="O252" s="120"/>
      <c r="P252" s="188"/>
      <c r="Q252" s="1"/>
    </row>
    <row r="253" spans="1:17" s="15" customFormat="1" x14ac:dyDescent="0.3">
      <c r="A253" s="27"/>
      <c r="B253" s="1"/>
      <c r="D253" s="240"/>
      <c r="E253" s="240"/>
      <c r="H253" s="21"/>
      <c r="I253" s="396"/>
      <c r="J253" s="78"/>
      <c r="K253" s="78"/>
      <c r="L253" s="120"/>
      <c r="M253" s="120"/>
      <c r="N253" s="293"/>
      <c r="O253" s="120"/>
      <c r="P253" s="188"/>
      <c r="Q253" s="1"/>
    </row>
    <row r="254" spans="1:17" s="15" customFormat="1" x14ac:dyDescent="0.3">
      <c r="A254" s="27"/>
      <c r="B254" s="1"/>
      <c r="D254" s="240"/>
      <c r="E254" s="240"/>
      <c r="H254" s="21"/>
      <c r="I254" s="396"/>
      <c r="J254" s="78"/>
      <c r="K254" s="78"/>
      <c r="L254" s="120"/>
      <c r="M254" s="120"/>
      <c r="N254" s="293"/>
      <c r="O254" s="120"/>
      <c r="P254" s="188"/>
      <c r="Q254" s="1"/>
    </row>
    <row r="255" spans="1:17" s="15" customFormat="1" x14ac:dyDescent="0.3">
      <c r="A255" s="27"/>
      <c r="B255" s="1"/>
      <c r="D255" s="240"/>
      <c r="E255" s="240"/>
      <c r="H255" s="21"/>
      <c r="I255" s="396"/>
      <c r="J255" s="78"/>
      <c r="K255" s="78"/>
      <c r="L255" s="120"/>
      <c r="M255" s="120"/>
      <c r="N255" s="293"/>
      <c r="O255" s="120"/>
      <c r="P255" s="188"/>
      <c r="Q255" s="1"/>
    </row>
    <row r="256" spans="1:17" s="15" customFormat="1" x14ac:dyDescent="0.3">
      <c r="A256" s="27"/>
      <c r="B256" s="1"/>
      <c r="D256" s="240"/>
      <c r="E256" s="240"/>
      <c r="H256" s="21"/>
      <c r="I256" s="396"/>
      <c r="J256" s="78"/>
      <c r="K256" s="78"/>
      <c r="L256" s="120"/>
      <c r="M256" s="120"/>
      <c r="N256" s="293"/>
      <c r="O256" s="120"/>
      <c r="P256" s="188"/>
      <c r="Q256" s="1"/>
    </row>
    <row r="257" spans="1:17" s="15" customFormat="1" x14ac:dyDescent="0.3">
      <c r="A257" s="27"/>
      <c r="B257" s="1"/>
      <c r="D257" s="240"/>
      <c r="E257" s="240"/>
      <c r="H257" s="21"/>
      <c r="I257" s="396"/>
      <c r="J257" s="78"/>
      <c r="K257" s="78"/>
      <c r="L257" s="120"/>
      <c r="M257" s="120"/>
      <c r="N257" s="293"/>
      <c r="O257" s="120"/>
      <c r="P257" s="188"/>
      <c r="Q257" s="1"/>
    </row>
    <row r="258" spans="1:17" s="15" customFormat="1" x14ac:dyDescent="0.3">
      <c r="A258" s="27"/>
      <c r="B258" s="1"/>
      <c r="D258" s="240"/>
      <c r="E258" s="240"/>
      <c r="H258" s="21"/>
      <c r="I258" s="396"/>
      <c r="J258" s="78"/>
      <c r="K258" s="78"/>
      <c r="L258" s="120"/>
      <c r="M258" s="120"/>
      <c r="N258" s="293"/>
      <c r="O258" s="120"/>
      <c r="P258" s="188"/>
      <c r="Q258" s="1"/>
    </row>
    <row r="259" spans="1:17" s="15" customFormat="1" x14ac:dyDescent="0.3">
      <c r="A259" s="27"/>
      <c r="B259" s="1"/>
      <c r="D259" s="240"/>
      <c r="E259" s="240"/>
      <c r="H259" s="21"/>
      <c r="I259" s="396"/>
      <c r="J259" s="78"/>
      <c r="K259" s="78"/>
      <c r="L259" s="120"/>
      <c r="M259" s="120"/>
      <c r="N259" s="293"/>
      <c r="O259" s="120"/>
      <c r="P259" s="188"/>
      <c r="Q259" s="1"/>
    </row>
    <row r="260" spans="1:17" s="15" customFormat="1" x14ac:dyDescent="0.3">
      <c r="A260" s="27"/>
      <c r="B260" s="1"/>
      <c r="D260" s="240"/>
      <c r="E260" s="240"/>
      <c r="H260" s="21"/>
      <c r="I260" s="396"/>
      <c r="J260" s="78"/>
      <c r="K260" s="78"/>
      <c r="L260" s="120"/>
      <c r="M260" s="120"/>
      <c r="N260" s="293"/>
      <c r="O260" s="120"/>
      <c r="P260" s="188"/>
      <c r="Q260" s="1"/>
    </row>
    <row r="261" spans="1:17" s="15" customFormat="1" x14ac:dyDescent="0.3">
      <c r="A261" s="27"/>
      <c r="B261" s="1"/>
      <c r="D261" s="240"/>
      <c r="E261" s="240"/>
      <c r="H261" s="21"/>
      <c r="I261" s="396"/>
      <c r="J261" s="78"/>
      <c r="K261" s="78"/>
      <c r="L261" s="120"/>
      <c r="M261" s="120"/>
      <c r="N261" s="293"/>
      <c r="O261" s="120"/>
      <c r="P261" s="188"/>
      <c r="Q261" s="1"/>
    </row>
    <row r="262" spans="1:17" s="15" customFormat="1" x14ac:dyDescent="0.3">
      <c r="A262" s="27"/>
      <c r="B262" s="1"/>
      <c r="D262" s="240"/>
      <c r="E262" s="240"/>
      <c r="H262" s="21"/>
      <c r="I262" s="396"/>
      <c r="J262" s="78"/>
      <c r="K262" s="78"/>
      <c r="L262" s="120"/>
      <c r="M262" s="120"/>
      <c r="N262" s="293"/>
      <c r="O262" s="120"/>
      <c r="P262" s="188"/>
      <c r="Q262" s="1"/>
    </row>
    <row r="263" spans="1:17" s="15" customFormat="1" x14ac:dyDescent="0.3">
      <c r="A263" s="27"/>
      <c r="B263" s="1"/>
      <c r="D263" s="240"/>
      <c r="E263" s="240"/>
      <c r="H263" s="21"/>
      <c r="I263" s="396"/>
      <c r="J263" s="78"/>
      <c r="K263" s="78"/>
      <c r="L263" s="120"/>
      <c r="M263" s="120"/>
      <c r="N263" s="293"/>
      <c r="O263" s="120"/>
      <c r="P263" s="188"/>
      <c r="Q263" s="1"/>
    </row>
    <row r="264" spans="1:17" s="15" customFormat="1" x14ac:dyDescent="0.3">
      <c r="A264" s="27"/>
      <c r="B264" s="1"/>
      <c r="D264" s="240"/>
      <c r="E264" s="240"/>
      <c r="H264" s="21"/>
      <c r="I264" s="396"/>
      <c r="J264" s="78"/>
      <c r="K264" s="78"/>
      <c r="L264" s="120"/>
      <c r="M264" s="120"/>
      <c r="N264" s="293"/>
      <c r="O264" s="120"/>
      <c r="P264" s="188"/>
      <c r="Q264" s="1"/>
    </row>
    <row r="265" spans="1:17" s="15" customFormat="1" x14ac:dyDescent="0.3">
      <c r="A265" s="27"/>
      <c r="B265" s="1"/>
      <c r="D265" s="240"/>
      <c r="E265" s="240"/>
      <c r="H265" s="21"/>
      <c r="I265" s="396"/>
      <c r="J265" s="78"/>
      <c r="K265" s="78"/>
      <c r="L265" s="120"/>
      <c r="M265" s="120"/>
      <c r="N265" s="293"/>
      <c r="O265" s="120"/>
      <c r="P265" s="188"/>
      <c r="Q265" s="1"/>
    </row>
    <row r="266" spans="1:17" s="15" customFormat="1" x14ac:dyDescent="0.3">
      <c r="A266" s="27"/>
      <c r="B266" s="1"/>
      <c r="D266" s="240"/>
      <c r="E266" s="240"/>
      <c r="H266" s="21"/>
      <c r="I266" s="396"/>
      <c r="J266" s="78"/>
      <c r="K266" s="78"/>
      <c r="L266" s="120"/>
      <c r="M266" s="120"/>
      <c r="N266" s="293"/>
      <c r="O266" s="120"/>
      <c r="P266" s="188"/>
      <c r="Q266" s="1"/>
    </row>
    <row r="267" spans="1:17" s="15" customFormat="1" x14ac:dyDescent="0.3">
      <c r="A267" s="27"/>
      <c r="B267" s="1"/>
      <c r="D267" s="240"/>
      <c r="E267" s="240"/>
      <c r="H267" s="21"/>
      <c r="I267" s="396"/>
      <c r="J267" s="78"/>
      <c r="K267" s="78"/>
      <c r="L267" s="120"/>
      <c r="M267" s="120"/>
      <c r="N267" s="293"/>
      <c r="O267" s="120"/>
      <c r="P267" s="188"/>
      <c r="Q267" s="1"/>
    </row>
    <row r="268" spans="1:17" s="15" customFormat="1" x14ac:dyDescent="0.3">
      <c r="A268" s="27"/>
      <c r="B268" s="1"/>
      <c r="D268" s="240"/>
      <c r="E268" s="240"/>
      <c r="H268" s="21"/>
      <c r="I268" s="396"/>
      <c r="J268" s="78"/>
      <c r="K268" s="78"/>
      <c r="L268" s="120"/>
      <c r="M268" s="120"/>
      <c r="N268" s="293"/>
      <c r="O268" s="120"/>
      <c r="P268" s="188"/>
      <c r="Q268" s="1"/>
    </row>
    <row r="269" spans="1:17" s="15" customFormat="1" x14ac:dyDescent="0.3">
      <c r="A269" s="27"/>
      <c r="B269" s="1"/>
      <c r="D269" s="240"/>
      <c r="E269" s="240"/>
      <c r="H269" s="21"/>
      <c r="I269" s="396"/>
      <c r="J269" s="78"/>
      <c r="K269" s="78"/>
      <c r="L269" s="120"/>
      <c r="M269" s="120"/>
      <c r="N269" s="293"/>
      <c r="O269" s="120"/>
      <c r="P269" s="188"/>
      <c r="Q269" s="1"/>
    </row>
    <row r="270" spans="1:17" s="15" customFormat="1" x14ac:dyDescent="0.3">
      <c r="A270" s="27"/>
      <c r="B270" s="1"/>
      <c r="D270" s="240"/>
      <c r="E270" s="240"/>
      <c r="H270" s="21"/>
      <c r="I270" s="396"/>
      <c r="J270" s="78"/>
      <c r="K270" s="78"/>
      <c r="L270" s="120"/>
      <c r="M270" s="120"/>
      <c r="N270" s="293"/>
      <c r="O270" s="120"/>
      <c r="P270" s="188"/>
      <c r="Q270" s="1"/>
    </row>
    <row r="271" spans="1:17" s="15" customFormat="1" x14ac:dyDescent="0.3">
      <c r="A271" s="27"/>
      <c r="B271" s="1"/>
      <c r="D271" s="240"/>
      <c r="E271" s="240"/>
      <c r="H271" s="21"/>
      <c r="I271" s="396"/>
      <c r="J271" s="78"/>
      <c r="K271" s="78"/>
      <c r="L271" s="120"/>
      <c r="M271" s="120"/>
      <c r="N271" s="293"/>
      <c r="O271" s="120"/>
      <c r="P271" s="188"/>
      <c r="Q271" s="1"/>
    </row>
    <row r="272" spans="1:17" s="15" customFormat="1" x14ac:dyDescent="0.3">
      <c r="A272" s="27"/>
      <c r="B272" s="1"/>
      <c r="D272" s="240"/>
      <c r="E272" s="240"/>
      <c r="H272" s="21"/>
      <c r="I272" s="396"/>
      <c r="J272" s="78"/>
      <c r="K272" s="78"/>
      <c r="L272" s="120"/>
      <c r="M272" s="120"/>
      <c r="N272" s="293"/>
      <c r="O272" s="120"/>
      <c r="P272" s="188"/>
      <c r="Q272" s="1"/>
    </row>
    <row r="273" spans="1:17" s="15" customFormat="1" x14ac:dyDescent="0.3">
      <c r="A273" s="27"/>
      <c r="B273" s="1"/>
      <c r="D273" s="240"/>
      <c r="E273" s="240"/>
      <c r="H273" s="21"/>
      <c r="I273" s="396"/>
      <c r="J273" s="78"/>
      <c r="K273" s="78"/>
      <c r="L273" s="120"/>
      <c r="M273" s="120"/>
      <c r="N273" s="293"/>
      <c r="O273" s="120"/>
      <c r="P273" s="188"/>
      <c r="Q273" s="1"/>
    </row>
    <row r="274" spans="1:17" s="15" customFormat="1" x14ac:dyDescent="0.3">
      <c r="A274" s="27"/>
      <c r="B274" s="1"/>
      <c r="D274" s="240"/>
      <c r="E274" s="240"/>
      <c r="H274" s="21"/>
      <c r="I274" s="396"/>
      <c r="J274" s="78"/>
      <c r="K274" s="78"/>
      <c r="L274" s="120"/>
      <c r="M274" s="120"/>
      <c r="N274" s="293"/>
      <c r="O274" s="120"/>
      <c r="P274" s="188"/>
      <c r="Q274" s="1"/>
    </row>
    <row r="275" spans="1:17" s="15" customFormat="1" x14ac:dyDescent="0.3">
      <c r="A275" s="27"/>
      <c r="B275" s="1"/>
      <c r="D275" s="240"/>
      <c r="E275" s="240"/>
      <c r="H275" s="21"/>
      <c r="I275" s="396"/>
      <c r="J275" s="78"/>
      <c r="K275" s="78"/>
      <c r="L275" s="120"/>
      <c r="M275" s="120"/>
      <c r="N275" s="293"/>
      <c r="O275" s="120"/>
      <c r="P275" s="188"/>
      <c r="Q275" s="1"/>
    </row>
    <row r="276" spans="1:17" s="15" customFormat="1" x14ac:dyDescent="0.3">
      <c r="A276" s="27"/>
      <c r="B276" s="1"/>
      <c r="D276" s="240"/>
      <c r="E276" s="240"/>
      <c r="H276" s="21"/>
      <c r="I276" s="396"/>
      <c r="J276" s="78"/>
      <c r="K276" s="78"/>
      <c r="L276" s="120"/>
      <c r="M276" s="120"/>
      <c r="N276" s="293"/>
      <c r="O276" s="120"/>
      <c r="P276" s="188"/>
      <c r="Q276" s="1"/>
    </row>
    <row r="277" spans="1:17" s="15" customFormat="1" x14ac:dyDescent="0.3">
      <c r="A277" s="27"/>
      <c r="B277" s="1"/>
      <c r="D277" s="240"/>
      <c r="E277" s="240"/>
      <c r="H277" s="21"/>
      <c r="I277" s="396"/>
      <c r="J277" s="78"/>
      <c r="K277" s="78"/>
      <c r="L277" s="120"/>
      <c r="M277" s="120"/>
      <c r="N277" s="293"/>
      <c r="O277" s="120"/>
      <c r="P277" s="188"/>
      <c r="Q277" s="1"/>
    </row>
    <row r="278" spans="1:17" s="15" customFormat="1" x14ac:dyDescent="0.3">
      <c r="A278" s="27"/>
      <c r="B278" s="1"/>
      <c r="D278" s="240"/>
      <c r="E278" s="240"/>
      <c r="H278" s="21"/>
      <c r="I278" s="396"/>
      <c r="J278" s="78"/>
      <c r="K278" s="78"/>
      <c r="L278" s="120"/>
      <c r="M278" s="120"/>
      <c r="N278" s="293"/>
      <c r="O278" s="120"/>
      <c r="P278" s="188"/>
      <c r="Q278" s="1"/>
    </row>
    <row r="279" spans="1:17" s="15" customFormat="1" x14ac:dyDescent="0.3">
      <c r="A279" s="27"/>
      <c r="B279" s="1"/>
      <c r="D279" s="240"/>
      <c r="E279" s="240"/>
      <c r="H279" s="21"/>
      <c r="I279" s="396"/>
      <c r="J279" s="78"/>
      <c r="K279" s="78"/>
      <c r="L279" s="120"/>
      <c r="M279" s="120"/>
      <c r="N279" s="293"/>
      <c r="O279" s="120"/>
      <c r="P279" s="188"/>
      <c r="Q279" s="1"/>
    </row>
    <row r="280" spans="1:17" s="15" customFormat="1" x14ac:dyDescent="0.3">
      <c r="A280" s="27"/>
      <c r="B280" s="1"/>
      <c r="D280" s="240"/>
      <c r="E280" s="240"/>
      <c r="H280" s="21"/>
      <c r="I280" s="396"/>
      <c r="J280" s="78"/>
      <c r="K280" s="78"/>
      <c r="L280" s="120"/>
      <c r="M280" s="120"/>
      <c r="N280" s="293"/>
      <c r="O280" s="120"/>
      <c r="P280" s="188"/>
      <c r="Q280" s="1"/>
    </row>
    <row r="281" spans="1:17" s="15" customFormat="1" x14ac:dyDescent="0.3">
      <c r="A281" s="27"/>
      <c r="B281" s="1"/>
      <c r="D281" s="240"/>
      <c r="E281" s="240"/>
      <c r="H281" s="21"/>
      <c r="I281" s="396"/>
      <c r="J281" s="78"/>
      <c r="K281" s="78"/>
      <c r="L281" s="120"/>
      <c r="M281" s="120"/>
      <c r="N281" s="293"/>
      <c r="O281" s="120"/>
      <c r="P281" s="188"/>
      <c r="Q281" s="1"/>
    </row>
    <row r="282" spans="1:17" s="15" customFormat="1" x14ac:dyDescent="0.3">
      <c r="A282" s="27"/>
      <c r="B282" s="1"/>
      <c r="D282" s="240"/>
      <c r="E282" s="240"/>
      <c r="H282" s="21"/>
      <c r="I282" s="396"/>
      <c r="J282" s="78"/>
      <c r="K282" s="78"/>
      <c r="L282" s="120"/>
      <c r="M282" s="120"/>
      <c r="N282" s="293"/>
      <c r="O282" s="120"/>
      <c r="P282" s="188"/>
      <c r="Q282" s="1"/>
    </row>
    <row r="283" spans="1:17" s="15" customFormat="1" x14ac:dyDescent="0.3">
      <c r="A283" s="27"/>
      <c r="B283" s="1"/>
      <c r="D283" s="240"/>
      <c r="E283" s="240"/>
      <c r="H283" s="21"/>
      <c r="I283" s="396"/>
      <c r="J283" s="78"/>
      <c r="K283" s="78"/>
      <c r="L283" s="120"/>
      <c r="M283" s="120"/>
      <c r="N283" s="293"/>
      <c r="O283" s="120"/>
      <c r="P283" s="188"/>
      <c r="Q283" s="1"/>
    </row>
    <row r="284" spans="1:17" s="15" customFormat="1" x14ac:dyDescent="0.3">
      <c r="A284" s="27"/>
      <c r="B284" s="1"/>
      <c r="D284" s="240"/>
      <c r="E284" s="240"/>
      <c r="H284" s="21"/>
      <c r="I284" s="396"/>
      <c r="J284" s="78"/>
      <c r="K284" s="78"/>
      <c r="L284" s="120"/>
      <c r="M284" s="120"/>
      <c r="N284" s="293"/>
      <c r="O284" s="120"/>
      <c r="P284" s="188"/>
      <c r="Q284" s="1"/>
    </row>
    <row r="285" spans="1:17" s="15" customFormat="1" x14ac:dyDescent="0.3">
      <c r="A285" s="27"/>
      <c r="B285" s="1"/>
      <c r="D285" s="240"/>
      <c r="E285" s="240"/>
      <c r="H285" s="21"/>
      <c r="I285" s="396"/>
      <c r="J285" s="78"/>
      <c r="K285" s="78"/>
      <c r="L285" s="120"/>
      <c r="M285" s="120"/>
      <c r="N285" s="293"/>
      <c r="O285" s="120"/>
      <c r="P285" s="188"/>
      <c r="Q285" s="1"/>
    </row>
    <row r="286" spans="1:17" s="15" customFormat="1" x14ac:dyDescent="0.3">
      <c r="A286" s="27"/>
      <c r="B286" s="1"/>
      <c r="D286" s="240"/>
      <c r="E286" s="240"/>
      <c r="H286" s="21"/>
      <c r="I286" s="396"/>
      <c r="J286" s="78"/>
      <c r="K286" s="78"/>
      <c r="L286" s="120"/>
      <c r="M286" s="120"/>
      <c r="N286" s="293"/>
      <c r="O286" s="120"/>
      <c r="P286" s="188"/>
      <c r="Q286" s="1"/>
    </row>
    <row r="287" spans="1:17" s="15" customFormat="1" x14ac:dyDescent="0.3">
      <c r="A287" s="27"/>
      <c r="B287" s="1"/>
      <c r="D287" s="240"/>
      <c r="E287" s="240"/>
      <c r="H287" s="21"/>
      <c r="I287" s="396"/>
      <c r="J287" s="78"/>
      <c r="K287" s="78"/>
      <c r="L287" s="120"/>
      <c r="M287" s="120"/>
      <c r="N287" s="293"/>
      <c r="O287" s="120"/>
      <c r="P287" s="188"/>
      <c r="Q287" s="1"/>
    </row>
    <row r="288" spans="1:17" s="15" customFormat="1" x14ac:dyDescent="0.3">
      <c r="A288" s="27"/>
      <c r="B288" s="1"/>
      <c r="D288" s="240"/>
      <c r="E288" s="240"/>
      <c r="H288" s="21"/>
      <c r="I288" s="396"/>
      <c r="J288" s="78"/>
      <c r="K288" s="78"/>
      <c r="L288" s="120"/>
      <c r="M288" s="120"/>
      <c r="N288" s="293"/>
      <c r="O288" s="120"/>
      <c r="P288" s="188"/>
      <c r="Q288" s="1"/>
    </row>
    <row r="289" spans="1:17" s="15" customFormat="1" x14ac:dyDescent="0.3">
      <c r="A289" s="27"/>
      <c r="B289" s="1"/>
      <c r="D289" s="240"/>
      <c r="E289" s="240"/>
      <c r="H289" s="21"/>
      <c r="I289" s="396"/>
      <c r="J289" s="78"/>
      <c r="K289" s="78"/>
      <c r="L289" s="120"/>
      <c r="M289" s="120"/>
      <c r="N289" s="293"/>
      <c r="O289" s="120"/>
      <c r="P289" s="188"/>
      <c r="Q289" s="1"/>
    </row>
    <row r="290" spans="1:17" s="15" customFormat="1" x14ac:dyDescent="0.3">
      <c r="A290" s="27"/>
      <c r="B290" s="1"/>
      <c r="D290" s="240"/>
      <c r="E290" s="240"/>
      <c r="H290" s="21"/>
      <c r="I290" s="396"/>
      <c r="J290" s="78"/>
      <c r="K290" s="78"/>
      <c r="L290" s="120"/>
      <c r="M290" s="120"/>
      <c r="N290" s="293"/>
      <c r="O290" s="120"/>
      <c r="P290" s="188"/>
      <c r="Q290" s="1"/>
    </row>
    <row r="291" spans="1:17" s="15" customFormat="1" x14ac:dyDescent="0.3">
      <c r="A291" s="27"/>
      <c r="B291" s="1"/>
      <c r="D291" s="240"/>
      <c r="E291" s="240"/>
      <c r="H291" s="21"/>
      <c r="I291" s="396"/>
      <c r="J291" s="78"/>
      <c r="K291" s="78"/>
      <c r="L291" s="120"/>
      <c r="M291" s="120"/>
      <c r="N291" s="293"/>
      <c r="O291" s="120"/>
      <c r="P291" s="188"/>
      <c r="Q291" s="1"/>
    </row>
    <row r="292" spans="1:17" s="15" customFormat="1" x14ac:dyDescent="0.3">
      <c r="A292" s="27"/>
      <c r="B292" s="1"/>
      <c r="D292" s="240"/>
      <c r="E292" s="240"/>
      <c r="H292" s="21"/>
      <c r="I292" s="396"/>
      <c r="J292" s="78"/>
      <c r="K292" s="78"/>
      <c r="L292" s="120"/>
      <c r="M292" s="120"/>
      <c r="N292" s="293"/>
      <c r="O292" s="120"/>
      <c r="P292" s="188"/>
      <c r="Q292" s="1"/>
    </row>
    <row r="293" spans="1:17" s="15" customFormat="1" x14ac:dyDescent="0.3">
      <c r="A293" s="27"/>
      <c r="B293" s="1"/>
      <c r="D293" s="240"/>
      <c r="E293" s="240"/>
      <c r="H293" s="21"/>
      <c r="I293" s="396"/>
      <c r="J293" s="78"/>
      <c r="K293" s="78"/>
      <c r="L293" s="120"/>
      <c r="M293" s="120"/>
      <c r="N293" s="293"/>
      <c r="O293" s="120"/>
      <c r="P293" s="188"/>
      <c r="Q293" s="1"/>
    </row>
    <row r="294" spans="1:17" s="15" customFormat="1" x14ac:dyDescent="0.3">
      <c r="A294" s="27"/>
      <c r="B294" s="1"/>
      <c r="D294" s="240"/>
      <c r="E294" s="240"/>
      <c r="H294" s="21"/>
      <c r="I294" s="396"/>
      <c r="J294" s="78"/>
      <c r="K294" s="78"/>
      <c r="L294" s="120"/>
      <c r="M294" s="120"/>
      <c r="N294" s="293"/>
      <c r="O294" s="120"/>
      <c r="P294" s="188"/>
      <c r="Q294" s="1"/>
    </row>
    <row r="295" spans="1:17" s="15" customFormat="1" x14ac:dyDescent="0.3">
      <c r="A295" s="27"/>
      <c r="B295" s="1"/>
      <c r="D295" s="240"/>
      <c r="E295" s="240"/>
      <c r="H295" s="21"/>
      <c r="I295" s="396"/>
      <c r="J295" s="78"/>
      <c r="K295" s="78"/>
      <c r="L295" s="120"/>
      <c r="M295" s="120"/>
      <c r="N295" s="293"/>
      <c r="O295" s="120"/>
      <c r="P295" s="188"/>
      <c r="Q295" s="1"/>
    </row>
    <row r="296" spans="1:17" s="15" customFormat="1" x14ac:dyDescent="0.3">
      <c r="A296" s="27"/>
      <c r="B296" s="1"/>
      <c r="D296" s="240"/>
      <c r="E296" s="240"/>
      <c r="H296" s="21"/>
      <c r="I296" s="396"/>
      <c r="J296" s="78"/>
      <c r="K296" s="78"/>
      <c r="L296" s="120"/>
      <c r="M296" s="120"/>
      <c r="N296" s="293"/>
      <c r="O296" s="120"/>
      <c r="P296" s="188"/>
      <c r="Q296" s="1"/>
    </row>
    <row r="297" spans="1:17" s="15" customFormat="1" x14ac:dyDescent="0.3">
      <c r="A297" s="27"/>
      <c r="B297" s="1"/>
      <c r="D297" s="240"/>
      <c r="E297" s="240"/>
      <c r="H297" s="21"/>
      <c r="I297" s="396"/>
      <c r="J297" s="78"/>
      <c r="K297" s="78"/>
      <c r="L297" s="120"/>
      <c r="M297" s="120"/>
      <c r="N297" s="293"/>
      <c r="O297" s="120"/>
      <c r="P297" s="188"/>
      <c r="Q297" s="1"/>
    </row>
    <row r="298" spans="1:17" s="15" customFormat="1" x14ac:dyDescent="0.3">
      <c r="A298" s="27"/>
      <c r="B298" s="1"/>
      <c r="D298" s="240"/>
      <c r="E298" s="240"/>
      <c r="H298" s="21"/>
      <c r="I298" s="396"/>
      <c r="J298" s="78"/>
      <c r="K298" s="78"/>
      <c r="L298" s="120"/>
      <c r="M298" s="120"/>
      <c r="N298" s="293"/>
      <c r="O298" s="120"/>
      <c r="P298" s="188"/>
      <c r="Q298" s="1"/>
    </row>
    <row r="299" spans="1:17" s="15" customFormat="1" x14ac:dyDescent="0.3">
      <c r="A299" s="27"/>
      <c r="B299" s="1"/>
      <c r="D299" s="240"/>
      <c r="E299" s="240"/>
      <c r="H299" s="21"/>
      <c r="I299" s="396"/>
      <c r="J299" s="78"/>
      <c r="K299" s="78"/>
      <c r="L299" s="120"/>
      <c r="M299" s="120"/>
      <c r="N299" s="293"/>
      <c r="O299" s="120"/>
      <c r="P299" s="188"/>
      <c r="Q299" s="1"/>
    </row>
    <row r="300" spans="1:17" s="15" customFormat="1" x14ac:dyDescent="0.3">
      <c r="A300" s="27"/>
      <c r="B300" s="1"/>
      <c r="D300" s="240"/>
      <c r="E300" s="240"/>
      <c r="H300" s="21"/>
      <c r="I300" s="396"/>
      <c r="J300" s="78"/>
      <c r="K300" s="78"/>
      <c r="L300" s="120"/>
      <c r="M300" s="120"/>
      <c r="N300" s="293"/>
      <c r="O300" s="120"/>
      <c r="P300" s="188"/>
      <c r="Q300" s="1"/>
    </row>
    <row r="301" spans="1:17" s="15" customFormat="1" x14ac:dyDescent="0.3">
      <c r="A301" s="27"/>
      <c r="B301" s="1"/>
      <c r="D301" s="240"/>
      <c r="E301" s="240"/>
      <c r="H301" s="21"/>
      <c r="I301" s="396"/>
      <c r="J301" s="78"/>
      <c r="K301" s="78"/>
      <c r="L301" s="120"/>
      <c r="M301" s="120"/>
      <c r="N301" s="293"/>
      <c r="O301" s="120"/>
      <c r="P301" s="188"/>
      <c r="Q301" s="1"/>
    </row>
    <row r="302" spans="1:17" s="15" customFormat="1" x14ac:dyDescent="0.3">
      <c r="A302" s="27"/>
      <c r="B302" s="1"/>
      <c r="D302" s="240"/>
      <c r="E302" s="240"/>
      <c r="H302" s="21"/>
      <c r="I302" s="396"/>
      <c r="J302" s="78"/>
      <c r="K302" s="78"/>
      <c r="L302" s="120"/>
      <c r="M302" s="120"/>
      <c r="N302" s="293"/>
      <c r="O302" s="120"/>
      <c r="P302" s="188"/>
      <c r="Q302" s="1"/>
    </row>
    <row r="303" spans="1:17" s="15" customFormat="1" x14ac:dyDescent="0.3">
      <c r="A303" s="27"/>
      <c r="B303" s="1"/>
      <c r="D303" s="240"/>
      <c r="E303" s="240"/>
      <c r="H303" s="21"/>
      <c r="I303" s="396"/>
      <c r="J303" s="78"/>
      <c r="K303" s="78"/>
      <c r="L303" s="120"/>
      <c r="M303" s="120"/>
      <c r="N303" s="293"/>
      <c r="O303" s="120"/>
      <c r="P303" s="188"/>
      <c r="Q303" s="1"/>
    </row>
    <row r="304" spans="1:17" s="15" customFormat="1" x14ac:dyDescent="0.3">
      <c r="A304" s="27"/>
      <c r="B304" s="1"/>
      <c r="D304" s="240"/>
      <c r="E304" s="240"/>
      <c r="H304" s="21"/>
      <c r="I304" s="396"/>
      <c r="J304" s="78"/>
      <c r="K304" s="78"/>
      <c r="L304" s="120"/>
      <c r="M304" s="120"/>
      <c r="N304" s="293"/>
      <c r="O304" s="120"/>
      <c r="P304" s="188"/>
      <c r="Q304" s="1"/>
    </row>
    <row r="305" spans="1:17" s="15" customFormat="1" x14ac:dyDescent="0.3">
      <c r="A305" s="27"/>
      <c r="B305" s="1"/>
      <c r="D305" s="240"/>
      <c r="E305" s="240"/>
      <c r="H305" s="21"/>
      <c r="I305" s="396"/>
      <c r="J305" s="78"/>
      <c r="K305" s="78"/>
      <c r="L305" s="120"/>
      <c r="M305" s="120"/>
      <c r="N305" s="293"/>
      <c r="O305" s="120"/>
      <c r="P305" s="188"/>
      <c r="Q305" s="1"/>
    </row>
    <row r="306" spans="1:17" s="15" customFormat="1" x14ac:dyDescent="0.3">
      <c r="A306" s="27"/>
      <c r="B306" s="1"/>
      <c r="D306" s="240"/>
      <c r="E306" s="240"/>
      <c r="H306" s="21"/>
      <c r="I306" s="396"/>
      <c r="J306" s="78"/>
      <c r="K306" s="78"/>
      <c r="L306" s="120"/>
      <c r="M306" s="120"/>
      <c r="N306" s="293"/>
      <c r="O306" s="120"/>
      <c r="P306" s="188"/>
      <c r="Q306" s="1"/>
    </row>
    <row r="307" spans="1:17" s="15" customFormat="1" x14ac:dyDescent="0.3">
      <c r="A307" s="27"/>
      <c r="B307" s="1"/>
      <c r="D307" s="240"/>
      <c r="E307" s="240"/>
      <c r="H307" s="21"/>
      <c r="I307" s="396"/>
      <c r="J307" s="78"/>
      <c r="K307" s="78"/>
      <c r="L307" s="120"/>
      <c r="M307" s="120"/>
      <c r="N307" s="293"/>
      <c r="O307" s="120"/>
      <c r="P307" s="188"/>
      <c r="Q307" s="1"/>
    </row>
    <row r="308" spans="1:17" s="15" customFormat="1" x14ac:dyDescent="0.3">
      <c r="A308" s="27"/>
      <c r="B308" s="1"/>
      <c r="D308" s="240"/>
      <c r="E308" s="240"/>
      <c r="H308" s="21"/>
      <c r="I308" s="396"/>
      <c r="J308" s="78"/>
      <c r="K308" s="78"/>
      <c r="L308" s="120"/>
      <c r="M308" s="120"/>
      <c r="N308" s="293"/>
      <c r="O308" s="120"/>
      <c r="P308" s="188"/>
      <c r="Q308" s="1"/>
    </row>
    <row r="309" spans="1:17" s="15" customFormat="1" x14ac:dyDescent="0.3">
      <c r="A309" s="27"/>
      <c r="B309" s="1"/>
      <c r="D309" s="240"/>
      <c r="E309" s="240"/>
      <c r="H309" s="21"/>
      <c r="I309" s="396"/>
      <c r="J309" s="78"/>
      <c r="K309" s="78"/>
      <c r="L309" s="120"/>
      <c r="M309" s="120"/>
      <c r="N309" s="293"/>
      <c r="O309" s="120"/>
      <c r="P309" s="188"/>
      <c r="Q309" s="1"/>
    </row>
    <row r="310" spans="1:17" s="15" customFormat="1" x14ac:dyDescent="0.3">
      <c r="A310" s="27"/>
      <c r="B310" s="1"/>
      <c r="D310" s="240"/>
      <c r="E310" s="240"/>
      <c r="H310" s="21"/>
      <c r="I310" s="396"/>
      <c r="J310" s="78"/>
      <c r="K310" s="78"/>
      <c r="L310" s="120"/>
      <c r="M310" s="120"/>
      <c r="N310" s="293"/>
      <c r="O310" s="120"/>
      <c r="P310" s="188"/>
      <c r="Q310" s="1"/>
    </row>
    <row r="311" spans="1:17" s="15" customFormat="1" x14ac:dyDescent="0.3">
      <c r="A311" s="27"/>
      <c r="B311" s="1"/>
      <c r="D311" s="240"/>
      <c r="E311" s="240"/>
      <c r="H311" s="21"/>
      <c r="I311" s="396"/>
      <c r="J311" s="78"/>
      <c r="K311" s="78"/>
      <c r="L311" s="120"/>
      <c r="M311" s="120"/>
      <c r="N311" s="293"/>
      <c r="O311" s="120"/>
      <c r="P311" s="188"/>
      <c r="Q311" s="1"/>
    </row>
    <row r="312" spans="1:17" s="15" customFormat="1" x14ac:dyDescent="0.3">
      <c r="A312" s="27"/>
      <c r="B312" s="1"/>
      <c r="D312" s="240"/>
      <c r="E312" s="240"/>
      <c r="H312" s="21"/>
      <c r="I312" s="396"/>
      <c r="J312" s="78"/>
      <c r="K312" s="78"/>
      <c r="L312" s="120"/>
      <c r="M312" s="120"/>
      <c r="N312" s="293"/>
      <c r="O312" s="120"/>
      <c r="P312" s="188"/>
      <c r="Q312" s="1"/>
    </row>
    <row r="313" spans="1:17" s="15" customFormat="1" x14ac:dyDescent="0.3">
      <c r="A313" s="27"/>
      <c r="B313" s="1"/>
      <c r="D313" s="240"/>
      <c r="E313" s="240"/>
      <c r="H313" s="21"/>
      <c r="I313" s="396"/>
      <c r="J313" s="78"/>
      <c r="K313" s="78"/>
      <c r="L313" s="120"/>
      <c r="M313" s="120"/>
      <c r="N313" s="293"/>
      <c r="O313" s="120"/>
      <c r="P313" s="188"/>
      <c r="Q313" s="1"/>
    </row>
    <row r="314" spans="1:17" s="15" customFormat="1" x14ac:dyDescent="0.3">
      <c r="A314" s="27"/>
      <c r="B314" s="1"/>
      <c r="D314" s="240"/>
      <c r="E314" s="240"/>
      <c r="H314" s="21"/>
      <c r="I314" s="396"/>
      <c r="J314" s="78"/>
      <c r="K314" s="78"/>
      <c r="L314" s="120"/>
      <c r="M314" s="120"/>
      <c r="N314" s="293"/>
      <c r="O314" s="120"/>
      <c r="P314" s="188"/>
      <c r="Q314" s="1"/>
    </row>
    <row r="315" spans="1:17" s="15" customFormat="1" x14ac:dyDescent="0.3">
      <c r="A315" s="27"/>
      <c r="B315" s="1"/>
      <c r="D315" s="240"/>
      <c r="E315" s="240"/>
      <c r="H315" s="21"/>
      <c r="I315" s="396"/>
      <c r="J315" s="78"/>
      <c r="K315" s="78"/>
      <c r="L315" s="120"/>
      <c r="M315" s="120"/>
      <c r="N315" s="293"/>
      <c r="O315" s="120"/>
      <c r="P315" s="188"/>
      <c r="Q315" s="1"/>
    </row>
    <row r="316" spans="1:17" s="15" customFormat="1" x14ac:dyDescent="0.3">
      <c r="A316" s="27"/>
      <c r="B316" s="1"/>
      <c r="D316" s="240"/>
      <c r="E316" s="240"/>
      <c r="H316" s="21"/>
      <c r="I316" s="396"/>
      <c r="J316" s="78"/>
      <c r="K316" s="78"/>
      <c r="L316" s="120"/>
      <c r="M316" s="120"/>
      <c r="N316" s="293"/>
      <c r="O316" s="120"/>
      <c r="P316" s="188"/>
      <c r="Q316" s="1"/>
    </row>
    <row r="317" spans="1:17" s="15" customFormat="1" x14ac:dyDescent="0.3">
      <c r="A317" s="27"/>
      <c r="B317" s="1"/>
      <c r="D317" s="240"/>
      <c r="E317" s="240"/>
      <c r="H317" s="21"/>
      <c r="I317" s="396"/>
      <c r="J317" s="78"/>
      <c r="K317" s="78"/>
      <c r="L317" s="120"/>
      <c r="M317" s="120"/>
      <c r="N317" s="293"/>
      <c r="O317" s="120"/>
      <c r="P317" s="188"/>
      <c r="Q317" s="1"/>
    </row>
    <row r="318" spans="1:17" s="15" customFormat="1" x14ac:dyDescent="0.3">
      <c r="A318" s="27"/>
      <c r="B318" s="1"/>
      <c r="D318" s="240"/>
      <c r="E318" s="240"/>
      <c r="H318" s="21"/>
      <c r="I318" s="396"/>
      <c r="J318" s="78"/>
      <c r="K318" s="78"/>
      <c r="L318" s="120"/>
      <c r="M318" s="120"/>
      <c r="N318" s="293"/>
      <c r="O318" s="120"/>
      <c r="P318" s="188"/>
      <c r="Q318" s="1"/>
    </row>
    <row r="319" spans="1:17" s="15" customFormat="1" x14ac:dyDescent="0.3">
      <c r="A319" s="27"/>
      <c r="B319" s="1"/>
      <c r="D319" s="240"/>
      <c r="E319" s="240"/>
      <c r="H319" s="21"/>
      <c r="I319" s="396"/>
      <c r="J319" s="78"/>
      <c r="K319" s="78"/>
      <c r="L319" s="120"/>
      <c r="M319" s="120"/>
      <c r="N319" s="293"/>
      <c r="O319" s="120"/>
      <c r="P319" s="188"/>
      <c r="Q319" s="1"/>
    </row>
    <row r="320" spans="1:17" s="15" customFormat="1" x14ac:dyDescent="0.3">
      <c r="A320" s="27"/>
      <c r="B320" s="1"/>
      <c r="D320" s="240"/>
      <c r="E320" s="240"/>
      <c r="H320" s="21"/>
      <c r="I320" s="396"/>
      <c r="J320" s="78"/>
      <c r="K320" s="78"/>
      <c r="L320" s="120"/>
      <c r="M320" s="120"/>
      <c r="N320" s="293"/>
      <c r="O320" s="120"/>
      <c r="P320" s="188"/>
      <c r="Q320" s="1"/>
    </row>
    <row r="321" spans="1:17" s="15" customFormat="1" x14ac:dyDescent="0.3">
      <c r="A321" s="27"/>
      <c r="B321" s="1"/>
      <c r="D321" s="240"/>
      <c r="E321" s="240"/>
      <c r="H321" s="21"/>
      <c r="I321" s="396"/>
      <c r="J321" s="78"/>
      <c r="K321" s="78"/>
      <c r="L321" s="120"/>
      <c r="M321" s="120"/>
      <c r="N321" s="293"/>
      <c r="O321" s="120"/>
      <c r="P321" s="188"/>
      <c r="Q321" s="1"/>
    </row>
    <row r="322" spans="1:17" s="15" customFormat="1" x14ac:dyDescent="0.3">
      <c r="A322" s="27"/>
      <c r="B322" s="1"/>
      <c r="D322" s="240"/>
      <c r="E322" s="240"/>
      <c r="H322" s="21"/>
      <c r="I322" s="396"/>
      <c r="J322" s="78"/>
      <c r="K322" s="78"/>
      <c r="L322" s="120"/>
      <c r="M322" s="120"/>
      <c r="N322" s="293"/>
      <c r="O322" s="120"/>
      <c r="P322" s="188"/>
      <c r="Q322" s="1"/>
    </row>
    <row r="323" spans="1:17" s="15" customFormat="1" x14ac:dyDescent="0.3">
      <c r="A323" s="27"/>
      <c r="B323" s="1"/>
      <c r="D323" s="240"/>
      <c r="E323" s="240"/>
      <c r="H323" s="21"/>
      <c r="I323" s="396"/>
      <c r="J323" s="78"/>
      <c r="K323" s="78"/>
      <c r="L323" s="120"/>
      <c r="M323" s="120"/>
      <c r="N323" s="293"/>
      <c r="O323" s="120"/>
      <c r="P323" s="188"/>
      <c r="Q323" s="1"/>
    </row>
    <row r="324" spans="1:17" s="15" customFormat="1" x14ac:dyDescent="0.3">
      <c r="A324" s="27"/>
      <c r="B324" s="1"/>
      <c r="D324" s="240"/>
      <c r="E324" s="240"/>
      <c r="H324" s="21"/>
      <c r="I324" s="396"/>
      <c r="J324" s="78"/>
      <c r="K324" s="78"/>
      <c r="L324" s="120"/>
      <c r="M324" s="120"/>
      <c r="N324" s="293"/>
      <c r="O324" s="120"/>
      <c r="P324" s="188"/>
      <c r="Q324" s="1"/>
    </row>
    <row r="325" spans="1:17" s="15" customFormat="1" x14ac:dyDescent="0.3">
      <c r="A325" s="27"/>
      <c r="B325" s="1"/>
      <c r="D325" s="240"/>
      <c r="E325" s="240"/>
      <c r="H325" s="21"/>
      <c r="I325" s="396"/>
      <c r="J325" s="78"/>
      <c r="K325" s="78"/>
      <c r="L325" s="120"/>
      <c r="M325" s="120"/>
      <c r="N325" s="293"/>
      <c r="O325" s="120"/>
      <c r="P325" s="188"/>
      <c r="Q325" s="1"/>
    </row>
    <row r="326" spans="1:17" s="15" customFormat="1" x14ac:dyDescent="0.3">
      <c r="A326" s="27"/>
      <c r="B326" s="1"/>
      <c r="D326" s="240"/>
      <c r="E326" s="240"/>
      <c r="H326" s="21"/>
      <c r="I326" s="396"/>
      <c r="J326" s="78"/>
      <c r="K326" s="78"/>
      <c r="L326" s="120"/>
      <c r="M326" s="120"/>
      <c r="N326" s="293"/>
      <c r="O326" s="120"/>
      <c r="P326" s="188"/>
      <c r="Q326" s="1"/>
    </row>
    <row r="327" spans="1:17" s="15" customFormat="1" x14ac:dyDescent="0.3">
      <c r="A327" s="27"/>
      <c r="B327" s="1"/>
      <c r="D327" s="240"/>
      <c r="E327" s="240"/>
      <c r="H327" s="21"/>
      <c r="I327" s="396"/>
      <c r="J327" s="78"/>
      <c r="K327" s="78"/>
      <c r="L327" s="120"/>
      <c r="M327" s="120"/>
      <c r="N327" s="293"/>
      <c r="O327" s="120"/>
      <c r="P327" s="188"/>
      <c r="Q327" s="1"/>
    </row>
    <row r="328" spans="1:17" s="15" customFormat="1" x14ac:dyDescent="0.3">
      <c r="A328" s="27"/>
      <c r="B328" s="1"/>
      <c r="D328" s="240"/>
      <c r="E328" s="240"/>
      <c r="H328" s="21"/>
      <c r="I328" s="396"/>
      <c r="J328" s="78"/>
      <c r="K328" s="78"/>
      <c r="L328" s="120"/>
      <c r="M328" s="120"/>
      <c r="N328" s="293"/>
      <c r="O328" s="120"/>
      <c r="P328" s="188"/>
      <c r="Q328" s="1"/>
    </row>
    <row r="329" spans="1:17" s="15" customFormat="1" x14ac:dyDescent="0.3">
      <c r="A329" s="27"/>
      <c r="B329" s="1"/>
      <c r="D329" s="240"/>
      <c r="E329" s="240"/>
      <c r="H329" s="21"/>
      <c r="I329" s="396"/>
      <c r="J329" s="78"/>
      <c r="K329" s="78"/>
      <c r="L329" s="120"/>
      <c r="M329" s="120"/>
      <c r="N329" s="293"/>
      <c r="O329" s="120"/>
      <c r="P329" s="188"/>
      <c r="Q329" s="1"/>
    </row>
    <row r="330" spans="1:17" s="15" customFormat="1" x14ac:dyDescent="0.3">
      <c r="A330" s="27"/>
      <c r="B330" s="1"/>
      <c r="D330" s="240"/>
      <c r="E330" s="240"/>
      <c r="H330" s="21"/>
      <c r="I330" s="396"/>
      <c r="J330" s="78"/>
      <c r="K330" s="78"/>
      <c r="L330" s="120"/>
      <c r="M330" s="120"/>
      <c r="N330" s="293"/>
      <c r="O330" s="120"/>
      <c r="P330" s="188"/>
      <c r="Q330" s="1"/>
    </row>
    <row r="331" spans="1:17" s="15" customFormat="1" x14ac:dyDescent="0.3">
      <c r="A331" s="27"/>
      <c r="B331" s="1"/>
      <c r="D331" s="240"/>
      <c r="E331" s="240"/>
      <c r="H331" s="21"/>
      <c r="I331" s="396"/>
      <c r="J331" s="78"/>
      <c r="K331" s="78"/>
      <c r="L331" s="120"/>
      <c r="M331" s="120"/>
      <c r="N331" s="293"/>
      <c r="O331" s="120"/>
      <c r="P331" s="188"/>
      <c r="Q331" s="1"/>
    </row>
    <row r="332" spans="1:17" s="15" customFormat="1" x14ac:dyDescent="0.3">
      <c r="A332" s="27"/>
      <c r="B332" s="1"/>
      <c r="D332" s="240"/>
      <c r="E332" s="240"/>
      <c r="H332" s="21"/>
      <c r="I332" s="396"/>
      <c r="J332" s="78"/>
      <c r="K332" s="78"/>
      <c r="L332" s="120"/>
      <c r="M332" s="120"/>
      <c r="N332" s="293"/>
      <c r="O332" s="120"/>
      <c r="P332" s="188"/>
      <c r="Q332" s="1"/>
    </row>
    <row r="333" spans="1:17" s="15" customFormat="1" x14ac:dyDescent="0.3">
      <c r="A333" s="27"/>
      <c r="B333" s="1"/>
      <c r="D333" s="240"/>
      <c r="E333" s="240"/>
      <c r="H333" s="21"/>
      <c r="I333" s="396"/>
      <c r="J333" s="78"/>
      <c r="K333" s="78"/>
      <c r="L333" s="120"/>
      <c r="M333" s="120"/>
      <c r="N333" s="293"/>
      <c r="O333" s="120"/>
      <c r="P333" s="188"/>
      <c r="Q333" s="1"/>
    </row>
    <row r="334" spans="1:17" s="15" customFormat="1" x14ac:dyDescent="0.3">
      <c r="A334" s="27"/>
      <c r="B334" s="1"/>
      <c r="D334" s="240"/>
      <c r="E334" s="240"/>
      <c r="H334" s="21"/>
      <c r="I334" s="396"/>
      <c r="J334" s="78"/>
      <c r="K334" s="78"/>
      <c r="L334" s="120"/>
      <c r="M334" s="120"/>
      <c r="N334" s="293"/>
      <c r="O334" s="120"/>
      <c r="P334" s="188"/>
      <c r="Q334" s="1"/>
    </row>
    <row r="335" spans="1:17" s="15" customFormat="1" x14ac:dyDescent="0.3">
      <c r="A335" s="27"/>
      <c r="B335" s="1"/>
      <c r="D335" s="240"/>
      <c r="E335" s="240"/>
      <c r="H335" s="21"/>
      <c r="I335" s="396"/>
      <c r="J335" s="78"/>
      <c r="K335" s="78"/>
      <c r="L335" s="120"/>
      <c r="M335" s="120"/>
      <c r="N335" s="293"/>
      <c r="O335" s="120"/>
      <c r="P335" s="188"/>
      <c r="Q335" s="1"/>
    </row>
    <row r="336" spans="1:17" s="15" customFormat="1" x14ac:dyDescent="0.3">
      <c r="A336" s="27"/>
      <c r="B336" s="1"/>
      <c r="D336" s="240"/>
      <c r="E336" s="240"/>
      <c r="H336" s="21"/>
      <c r="I336" s="396"/>
      <c r="J336" s="78"/>
      <c r="K336" s="78"/>
      <c r="L336" s="120"/>
      <c r="M336" s="120"/>
      <c r="N336" s="293"/>
      <c r="O336" s="120"/>
      <c r="P336" s="188"/>
      <c r="Q336" s="1"/>
    </row>
    <row r="337" spans="1:17" s="15" customFormat="1" x14ac:dyDescent="0.3">
      <c r="A337" s="27"/>
      <c r="B337" s="1"/>
      <c r="D337" s="240"/>
      <c r="E337" s="240"/>
      <c r="H337" s="21"/>
      <c r="I337" s="396"/>
      <c r="J337" s="78"/>
      <c r="K337" s="78"/>
      <c r="L337" s="120"/>
      <c r="M337" s="120"/>
      <c r="N337" s="293"/>
      <c r="O337" s="120"/>
      <c r="P337" s="188"/>
      <c r="Q337" s="1"/>
    </row>
    <row r="338" spans="1:17" s="15" customFormat="1" x14ac:dyDescent="0.3">
      <c r="A338" s="27"/>
      <c r="B338" s="1"/>
      <c r="D338" s="240"/>
      <c r="E338" s="240"/>
      <c r="H338" s="21"/>
      <c r="I338" s="396"/>
      <c r="J338" s="78"/>
      <c r="K338" s="78"/>
      <c r="L338" s="120"/>
      <c r="M338" s="120"/>
      <c r="N338" s="293"/>
      <c r="O338" s="120"/>
      <c r="P338" s="188"/>
      <c r="Q338" s="1"/>
    </row>
    <row r="339" spans="1:17" s="15" customFormat="1" x14ac:dyDescent="0.3">
      <c r="A339" s="27"/>
      <c r="B339" s="1"/>
      <c r="D339" s="240"/>
      <c r="E339" s="240"/>
      <c r="H339" s="21"/>
      <c r="I339" s="396"/>
      <c r="J339" s="78"/>
      <c r="K339" s="78"/>
      <c r="L339" s="120"/>
      <c r="M339" s="120"/>
      <c r="N339" s="293"/>
      <c r="O339" s="120"/>
      <c r="P339" s="188"/>
      <c r="Q339" s="1"/>
    </row>
    <row r="340" spans="1:17" s="15" customFormat="1" x14ac:dyDescent="0.3">
      <c r="A340" s="27"/>
      <c r="B340" s="1"/>
      <c r="D340" s="240"/>
      <c r="E340" s="240"/>
      <c r="H340" s="21"/>
      <c r="I340" s="396"/>
      <c r="J340" s="78"/>
      <c r="K340" s="78"/>
      <c r="L340" s="120"/>
      <c r="M340" s="120"/>
      <c r="N340" s="293"/>
      <c r="O340" s="120"/>
      <c r="P340" s="188"/>
      <c r="Q340" s="1"/>
    </row>
    <row r="341" spans="1:17" s="15" customFormat="1" x14ac:dyDescent="0.3">
      <c r="A341" s="27"/>
      <c r="B341" s="1"/>
      <c r="D341" s="240"/>
      <c r="E341" s="240"/>
      <c r="H341" s="21"/>
      <c r="I341" s="396"/>
      <c r="J341" s="78"/>
      <c r="K341" s="78"/>
      <c r="L341" s="120"/>
      <c r="M341" s="120"/>
      <c r="N341" s="293"/>
      <c r="O341" s="120"/>
      <c r="P341" s="188"/>
      <c r="Q341" s="1"/>
    </row>
    <row r="342" spans="1:17" s="15" customFormat="1" x14ac:dyDescent="0.3">
      <c r="A342" s="27"/>
      <c r="B342" s="1"/>
      <c r="D342" s="240"/>
      <c r="E342" s="240"/>
      <c r="H342" s="21"/>
      <c r="I342" s="396"/>
      <c r="J342" s="78"/>
      <c r="K342" s="78"/>
      <c r="L342" s="120"/>
      <c r="M342" s="120"/>
      <c r="N342" s="293"/>
      <c r="O342" s="120"/>
      <c r="P342" s="188"/>
      <c r="Q342" s="1"/>
    </row>
    <row r="343" spans="1:17" s="15" customFormat="1" x14ac:dyDescent="0.3">
      <c r="A343" s="27"/>
      <c r="B343" s="1"/>
      <c r="D343" s="240"/>
      <c r="E343" s="240"/>
      <c r="H343" s="21"/>
      <c r="I343" s="396"/>
      <c r="J343" s="78"/>
      <c r="K343" s="78"/>
      <c r="L343" s="120"/>
      <c r="M343" s="120"/>
      <c r="N343" s="293"/>
      <c r="O343" s="120"/>
      <c r="P343" s="188"/>
      <c r="Q343" s="1"/>
    </row>
    <row r="344" spans="1:17" s="15" customFormat="1" x14ac:dyDescent="0.3">
      <c r="A344" s="27"/>
      <c r="B344" s="1"/>
      <c r="D344" s="240"/>
      <c r="E344" s="240"/>
      <c r="H344" s="21"/>
      <c r="I344" s="396"/>
      <c r="J344" s="78"/>
      <c r="K344" s="78"/>
      <c r="L344" s="120"/>
      <c r="M344" s="120"/>
      <c r="N344" s="293"/>
      <c r="O344" s="120"/>
      <c r="P344" s="188"/>
      <c r="Q344" s="1"/>
    </row>
    <row r="345" spans="1:17" s="15" customFormat="1" x14ac:dyDescent="0.3">
      <c r="A345" s="27"/>
      <c r="B345" s="1"/>
      <c r="D345" s="240"/>
      <c r="E345" s="240"/>
      <c r="H345" s="21"/>
      <c r="I345" s="396"/>
      <c r="J345" s="78"/>
      <c r="K345" s="78"/>
      <c r="L345" s="120"/>
      <c r="M345" s="120"/>
      <c r="N345" s="293"/>
      <c r="O345" s="120"/>
      <c r="P345" s="188"/>
      <c r="Q345" s="1"/>
    </row>
    <row r="346" spans="1:17" s="15" customFormat="1" x14ac:dyDescent="0.3">
      <c r="A346" s="27"/>
      <c r="B346" s="1"/>
      <c r="D346" s="240"/>
      <c r="E346" s="240"/>
      <c r="H346" s="21"/>
      <c r="I346" s="396"/>
      <c r="J346" s="78"/>
      <c r="K346" s="78"/>
      <c r="L346" s="120"/>
      <c r="M346" s="120"/>
      <c r="N346" s="293"/>
      <c r="O346" s="120"/>
      <c r="P346" s="188"/>
      <c r="Q346" s="1"/>
    </row>
    <row r="347" spans="1:17" s="15" customFormat="1" x14ac:dyDescent="0.3">
      <c r="A347" s="27"/>
      <c r="B347" s="1"/>
      <c r="D347" s="240"/>
      <c r="E347" s="240"/>
      <c r="H347" s="21"/>
      <c r="I347" s="396"/>
      <c r="J347" s="78"/>
      <c r="K347" s="78"/>
      <c r="L347" s="120"/>
      <c r="M347" s="120"/>
      <c r="N347" s="293"/>
      <c r="O347" s="120"/>
      <c r="P347" s="188"/>
      <c r="Q347" s="1"/>
    </row>
    <row r="348" spans="1:17" s="15" customFormat="1" x14ac:dyDescent="0.3">
      <c r="A348" s="27"/>
      <c r="B348" s="1"/>
      <c r="D348" s="240"/>
      <c r="E348" s="240"/>
      <c r="H348" s="21"/>
      <c r="I348" s="396"/>
      <c r="J348" s="78"/>
      <c r="K348" s="78"/>
      <c r="L348" s="120"/>
      <c r="M348" s="120"/>
      <c r="N348" s="293"/>
      <c r="O348" s="120"/>
      <c r="P348" s="188"/>
      <c r="Q348" s="1"/>
    </row>
    <row r="349" spans="1:17" s="15" customFormat="1" x14ac:dyDescent="0.3">
      <c r="A349" s="27"/>
      <c r="B349" s="1"/>
      <c r="D349" s="240"/>
      <c r="E349" s="240"/>
      <c r="H349" s="21"/>
      <c r="I349" s="396"/>
      <c r="J349" s="78"/>
      <c r="K349" s="78"/>
      <c r="L349" s="120"/>
      <c r="M349" s="120"/>
      <c r="N349" s="293"/>
      <c r="O349" s="120"/>
      <c r="P349" s="188"/>
      <c r="Q349" s="1"/>
    </row>
    <row r="350" spans="1:17" s="15" customFormat="1" x14ac:dyDescent="0.3">
      <c r="A350" s="27"/>
      <c r="B350" s="1"/>
      <c r="D350" s="240"/>
      <c r="E350" s="240"/>
      <c r="H350" s="21"/>
      <c r="I350" s="396"/>
      <c r="J350" s="78"/>
      <c r="K350" s="78"/>
      <c r="L350" s="120"/>
      <c r="M350" s="120"/>
      <c r="N350" s="293"/>
      <c r="O350" s="120"/>
      <c r="P350" s="188"/>
      <c r="Q350" s="1"/>
    </row>
    <row r="351" spans="1:17" s="15" customFormat="1" x14ac:dyDescent="0.3">
      <c r="A351" s="27"/>
      <c r="B351" s="1"/>
      <c r="D351" s="240"/>
      <c r="E351" s="240"/>
      <c r="H351" s="21"/>
      <c r="I351" s="396"/>
      <c r="J351" s="78"/>
      <c r="K351" s="78"/>
      <c r="L351" s="120"/>
      <c r="M351" s="120"/>
      <c r="N351" s="293"/>
      <c r="O351" s="120"/>
      <c r="P351" s="188"/>
      <c r="Q351" s="1"/>
    </row>
    <row r="352" spans="1:17" s="15" customFormat="1" x14ac:dyDescent="0.3">
      <c r="A352" s="27"/>
      <c r="B352" s="1"/>
      <c r="D352" s="240"/>
      <c r="E352" s="240"/>
      <c r="H352" s="21"/>
      <c r="I352" s="396"/>
      <c r="J352" s="78"/>
      <c r="K352" s="78"/>
      <c r="L352" s="120"/>
      <c r="M352" s="120"/>
      <c r="N352" s="293"/>
      <c r="O352" s="120"/>
      <c r="P352" s="188"/>
      <c r="Q352" s="1"/>
    </row>
    <row r="353" spans="1:17" s="15" customFormat="1" x14ac:dyDescent="0.3">
      <c r="A353" s="27"/>
      <c r="B353" s="1"/>
      <c r="D353" s="240"/>
      <c r="E353" s="240"/>
      <c r="H353" s="21"/>
      <c r="I353" s="396"/>
      <c r="J353" s="78"/>
      <c r="K353" s="78"/>
      <c r="L353" s="120"/>
      <c r="M353" s="120"/>
      <c r="N353" s="293"/>
      <c r="O353" s="120"/>
      <c r="P353" s="188"/>
      <c r="Q353" s="1"/>
    </row>
    <row r="354" spans="1:17" s="15" customFormat="1" x14ac:dyDescent="0.3">
      <c r="A354" s="27"/>
      <c r="B354" s="1"/>
      <c r="D354" s="240"/>
      <c r="E354" s="240"/>
      <c r="H354" s="21"/>
      <c r="I354" s="396"/>
      <c r="J354" s="78"/>
      <c r="K354" s="78"/>
      <c r="L354" s="120"/>
      <c r="M354" s="120"/>
      <c r="N354" s="293"/>
      <c r="O354" s="120"/>
      <c r="P354" s="188"/>
      <c r="Q354" s="1"/>
    </row>
    <row r="355" spans="1:17" s="15" customFormat="1" x14ac:dyDescent="0.3">
      <c r="A355" s="27"/>
      <c r="B355" s="1"/>
      <c r="D355" s="240"/>
      <c r="E355" s="240"/>
      <c r="H355" s="21"/>
      <c r="I355" s="396"/>
      <c r="J355" s="78"/>
      <c r="K355" s="78"/>
      <c r="L355" s="120"/>
      <c r="M355" s="120"/>
      <c r="N355" s="293"/>
      <c r="O355" s="120"/>
      <c r="P355" s="188"/>
      <c r="Q355" s="1"/>
    </row>
    <row r="356" spans="1:17" s="15" customFormat="1" x14ac:dyDescent="0.3">
      <c r="A356" s="27"/>
      <c r="B356" s="1"/>
      <c r="D356" s="240"/>
      <c r="E356" s="240"/>
      <c r="H356" s="21"/>
      <c r="I356" s="396"/>
      <c r="J356" s="78"/>
      <c r="K356" s="78"/>
      <c r="L356" s="120"/>
      <c r="M356" s="120"/>
      <c r="N356" s="293"/>
      <c r="O356" s="120"/>
      <c r="P356" s="188"/>
      <c r="Q356" s="1"/>
    </row>
    <row r="357" spans="1:17" s="15" customFormat="1" x14ac:dyDescent="0.3">
      <c r="A357" s="27"/>
      <c r="B357" s="1"/>
      <c r="D357" s="240"/>
      <c r="E357" s="240"/>
      <c r="H357" s="21"/>
      <c r="I357" s="396"/>
      <c r="J357" s="78"/>
      <c r="K357" s="78"/>
      <c r="L357" s="120"/>
      <c r="M357" s="120"/>
      <c r="N357" s="293"/>
      <c r="O357" s="120"/>
      <c r="P357" s="188"/>
      <c r="Q357" s="1"/>
    </row>
    <row r="358" spans="1:17" s="15" customFormat="1" x14ac:dyDescent="0.3">
      <c r="A358" s="27"/>
      <c r="B358" s="1"/>
      <c r="D358" s="240"/>
      <c r="E358" s="240"/>
      <c r="H358" s="21"/>
      <c r="I358" s="396"/>
      <c r="J358" s="78"/>
      <c r="K358" s="78"/>
      <c r="L358" s="120"/>
      <c r="M358" s="120"/>
      <c r="N358" s="293"/>
      <c r="O358" s="120"/>
      <c r="P358" s="188"/>
      <c r="Q358" s="1"/>
    </row>
    <row r="359" spans="1:17" s="15" customFormat="1" x14ac:dyDescent="0.3">
      <c r="A359" s="27"/>
      <c r="B359" s="1"/>
      <c r="D359" s="240"/>
      <c r="E359" s="240"/>
      <c r="H359" s="21"/>
      <c r="I359" s="396"/>
      <c r="J359" s="78"/>
      <c r="K359" s="78"/>
      <c r="L359" s="120"/>
      <c r="M359" s="120"/>
      <c r="N359" s="293"/>
      <c r="O359" s="120"/>
      <c r="P359" s="188"/>
      <c r="Q359" s="1"/>
    </row>
    <row r="360" spans="1:17" s="15" customFormat="1" x14ac:dyDescent="0.3">
      <c r="A360" s="27"/>
      <c r="B360" s="1"/>
      <c r="D360" s="240"/>
      <c r="E360" s="240"/>
      <c r="H360" s="21"/>
      <c r="I360" s="396"/>
      <c r="J360" s="78"/>
      <c r="K360" s="78"/>
      <c r="L360" s="120"/>
      <c r="M360" s="120"/>
      <c r="N360" s="293"/>
      <c r="O360" s="120"/>
      <c r="P360" s="188"/>
      <c r="Q360" s="1"/>
    </row>
    <row r="361" spans="1:17" s="15" customFormat="1" x14ac:dyDescent="0.3">
      <c r="A361" s="27"/>
      <c r="B361" s="1"/>
      <c r="D361" s="240"/>
      <c r="E361" s="240"/>
      <c r="H361" s="21"/>
      <c r="I361" s="396"/>
      <c r="J361" s="78"/>
      <c r="K361" s="78"/>
      <c r="L361" s="120"/>
      <c r="M361" s="120"/>
      <c r="N361" s="293"/>
      <c r="O361" s="120"/>
      <c r="P361" s="188"/>
      <c r="Q361" s="1"/>
    </row>
    <row r="362" spans="1:17" s="15" customFormat="1" x14ac:dyDescent="0.3">
      <c r="A362" s="27"/>
      <c r="B362" s="1"/>
      <c r="D362" s="240"/>
      <c r="E362" s="240"/>
      <c r="H362" s="21"/>
      <c r="I362" s="396"/>
      <c r="J362" s="78"/>
      <c r="K362" s="78"/>
      <c r="L362" s="120"/>
      <c r="M362" s="120"/>
      <c r="N362" s="293"/>
      <c r="O362" s="120"/>
      <c r="P362" s="188"/>
      <c r="Q362" s="1"/>
    </row>
    <row r="363" spans="1:17" s="15" customFormat="1" x14ac:dyDescent="0.3">
      <c r="A363" s="27"/>
      <c r="B363" s="1"/>
      <c r="D363" s="240"/>
      <c r="E363" s="240"/>
      <c r="H363" s="21"/>
      <c r="I363" s="396"/>
      <c r="J363" s="78"/>
      <c r="K363" s="78"/>
      <c r="L363" s="120"/>
      <c r="M363" s="120"/>
      <c r="N363" s="293"/>
      <c r="O363" s="120"/>
      <c r="P363" s="188"/>
      <c r="Q363" s="1"/>
    </row>
    <row r="364" spans="1:17" s="15" customFormat="1" x14ac:dyDescent="0.3">
      <c r="A364" s="27"/>
      <c r="B364" s="1"/>
      <c r="D364" s="240"/>
      <c r="E364" s="240"/>
      <c r="H364" s="21"/>
      <c r="I364" s="396"/>
      <c r="J364" s="78"/>
      <c r="K364" s="78"/>
      <c r="L364" s="120"/>
      <c r="M364" s="120"/>
      <c r="N364" s="293"/>
      <c r="O364" s="120"/>
      <c r="P364" s="188"/>
      <c r="Q364" s="1"/>
    </row>
    <row r="365" spans="1:17" s="15" customFormat="1" x14ac:dyDescent="0.3">
      <c r="A365" s="27"/>
      <c r="B365" s="1"/>
      <c r="D365" s="240"/>
      <c r="E365" s="240"/>
      <c r="H365" s="21"/>
      <c r="I365" s="396"/>
      <c r="J365" s="78"/>
      <c r="K365" s="78"/>
      <c r="L365" s="120"/>
      <c r="M365" s="120"/>
      <c r="N365" s="293"/>
      <c r="O365" s="120"/>
      <c r="P365" s="188"/>
      <c r="Q365" s="1"/>
    </row>
    <row r="366" spans="1:17" s="15" customFormat="1" x14ac:dyDescent="0.3">
      <c r="A366" s="27"/>
      <c r="B366" s="1"/>
      <c r="D366" s="240"/>
      <c r="E366" s="240"/>
      <c r="H366" s="21"/>
      <c r="I366" s="396"/>
      <c r="J366" s="78"/>
      <c r="K366" s="78"/>
      <c r="L366" s="120"/>
      <c r="M366" s="120"/>
      <c r="N366" s="293"/>
      <c r="O366" s="120"/>
      <c r="P366" s="188"/>
      <c r="Q366" s="1"/>
    </row>
    <row r="367" spans="1:17" s="15" customFormat="1" x14ac:dyDescent="0.3">
      <c r="A367" s="27"/>
      <c r="B367" s="1"/>
      <c r="D367" s="240"/>
      <c r="E367" s="240"/>
      <c r="H367" s="21"/>
      <c r="I367" s="396"/>
      <c r="J367" s="78"/>
      <c r="K367" s="78"/>
      <c r="L367" s="120"/>
      <c r="M367" s="120"/>
      <c r="N367" s="293"/>
      <c r="O367" s="120"/>
      <c r="P367" s="188"/>
      <c r="Q367" s="1"/>
    </row>
    <row r="368" spans="1:17" s="15" customFormat="1" x14ac:dyDescent="0.3">
      <c r="A368" s="27"/>
      <c r="B368" s="1"/>
      <c r="D368" s="240"/>
      <c r="E368" s="240"/>
      <c r="H368" s="21"/>
      <c r="I368" s="396"/>
      <c r="J368" s="78"/>
      <c r="K368" s="78"/>
      <c r="L368" s="120"/>
      <c r="M368" s="120"/>
      <c r="N368" s="293"/>
      <c r="O368" s="120"/>
      <c r="P368" s="188"/>
      <c r="Q368" s="1"/>
    </row>
    <row r="369" spans="1:17" s="15" customFormat="1" x14ac:dyDescent="0.3">
      <c r="A369" s="27"/>
      <c r="B369" s="1"/>
      <c r="D369" s="240"/>
      <c r="E369" s="240"/>
      <c r="H369" s="21"/>
      <c r="I369" s="396"/>
      <c r="J369" s="78"/>
      <c r="K369" s="78"/>
      <c r="L369" s="120"/>
      <c r="M369" s="120"/>
      <c r="N369" s="293"/>
      <c r="O369" s="120"/>
      <c r="P369" s="188"/>
      <c r="Q369" s="1"/>
    </row>
    <row r="370" spans="1:17" s="15" customFormat="1" x14ac:dyDescent="0.3">
      <c r="A370" s="27"/>
      <c r="B370" s="1"/>
      <c r="D370" s="240"/>
      <c r="E370" s="240"/>
      <c r="H370" s="21"/>
      <c r="I370" s="396"/>
      <c r="J370" s="78"/>
      <c r="K370" s="78"/>
      <c r="L370" s="120"/>
      <c r="M370" s="120"/>
      <c r="N370" s="293"/>
      <c r="O370" s="120"/>
      <c r="P370" s="188"/>
      <c r="Q370" s="1"/>
    </row>
    <row r="371" spans="1:17" s="15" customFormat="1" x14ac:dyDescent="0.3">
      <c r="A371" s="27"/>
      <c r="B371" s="1"/>
      <c r="D371" s="240"/>
      <c r="E371" s="240"/>
      <c r="H371" s="21"/>
      <c r="I371" s="396"/>
      <c r="J371" s="78"/>
      <c r="K371" s="78"/>
      <c r="L371" s="120"/>
      <c r="M371" s="120"/>
      <c r="N371" s="293"/>
      <c r="O371" s="120"/>
      <c r="P371" s="188"/>
      <c r="Q371" s="1"/>
    </row>
    <row r="372" spans="1:17" s="15" customFormat="1" x14ac:dyDescent="0.3">
      <c r="A372" s="27"/>
      <c r="B372" s="1"/>
      <c r="D372" s="240"/>
      <c r="E372" s="240"/>
      <c r="H372" s="21"/>
      <c r="I372" s="396"/>
      <c r="J372" s="78"/>
      <c r="K372" s="78"/>
      <c r="L372" s="120"/>
      <c r="M372" s="120"/>
      <c r="N372" s="293"/>
      <c r="O372" s="120"/>
      <c r="P372" s="188"/>
      <c r="Q372" s="1"/>
    </row>
    <row r="373" spans="1:17" s="15" customFormat="1" x14ac:dyDescent="0.3">
      <c r="A373" s="27"/>
      <c r="B373" s="1"/>
      <c r="D373" s="240"/>
      <c r="E373" s="240"/>
      <c r="H373" s="21"/>
      <c r="I373" s="396"/>
      <c r="J373" s="78"/>
      <c r="K373" s="78"/>
      <c r="L373" s="120"/>
      <c r="M373" s="120"/>
      <c r="N373" s="293"/>
      <c r="O373" s="120"/>
      <c r="P373" s="188"/>
      <c r="Q373" s="1"/>
    </row>
    <row r="374" spans="1:17" s="15" customFormat="1" x14ac:dyDescent="0.3">
      <c r="A374" s="27"/>
      <c r="B374" s="1"/>
      <c r="D374" s="240"/>
      <c r="E374" s="240"/>
      <c r="H374" s="21"/>
      <c r="I374" s="396"/>
      <c r="J374" s="78"/>
      <c r="K374" s="78"/>
      <c r="L374" s="120"/>
      <c r="M374" s="120"/>
      <c r="N374" s="293"/>
      <c r="O374" s="120"/>
      <c r="P374" s="188"/>
      <c r="Q374" s="1"/>
    </row>
    <row r="375" spans="1:17" s="15" customFormat="1" x14ac:dyDescent="0.3">
      <c r="A375" s="27"/>
      <c r="B375" s="1"/>
      <c r="D375" s="240"/>
      <c r="E375" s="240"/>
      <c r="H375" s="21"/>
      <c r="I375" s="396"/>
      <c r="J375" s="78"/>
      <c r="K375" s="78"/>
      <c r="L375" s="120"/>
      <c r="M375" s="120"/>
      <c r="N375" s="293"/>
      <c r="O375" s="120"/>
      <c r="P375" s="188"/>
      <c r="Q375" s="1"/>
    </row>
    <row r="376" spans="1:17" s="15" customFormat="1" x14ac:dyDescent="0.3">
      <c r="A376" s="27"/>
      <c r="B376" s="1"/>
      <c r="D376" s="240"/>
      <c r="E376" s="240"/>
      <c r="H376" s="21"/>
      <c r="I376" s="396"/>
      <c r="J376" s="78"/>
      <c r="K376" s="78"/>
      <c r="L376" s="120"/>
      <c r="M376" s="120"/>
      <c r="N376" s="293"/>
      <c r="O376" s="120"/>
      <c r="P376" s="188"/>
      <c r="Q376" s="1"/>
    </row>
    <row r="377" spans="1:17" s="15" customFormat="1" x14ac:dyDescent="0.3">
      <c r="A377" s="27"/>
      <c r="B377" s="1"/>
      <c r="D377" s="240"/>
      <c r="E377" s="240"/>
      <c r="H377" s="21"/>
      <c r="I377" s="396"/>
      <c r="J377" s="78"/>
      <c r="K377" s="78"/>
      <c r="L377" s="120"/>
      <c r="M377" s="120"/>
      <c r="N377" s="293"/>
      <c r="O377" s="120"/>
      <c r="P377" s="188"/>
      <c r="Q377" s="1"/>
    </row>
    <row r="378" spans="1:17" s="15" customFormat="1" x14ac:dyDescent="0.3">
      <c r="A378" s="27"/>
      <c r="B378" s="1"/>
      <c r="D378" s="240"/>
      <c r="E378" s="240"/>
      <c r="H378" s="21"/>
      <c r="I378" s="396"/>
      <c r="J378" s="78"/>
      <c r="K378" s="78"/>
      <c r="L378" s="120"/>
      <c r="M378" s="120"/>
      <c r="N378" s="293"/>
      <c r="O378" s="120"/>
      <c r="P378" s="188"/>
      <c r="Q378" s="1"/>
    </row>
    <row r="379" spans="1:17" s="15" customFormat="1" x14ac:dyDescent="0.3">
      <c r="A379" s="27"/>
      <c r="B379" s="1"/>
      <c r="D379" s="240"/>
      <c r="E379" s="240"/>
      <c r="H379" s="21"/>
      <c r="I379" s="396"/>
      <c r="J379" s="78"/>
      <c r="K379" s="78"/>
      <c r="L379" s="120"/>
      <c r="M379" s="120"/>
      <c r="N379" s="293"/>
      <c r="O379" s="120"/>
      <c r="P379" s="188"/>
      <c r="Q379" s="1"/>
    </row>
    <row r="380" spans="1:17" s="15" customFormat="1" x14ac:dyDescent="0.3">
      <c r="A380" s="27"/>
      <c r="B380" s="1"/>
      <c r="D380" s="240"/>
      <c r="E380" s="240"/>
      <c r="H380" s="21"/>
      <c r="I380" s="396"/>
      <c r="J380" s="78"/>
      <c r="K380" s="78"/>
      <c r="L380" s="120"/>
      <c r="M380" s="120"/>
      <c r="N380" s="293"/>
      <c r="O380" s="120"/>
      <c r="P380" s="188"/>
      <c r="Q380" s="1"/>
    </row>
    <row r="381" spans="1:17" s="15" customFormat="1" x14ac:dyDescent="0.3">
      <c r="A381" s="27"/>
      <c r="B381" s="1"/>
      <c r="D381" s="240"/>
      <c r="E381" s="240"/>
      <c r="H381" s="21"/>
      <c r="I381" s="396"/>
      <c r="J381" s="78"/>
      <c r="K381" s="78"/>
      <c r="L381" s="120"/>
      <c r="M381" s="120"/>
      <c r="N381" s="293"/>
      <c r="O381" s="120"/>
      <c r="P381" s="188"/>
      <c r="Q381" s="1"/>
    </row>
    <row r="382" spans="1:17" s="15" customFormat="1" x14ac:dyDescent="0.3">
      <c r="A382" s="27"/>
      <c r="B382" s="1"/>
      <c r="D382" s="240"/>
      <c r="E382" s="240"/>
      <c r="H382" s="21"/>
      <c r="I382" s="396"/>
      <c r="J382" s="78"/>
      <c r="K382" s="78"/>
      <c r="L382" s="120"/>
      <c r="M382" s="120"/>
      <c r="N382" s="293"/>
      <c r="O382" s="120"/>
      <c r="P382" s="188"/>
      <c r="Q382" s="1"/>
    </row>
    <row r="383" spans="1:17" s="15" customFormat="1" x14ac:dyDescent="0.3">
      <c r="A383" s="27"/>
      <c r="B383" s="1"/>
      <c r="D383" s="240"/>
      <c r="E383" s="240"/>
      <c r="H383" s="21"/>
      <c r="I383" s="396"/>
      <c r="J383" s="78"/>
      <c r="K383" s="78"/>
      <c r="L383" s="120"/>
      <c r="M383" s="120"/>
      <c r="N383" s="293"/>
      <c r="O383" s="120"/>
      <c r="P383" s="188"/>
      <c r="Q383" s="1"/>
    </row>
    <row r="384" spans="1:17" s="15" customFormat="1" x14ac:dyDescent="0.3">
      <c r="A384" s="27"/>
      <c r="B384" s="1"/>
      <c r="D384" s="240"/>
      <c r="E384" s="240"/>
      <c r="H384" s="21"/>
      <c r="I384" s="396"/>
      <c r="J384" s="78"/>
      <c r="K384" s="78"/>
      <c r="L384" s="120"/>
      <c r="M384" s="120"/>
      <c r="N384" s="293"/>
      <c r="O384" s="120"/>
      <c r="P384" s="188"/>
      <c r="Q384" s="1"/>
    </row>
    <row r="385" spans="1:17" s="15" customFormat="1" x14ac:dyDescent="0.3">
      <c r="A385" s="27"/>
      <c r="B385" s="1"/>
      <c r="D385" s="240"/>
      <c r="E385" s="240"/>
      <c r="H385" s="21"/>
      <c r="I385" s="396"/>
      <c r="J385" s="78"/>
      <c r="K385" s="78"/>
      <c r="L385" s="120"/>
      <c r="M385" s="120"/>
      <c r="N385" s="293"/>
      <c r="O385" s="120"/>
      <c r="P385" s="188"/>
      <c r="Q385" s="1"/>
    </row>
    <row r="386" spans="1:17" s="15" customFormat="1" x14ac:dyDescent="0.3">
      <c r="A386" s="27"/>
      <c r="B386" s="1"/>
      <c r="D386" s="240"/>
      <c r="E386" s="240"/>
      <c r="H386" s="21"/>
      <c r="I386" s="396"/>
      <c r="J386" s="78"/>
      <c r="K386" s="78"/>
      <c r="L386" s="120"/>
      <c r="M386" s="120"/>
      <c r="N386" s="293"/>
      <c r="O386" s="120"/>
      <c r="P386" s="188"/>
      <c r="Q386" s="1"/>
    </row>
    <row r="387" spans="1:17" s="15" customFormat="1" x14ac:dyDescent="0.3">
      <c r="A387" s="27"/>
      <c r="B387" s="1"/>
      <c r="D387" s="240"/>
      <c r="E387" s="240"/>
      <c r="H387" s="21"/>
      <c r="I387" s="396"/>
      <c r="J387" s="78"/>
      <c r="K387" s="78"/>
      <c r="L387" s="120"/>
      <c r="M387" s="120"/>
      <c r="N387" s="293"/>
      <c r="O387" s="120"/>
      <c r="P387" s="188"/>
      <c r="Q387" s="1"/>
    </row>
    <row r="388" spans="1:17" s="15" customFormat="1" x14ac:dyDescent="0.3">
      <c r="A388" s="27"/>
      <c r="B388" s="1"/>
      <c r="D388" s="240"/>
      <c r="E388" s="240"/>
      <c r="H388" s="21"/>
      <c r="I388" s="396"/>
      <c r="J388" s="78"/>
      <c r="K388" s="78"/>
      <c r="L388" s="120"/>
      <c r="M388" s="120"/>
      <c r="N388" s="293"/>
      <c r="O388" s="120"/>
      <c r="P388" s="188"/>
      <c r="Q388" s="1"/>
    </row>
    <row r="389" spans="1:17" s="15" customFormat="1" x14ac:dyDescent="0.3">
      <c r="A389" s="27"/>
      <c r="B389" s="1"/>
      <c r="D389" s="240"/>
      <c r="E389" s="240"/>
      <c r="H389" s="21"/>
      <c r="I389" s="396"/>
      <c r="J389" s="78"/>
      <c r="K389" s="78"/>
      <c r="L389" s="120"/>
      <c r="M389" s="120"/>
      <c r="N389" s="293"/>
      <c r="O389" s="120"/>
      <c r="P389" s="188"/>
      <c r="Q389" s="1"/>
    </row>
    <row r="390" spans="1:17" s="15" customFormat="1" x14ac:dyDescent="0.3">
      <c r="A390" s="27"/>
      <c r="B390" s="1"/>
      <c r="D390" s="240"/>
      <c r="E390" s="240"/>
      <c r="H390" s="21"/>
      <c r="I390" s="396"/>
      <c r="J390" s="78"/>
      <c r="K390" s="78"/>
      <c r="L390" s="120"/>
      <c r="M390" s="120"/>
      <c r="N390" s="293"/>
      <c r="O390" s="120"/>
      <c r="P390" s="188"/>
      <c r="Q390" s="1"/>
    </row>
    <row r="391" spans="1:17" s="15" customFormat="1" x14ac:dyDescent="0.3">
      <c r="A391" s="27"/>
      <c r="B391" s="1"/>
      <c r="D391" s="240"/>
      <c r="E391" s="240"/>
      <c r="H391" s="21"/>
      <c r="I391" s="396"/>
      <c r="J391" s="78"/>
      <c r="K391" s="78"/>
      <c r="L391" s="120"/>
      <c r="M391" s="120"/>
      <c r="N391" s="293"/>
      <c r="O391" s="120"/>
      <c r="P391" s="188"/>
      <c r="Q391" s="1"/>
    </row>
    <row r="392" spans="1:17" s="15" customFormat="1" x14ac:dyDescent="0.3">
      <c r="A392" s="27"/>
      <c r="B392" s="1"/>
      <c r="D392" s="240"/>
      <c r="E392" s="240"/>
      <c r="H392" s="21"/>
      <c r="I392" s="396"/>
      <c r="J392" s="78"/>
      <c r="K392" s="78"/>
      <c r="L392" s="120"/>
      <c r="M392" s="120"/>
      <c r="N392" s="293"/>
      <c r="O392" s="120"/>
      <c r="P392" s="188"/>
      <c r="Q392" s="1"/>
    </row>
    <row r="393" spans="1:17" s="15" customFormat="1" x14ac:dyDescent="0.3">
      <c r="A393" s="27"/>
      <c r="B393" s="1"/>
      <c r="D393" s="240"/>
      <c r="E393" s="240"/>
      <c r="H393" s="21"/>
      <c r="I393" s="396"/>
      <c r="J393" s="78"/>
      <c r="K393" s="78"/>
      <c r="L393" s="120"/>
      <c r="M393" s="120"/>
      <c r="N393" s="293"/>
      <c r="O393" s="120"/>
      <c r="P393" s="188"/>
      <c r="Q393" s="1"/>
    </row>
    <row r="394" spans="1:17" s="15" customFormat="1" x14ac:dyDescent="0.3">
      <c r="A394" s="27"/>
      <c r="B394" s="1"/>
      <c r="D394" s="240"/>
      <c r="E394" s="240"/>
      <c r="H394" s="21"/>
      <c r="I394" s="396"/>
      <c r="J394" s="78"/>
      <c r="K394" s="78"/>
      <c r="L394" s="120"/>
      <c r="M394" s="120"/>
      <c r="N394" s="293"/>
      <c r="O394" s="120"/>
      <c r="P394" s="188"/>
      <c r="Q394" s="1"/>
    </row>
    <row r="395" spans="1:17" s="15" customFormat="1" x14ac:dyDescent="0.3">
      <c r="A395" s="27"/>
      <c r="B395" s="1"/>
      <c r="D395" s="240"/>
      <c r="E395" s="240"/>
      <c r="H395" s="21"/>
      <c r="I395" s="396"/>
      <c r="J395" s="78"/>
      <c r="K395" s="78"/>
      <c r="L395" s="120"/>
      <c r="M395" s="120"/>
      <c r="N395" s="293"/>
      <c r="O395" s="120"/>
      <c r="P395" s="188"/>
      <c r="Q395" s="1"/>
    </row>
    <row r="396" spans="1:17" s="15" customFormat="1" x14ac:dyDescent="0.3">
      <c r="A396" s="27"/>
      <c r="B396" s="1"/>
      <c r="D396" s="240"/>
      <c r="E396" s="240"/>
      <c r="H396" s="21"/>
      <c r="I396" s="396"/>
      <c r="J396" s="78"/>
      <c r="K396" s="78"/>
      <c r="L396" s="120"/>
      <c r="M396" s="120"/>
      <c r="N396" s="293"/>
      <c r="O396" s="120"/>
      <c r="P396" s="188"/>
      <c r="Q396" s="1"/>
    </row>
    <row r="397" spans="1:17" s="15" customFormat="1" x14ac:dyDescent="0.3">
      <c r="A397" s="27"/>
      <c r="B397" s="1"/>
      <c r="D397" s="240"/>
      <c r="E397" s="240"/>
      <c r="H397" s="21"/>
      <c r="I397" s="396"/>
      <c r="J397" s="78"/>
      <c r="K397" s="78"/>
      <c r="L397" s="120"/>
      <c r="M397" s="120"/>
      <c r="N397" s="293"/>
      <c r="O397" s="120"/>
      <c r="P397" s="188"/>
      <c r="Q397" s="1"/>
    </row>
    <row r="398" spans="1:17" s="15" customFormat="1" x14ac:dyDescent="0.3">
      <c r="A398" s="27"/>
      <c r="B398" s="1"/>
      <c r="D398" s="240"/>
      <c r="E398" s="240"/>
      <c r="H398" s="21"/>
      <c r="I398" s="396"/>
      <c r="J398" s="78"/>
      <c r="K398" s="78"/>
      <c r="L398" s="120"/>
      <c r="M398" s="120"/>
      <c r="N398" s="293"/>
      <c r="O398" s="120"/>
      <c r="P398" s="188"/>
      <c r="Q398" s="1"/>
    </row>
    <row r="399" spans="1:17" s="15" customFormat="1" x14ac:dyDescent="0.3">
      <c r="A399" s="27"/>
      <c r="B399" s="1"/>
      <c r="D399" s="240"/>
      <c r="E399" s="240"/>
      <c r="H399" s="21"/>
      <c r="I399" s="396"/>
      <c r="J399" s="78"/>
      <c r="K399" s="78"/>
      <c r="L399" s="120"/>
      <c r="M399" s="120"/>
      <c r="N399" s="293"/>
      <c r="O399" s="120"/>
      <c r="P399" s="188"/>
      <c r="Q399" s="1"/>
    </row>
    <row r="400" spans="1:17" s="15" customFormat="1" x14ac:dyDescent="0.3">
      <c r="A400" s="27"/>
      <c r="B400" s="1"/>
      <c r="D400" s="240"/>
      <c r="E400" s="240"/>
      <c r="H400" s="21"/>
      <c r="I400" s="396"/>
      <c r="J400" s="78"/>
      <c r="K400" s="78"/>
      <c r="L400" s="120"/>
      <c r="M400" s="120"/>
      <c r="N400" s="293"/>
      <c r="O400" s="120"/>
      <c r="P400" s="188"/>
      <c r="Q400" s="1"/>
    </row>
    <row r="401" spans="1:17" s="15" customFormat="1" x14ac:dyDescent="0.3">
      <c r="A401" s="27"/>
      <c r="B401" s="1"/>
      <c r="D401" s="240"/>
      <c r="E401" s="240"/>
      <c r="H401" s="21"/>
      <c r="I401" s="396"/>
      <c r="J401" s="78"/>
      <c r="K401" s="78"/>
      <c r="L401" s="120"/>
      <c r="M401" s="120"/>
      <c r="N401" s="293"/>
      <c r="O401" s="120"/>
      <c r="P401" s="188"/>
      <c r="Q401" s="1"/>
    </row>
    <row r="402" spans="1:17" s="15" customFormat="1" x14ac:dyDescent="0.3">
      <c r="A402" s="27"/>
      <c r="B402" s="1"/>
      <c r="D402" s="240"/>
      <c r="E402" s="240"/>
      <c r="H402" s="21"/>
      <c r="I402" s="396"/>
      <c r="J402" s="78"/>
      <c r="K402" s="78"/>
      <c r="L402" s="120"/>
      <c r="M402" s="120"/>
      <c r="N402" s="293"/>
      <c r="O402" s="120"/>
      <c r="P402" s="188"/>
      <c r="Q402" s="1"/>
    </row>
    <row r="403" spans="1:17" s="15" customFormat="1" x14ac:dyDescent="0.3">
      <c r="A403" s="27"/>
      <c r="B403" s="1"/>
      <c r="D403" s="240"/>
      <c r="E403" s="240"/>
      <c r="H403" s="21"/>
      <c r="I403" s="396"/>
      <c r="J403" s="78"/>
      <c r="K403" s="78"/>
      <c r="L403" s="120"/>
      <c r="M403" s="120"/>
      <c r="N403" s="293"/>
      <c r="O403" s="120"/>
      <c r="P403" s="188"/>
      <c r="Q403" s="1"/>
    </row>
    <row r="404" spans="1:17" s="15" customFormat="1" x14ac:dyDescent="0.3">
      <c r="A404" s="27"/>
      <c r="B404" s="1"/>
      <c r="D404" s="240"/>
      <c r="E404" s="240"/>
      <c r="H404" s="21"/>
      <c r="I404" s="396"/>
      <c r="J404" s="78"/>
      <c r="K404" s="78"/>
      <c r="L404" s="120"/>
      <c r="M404" s="120"/>
      <c r="N404" s="293"/>
      <c r="O404" s="120"/>
      <c r="P404" s="188"/>
      <c r="Q404" s="1"/>
    </row>
    <row r="405" spans="1:17" s="15" customFormat="1" x14ac:dyDescent="0.3">
      <c r="A405" s="27"/>
      <c r="B405" s="1"/>
      <c r="D405" s="240"/>
      <c r="E405" s="240"/>
      <c r="H405" s="21"/>
      <c r="I405" s="396"/>
      <c r="J405" s="78"/>
      <c r="K405" s="78"/>
      <c r="L405" s="120"/>
      <c r="M405" s="120"/>
      <c r="N405" s="293"/>
      <c r="O405" s="120"/>
      <c r="P405" s="188"/>
      <c r="Q405" s="1"/>
    </row>
    <row r="406" spans="1:17" s="15" customFormat="1" x14ac:dyDescent="0.3">
      <c r="A406" s="27"/>
      <c r="B406" s="1"/>
      <c r="D406" s="240"/>
      <c r="E406" s="240"/>
      <c r="H406" s="21"/>
      <c r="I406" s="396"/>
      <c r="J406" s="78"/>
      <c r="K406" s="78"/>
      <c r="L406" s="120"/>
      <c r="M406" s="120"/>
      <c r="N406" s="293"/>
      <c r="O406" s="120"/>
      <c r="P406" s="188"/>
      <c r="Q406" s="1"/>
    </row>
    <row r="407" spans="1:17" s="15" customFormat="1" x14ac:dyDescent="0.3">
      <c r="A407" s="27"/>
      <c r="B407" s="1"/>
      <c r="D407" s="240"/>
      <c r="E407" s="240"/>
      <c r="H407" s="21"/>
      <c r="I407" s="396"/>
      <c r="J407" s="78"/>
      <c r="K407" s="78"/>
      <c r="L407" s="120"/>
      <c r="M407" s="120"/>
      <c r="N407" s="293"/>
      <c r="O407" s="120"/>
      <c r="P407" s="188"/>
      <c r="Q407" s="1"/>
    </row>
    <row r="408" spans="1:17" s="15" customFormat="1" x14ac:dyDescent="0.3">
      <c r="A408" s="27"/>
      <c r="B408" s="1"/>
      <c r="D408" s="240"/>
      <c r="E408" s="240"/>
      <c r="H408" s="21"/>
      <c r="I408" s="396"/>
      <c r="J408" s="78"/>
      <c r="K408" s="78"/>
      <c r="L408" s="120"/>
      <c r="M408" s="120"/>
      <c r="N408" s="293"/>
      <c r="O408" s="120"/>
      <c r="P408" s="188"/>
      <c r="Q408" s="1"/>
    </row>
    <row r="409" spans="1:17" s="15" customFormat="1" x14ac:dyDescent="0.3">
      <c r="A409" s="27"/>
      <c r="B409" s="1"/>
      <c r="D409" s="240"/>
      <c r="E409" s="240"/>
      <c r="H409" s="21"/>
      <c r="I409" s="396"/>
      <c r="J409" s="78"/>
      <c r="K409" s="78"/>
      <c r="L409" s="120"/>
      <c r="M409" s="120"/>
      <c r="N409" s="293"/>
      <c r="O409" s="120"/>
      <c r="P409" s="188"/>
      <c r="Q409" s="1"/>
    </row>
    <row r="410" spans="1:17" s="15" customFormat="1" x14ac:dyDescent="0.3">
      <c r="A410" s="27"/>
      <c r="B410" s="1"/>
      <c r="D410" s="240"/>
      <c r="E410" s="240"/>
      <c r="H410" s="21"/>
      <c r="I410" s="396"/>
      <c r="J410" s="78"/>
      <c r="K410" s="78"/>
      <c r="L410" s="120"/>
      <c r="M410" s="120"/>
      <c r="N410" s="293"/>
      <c r="O410" s="120"/>
      <c r="P410" s="188"/>
      <c r="Q410" s="1"/>
    </row>
    <row r="411" spans="1:17" s="15" customFormat="1" x14ac:dyDescent="0.3">
      <c r="A411" s="27"/>
      <c r="B411" s="1"/>
      <c r="D411" s="240"/>
      <c r="E411" s="240"/>
      <c r="H411" s="21"/>
      <c r="I411" s="396"/>
      <c r="J411" s="78"/>
      <c r="K411" s="78"/>
      <c r="L411" s="120"/>
      <c r="M411" s="120"/>
      <c r="N411" s="293"/>
      <c r="O411" s="120"/>
      <c r="P411" s="188"/>
      <c r="Q411" s="1"/>
    </row>
    <row r="412" spans="1:17" s="15" customFormat="1" x14ac:dyDescent="0.3">
      <c r="A412" s="27"/>
      <c r="B412" s="1"/>
      <c r="D412" s="240"/>
      <c r="E412" s="240"/>
      <c r="H412" s="21"/>
      <c r="I412" s="396"/>
      <c r="J412" s="78"/>
      <c r="K412" s="78"/>
      <c r="L412" s="120"/>
      <c r="M412" s="120"/>
      <c r="N412" s="293"/>
      <c r="O412" s="120"/>
      <c r="P412" s="188"/>
      <c r="Q412" s="1"/>
    </row>
    <row r="413" spans="1:17" s="15" customFormat="1" x14ac:dyDescent="0.3">
      <c r="A413" s="27"/>
      <c r="B413" s="1"/>
      <c r="D413" s="240"/>
      <c r="E413" s="240"/>
      <c r="H413" s="21"/>
      <c r="I413" s="396"/>
      <c r="J413" s="78"/>
      <c r="K413" s="78"/>
      <c r="L413" s="120"/>
      <c r="M413" s="120"/>
      <c r="N413" s="293"/>
      <c r="O413" s="120"/>
      <c r="P413" s="188"/>
      <c r="Q413" s="1"/>
    </row>
    <row r="414" spans="1:17" s="15" customFormat="1" x14ac:dyDescent="0.3">
      <c r="A414" s="27"/>
      <c r="B414" s="1"/>
      <c r="D414" s="240"/>
      <c r="E414" s="240"/>
      <c r="H414" s="21"/>
      <c r="I414" s="396"/>
      <c r="J414" s="78"/>
      <c r="K414" s="78"/>
      <c r="L414" s="120"/>
      <c r="M414" s="120"/>
      <c r="N414" s="293"/>
      <c r="O414" s="120"/>
      <c r="P414" s="188"/>
      <c r="Q414" s="1"/>
    </row>
    <row r="415" spans="1:17" s="15" customFormat="1" x14ac:dyDescent="0.3">
      <c r="A415" s="27"/>
      <c r="B415" s="1"/>
      <c r="D415" s="240"/>
      <c r="E415" s="240"/>
      <c r="H415" s="21"/>
      <c r="I415" s="396"/>
      <c r="J415" s="78"/>
      <c r="K415" s="78"/>
      <c r="L415" s="120"/>
      <c r="M415" s="120"/>
      <c r="N415" s="293"/>
      <c r="O415" s="120"/>
      <c r="P415" s="188"/>
      <c r="Q415" s="1"/>
    </row>
    <row r="416" spans="1:17" s="15" customFormat="1" x14ac:dyDescent="0.3">
      <c r="A416" s="27"/>
      <c r="B416" s="1"/>
      <c r="D416" s="240"/>
      <c r="E416" s="240"/>
      <c r="H416" s="21"/>
      <c r="I416" s="396"/>
      <c r="J416" s="78"/>
      <c r="K416" s="78"/>
      <c r="L416" s="120"/>
      <c r="M416" s="120"/>
      <c r="N416" s="293"/>
      <c r="O416" s="120"/>
      <c r="P416" s="188"/>
      <c r="Q416" s="1"/>
    </row>
    <row r="417" spans="1:17" s="15" customFormat="1" x14ac:dyDescent="0.3">
      <c r="A417" s="27"/>
      <c r="B417" s="1"/>
      <c r="D417" s="240"/>
      <c r="E417" s="240"/>
      <c r="H417" s="21"/>
      <c r="I417" s="396"/>
      <c r="J417" s="78"/>
      <c r="K417" s="78"/>
      <c r="L417" s="120"/>
      <c r="M417" s="120"/>
      <c r="N417" s="293"/>
      <c r="O417" s="120"/>
      <c r="P417" s="188"/>
      <c r="Q417" s="1"/>
    </row>
    <row r="418" spans="1:17" s="15" customFormat="1" x14ac:dyDescent="0.3">
      <c r="A418" s="27"/>
      <c r="B418" s="1"/>
      <c r="D418" s="240"/>
      <c r="E418" s="240"/>
      <c r="H418" s="21"/>
      <c r="I418" s="396"/>
      <c r="J418" s="78"/>
      <c r="K418" s="78"/>
      <c r="L418" s="120"/>
      <c r="M418" s="120"/>
      <c r="N418" s="293"/>
      <c r="O418" s="120"/>
      <c r="P418" s="188"/>
      <c r="Q418" s="1"/>
    </row>
    <row r="419" spans="1:17" s="15" customFormat="1" x14ac:dyDescent="0.3">
      <c r="A419" s="27"/>
      <c r="B419" s="1"/>
      <c r="D419" s="240"/>
      <c r="E419" s="240"/>
      <c r="H419" s="21"/>
      <c r="I419" s="396"/>
      <c r="J419" s="78"/>
      <c r="K419" s="78"/>
      <c r="L419" s="120"/>
      <c r="M419" s="120"/>
      <c r="N419" s="293"/>
      <c r="O419" s="120"/>
      <c r="P419" s="188"/>
      <c r="Q419" s="1"/>
    </row>
    <row r="420" spans="1:17" s="15" customFormat="1" x14ac:dyDescent="0.3">
      <c r="A420" s="27"/>
      <c r="B420" s="1"/>
      <c r="D420" s="240"/>
      <c r="E420" s="240"/>
      <c r="H420" s="21"/>
      <c r="I420" s="396"/>
      <c r="J420" s="78"/>
      <c r="K420" s="78"/>
      <c r="L420" s="120"/>
      <c r="M420" s="120"/>
      <c r="N420" s="293"/>
      <c r="O420" s="120"/>
      <c r="P420" s="188"/>
      <c r="Q420" s="1"/>
    </row>
    <row r="421" spans="1:17" s="15" customFormat="1" x14ac:dyDescent="0.3">
      <c r="A421" s="27"/>
      <c r="B421" s="1"/>
      <c r="D421" s="240"/>
      <c r="E421" s="240"/>
      <c r="H421" s="21"/>
      <c r="I421" s="396"/>
      <c r="J421" s="78"/>
      <c r="K421" s="78"/>
      <c r="L421" s="120"/>
      <c r="M421" s="120"/>
      <c r="N421" s="293"/>
      <c r="O421" s="120"/>
      <c r="P421" s="188"/>
      <c r="Q421" s="1"/>
    </row>
    <row r="422" spans="1:17" s="15" customFormat="1" x14ac:dyDescent="0.3">
      <c r="A422" s="27"/>
      <c r="B422" s="1"/>
      <c r="D422" s="240"/>
      <c r="E422" s="240"/>
      <c r="H422" s="21"/>
      <c r="I422" s="396"/>
      <c r="J422" s="78"/>
      <c r="K422" s="78"/>
      <c r="L422" s="120"/>
      <c r="M422" s="120"/>
      <c r="N422" s="293"/>
      <c r="O422" s="120"/>
      <c r="P422" s="188"/>
      <c r="Q422" s="1"/>
    </row>
    <row r="423" spans="1:17" s="15" customFormat="1" x14ac:dyDescent="0.3">
      <c r="A423" s="27"/>
      <c r="B423" s="1"/>
      <c r="D423" s="240"/>
      <c r="E423" s="240"/>
      <c r="H423" s="21"/>
      <c r="I423" s="396"/>
      <c r="J423" s="78"/>
      <c r="K423" s="78"/>
      <c r="L423" s="120"/>
      <c r="M423" s="120"/>
      <c r="N423" s="293"/>
      <c r="O423" s="120"/>
      <c r="P423" s="188"/>
      <c r="Q423" s="1"/>
    </row>
    <row r="424" spans="1:17" s="15" customFormat="1" x14ac:dyDescent="0.3">
      <c r="A424" s="27"/>
      <c r="B424" s="1"/>
      <c r="D424" s="240"/>
      <c r="E424" s="240"/>
      <c r="H424" s="21"/>
      <c r="I424" s="396"/>
      <c r="J424" s="78"/>
      <c r="K424" s="78"/>
      <c r="L424" s="120"/>
      <c r="M424" s="120"/>
      <c r="N424" s="293"/>
      <c r="O424" s="120"/>
      <c r="P424" s="188"/>
      <c r="Q424" s="1"/>
    </row>
    <row r="425" spans="1:17" s="15" customFormat="1" x14ac:dyDescent="0.3">
      <c r="A425" s="27"/>
      <c r="B425" s="1"/>
      <c r="D425" s="240"/>
      <c r="E425" s="240"/>
      <c r="H425" s="21"/>
      <c r="I425" s="396"/>
      <c r="J425" s="78"/>
      <c r="K425" s="78"/>
      <c r="L425" s="120"/>
      <c r="M425" s="120"/>
      <c r="N425" s="293"/>
      <c r="O425" s="120"/>
      <c r="P425" s="188"/>
      <c r="Q425" s="1"/>
    </row>
    <row r="426" spans="1:17" s="15" customFormat="1" x14ac:dyDescent="0.3">
      <c r="A426" s="27"/>
      <c r="B426" s="1"/>
      <c r="D426" s="240"/>
      <c r="E426" s="240"/>
      <c r="H426" s="21"/>
      <c r="I426" s="396"/>
      <c r="J426" s="78"/>
      <c r="K426" s="78"/>
      <c r="L426" s="120"/>
      <c r="M426" s="120"/>
      <c r="N426" s="293"/>
      <c r="O426" s="120"/>
      <c r="P426" s="188"/>
      <c r="Q426" s="1"/>
    </row>
    <row r="427" spans="1:17" s="15" customFormat="1" x14ac:dyDescent="0.3">
      <c r="A427" s="27"/>
      <c r="B427" s="1"/>
      <c r="D427" s="240"/>
      <c r="E427" s="240"/>
      <c r="H427" s="21"/>
      <c r="I427" s="396"/>
      <c r="J427" s="78"/>
      <c r="K427" s="78"/>
      <c r="L427" s="120"/>
      <c r="M427" s="120"/>
      <c r="N427" s="293"/>
      <c r="O427" s="120"/>
      <c r="P427" s="188"/>
      <c r="Q427" s="1"/>
    </row>
    <row r="428" spans="1:17" s="15" customFormat="1" x14ac:dyDescent="0.3">
      <c r="A428" s="27"/>
      <c r="B428" s="1"/>
      <c r="D428" s="240"/>
      <c r="E428" s="240"/>
      <c r="H428" s="21"/>
      <c r="I428" s="396"/>
      <c r="J428" s="78"/>
      <c r="K428" s="78"/>
      <c r="L428" s="120"/>
      <c r="M428" s="120"/>
      <c r="N428" s="293"/>
      <c r="O428" s="120"/>
      <c r="P428" s="188"/>
      <c r="Q428" s="1"/>
    </row>
    <row r="429" spans="1:17" s="15" customFormat="1" x14ac:dyDescent="0.3">
      <c r="A429" s="27"/>
      <c r="B429" s="1"/>
      <c r="D429" s="240"/>
      <c r="E429" s="240"/>
      <c r="H429" s="21"/>
      <c r="I429" s="396"/>
      <c r="J429" s="78"/>
      <c r="K429" s="78"/>
      <c r="L429" s="120"/>
      <c r="M429" s="120"/>
      <c r="N429" s="293"/>
      <c r="O429" s="120"/>
      <c r="P429" s="188"/>
      <c r="Q429" s="1"/>
    </row>
    <row r="430" spans="1:17" s="15" customFormat="1" x14ac:dyDescent="0.3">
      <c r="A430" s="27"/>
      <c r="B430" s="1"/>
      <c r="D430" s="240"/>
      <c r="E430" s="240"/>
      <c r="H430" s="21"/>
      <c r="I430" s="396"/>
      <c r="J430" s="78"/>
      <c r="K430" s="78"/>
      <c r="L430" s="120"/>
      <c r="M430" s="120"/>
      <c r="N430" s="293"/>
      <c r="O430" s="120"/>
      <c r="P430" s="188"/>
      <c r="Q430" s="1"/>
    </row>
    <row r="431" spans="1:17" s="15" customFormat="1" x14ac:dyDescent="0.3">
      <c r="A431" s="27"/>
      <c r="B431" s="1"/>
      <c r="D431" s="240"/>
      <c r="E431" s="240"/>
      <c r="H431" s="21"/>
      <c r="I431" s="396"/>
      <c r="J431" s="78"/>
      <c r="K431" s="78"/>
      <c r="L431" s="120"/>
      <c r="M431" s="120"/>
      <c r="N431" s="293"/>
      <c r="O431" s="120"/>
      <c r="P431" s="188"/>
      <c r="Q431" s="1"/>
    </row>
    <row r="432" spans="1:17" s="15" customFormat="1" x14ac:dyDescent="0.3">
      <c r="A432" s="27"/>
      <c r="B432" s="1"/>
      <c r="D432" s="240"/>
      <c r="E432" s="240"/>
      <c r="H432" s="21"/>
      <c r="I432" s="396"/>
      <c r="J432" s="78"/>
      <c r="K432" s="78"/>
      <c r="L432" s="120"/>
      <c r="M432" s="120"/>
      <c r="N432" s="293"/>
      <c r="O432" s="120"/>
      <c r="P432" s="188"/>
      <c r="Q432" s="1"/>
    </row>
    <row r="433" spans="1:17" s="15" customFormat="1" x14ac:dyDescent="0.3">
      <c r="A433" s="27"/>
      <c r="B433" s="1"/>
      <c r="D433" s="240"/>
      <c r="E433" s="240"/>
      <c r="H433" s="21"/>
      <c r="I433" s="396"/>
      <c r="J433" s="78"/>
      <c r="K433" s="78"/>
      <c r="L433" s="120"/>
      <c r="M433" s="120"/>
      <c r="N433" s="293"/>
      <c r="O433" s="120"/>
      <c r="P433" s="188"/>
      <c r="Q433" s="1"/>
    </row>
    <row r="434" spans="1:17" s="15" customFormat="1" x14ac:dyDescent="0.3">
      <c r="A434" s="27"/>
      <c r="B434" s="1"/>
      <c r="D434" s="240"/>
      <c r="E434" s="240"/>
      <c r="H434" s="21"/>
      <c r="I434" s="396"/>
      <c r="J434" s="78"/>
      <c r="K434" s="78"/>
      <c r="L434" s="120"/>
      <c r="M434" s="120"/>
      <c r="N434" s="293"/>
      <c r="O434" s="120"/>
      <c r="P434" s="188"/>
      <c r="Q434" s="1"/>
    </row>
    <row r="435" spans="1:17" s="15" customFormat="1" x14ac:dyDescent="0.3">
      <c r="A435" s="27"/>
      <c r="B435" s="1"/>
      <c r="D435" s="240"/>
      <c r="E435" s="240"/>
      <c r="H435" s="21"/>
      <c r="I435" s="396"/>
      <c r="J435" s="78"/>
      <c r="K435" s="78"/>
      <c r="L435" s="120"/>
      <c r="M435" s="120"/>
      <c r="N435" s="293"/>
      <c r="O435" s="120"/>
      <c r="P435" s="188"/>
      <c r="Q435" s="1"/>
    </row>
    <row r="436" spans="1:17" s="15" customFormat="1" x14ac:dyDescent="0.3">
      <c r="A436" s="27"/>
      <c r="B436" s="1"/>
      <c r="D436" s="240"/>
      <c r="E436" s="240"/>
      <c r="H436" s="21"/>
      <c r="I436" s="396"/>
      <c r="J436" s="78"/>
      <c r="K436" s="78"/>
      <c r="L436" s="120"/>
      <c r="M436" s="120"/>
      <c r="N436" s="293"/>
      <c r="O436" s="120"/>
      <c r="P436" s="188"/>
      <c r="Q436" s="1"/>
    </row>
    <row r="437" spans="1:17" s="15" customFormat="1" x14ac:dyDescent="0.3">
      <c r="A437" s="27"/>
      <c r="B437" s="1"/>
      <c r="D437" s="240"/>
      <c r="E437" s="240"/>
      <c r="H437" s="21"/>
      <c r="I437" s="396"/>
      <c r="J437" s="78"/>
      <c r="K437" s="78"/>
      <c r="L437" s="120"/>
      <c r="M437" s="120"/>
      <c r="N437" s="293"/>
      <c r="O437" s="120"/>
      <c r="P437" s="188"/>
      <c r="Q437" s="1"/>
    </row>
    <row r="438" spans="1:17" s="15" customFormat="1" x14ac:dyDescent="0.3">
      <c r="A438" s="27"/>
      <c r="B438" s="1"/>
      <c r="D438" s="240"/>
      <c r="E438" s="240"/>
      <c r="H438" s="21"/>
      <c r="I438" s="396"/>
      <c r="J438" s="78"/>
      <c r="K438" s="78"/>
      <c r="L438" s="120"/>
      <c r="M438" s="120"/>
      <c r="N438" s="293"/>
      <c r="O438" s="120"/>
      <c r="P438" s="188"/>
      <c r="Q438" s="1"/>
    </row>
    <row r="439" spans="1:17" s="15" customFormat="1" x14ac:dyDescent="0.3">
      <c r="A439" s="27"/>
      <c r="B439" s="1"/>
      <c r="D439" s="240"/>
      <c r="E439" s="240"/>
      <c r="H439" s="21"/>
      <c r="I439" s="396"/>
      <c r="J439" s="78"/>
      <c r="K439" s="78"/>
      <c r="L439" s="120"/>
      <c r="M439" s="120"/>
      <c r="N439" s="293"/>
      <c r="O439" s="120"/>
      <c r="P439" s="188"/>
      <c r="Q439" s="1"/>
    </row>
    <row r="440" spans="1:17" s="15" customFormat="1" x14ac:dyDescent="0.3">
      <c r="A440" s="27"/>
      <c r="B440" s="1"/>
      <c r="D440" s="240"/>
      <c r="E440" s="240"/>
      <c r="H440" s="21"/>
      <c r="I440" s="396"/>
      <c r="J440" s="78"/>
      <c r="K440" s="78"/>
      <c r="L440" s="120"/>
      <c r="M440" s="120"/>
      <c r="N440" s="293"/>
      <c r="O440" s="120"/>
      <c r="P440" s="188"/>
      <c r="Q440" s="1"/>
    </row>
    <row r="441" spans="1:17" s="15" customFormat="1" x14ac:dyDescent="0.3">
      <c r="A441" s="27"/>
      <c r="B441" s="1"/>
      <c r="D441" s="240"/>
      <c r="E441" s="240"/>
      <c r="H441" s="21"/>
      <c r="I441" s="396"/>
      <c r="J441" s="78"/>
      <c r="K441" s="78"/>
      <c r="L441" s="120"/>
      <c r="M441" s="120"/>
      <c r="N441" s="293"/>
      <c r="O441" s="120"/>
      <c r="P441" s="188"/>
      <c r="Q441" s="1"/>
    </row>
    <row r="442" spans="1:17" s="15" customFormat="1" x14ac:dyDescent="0.3">
      <c r="A442" s="27"/>
      <c r="B442" s="1"/>
      <c r="D442" s="240"/>
      <c r="E442" s="240"/>
      <c r="H442" s="21"/>
      <c r="I442" s="396"/>
      <c r="J442" s="78"/>
      <c r="K442" s="78"/>
      <c r="L442" s="120"/>
      <c r="M442" s="120"/>
      <c r="N442" s="293"/>
      <c r="O442" s="120"/>
      <c r="P442" s="188"/>
      <c r="Q442" s="1"/>
    </row>
    <row r="443" spans="1:17" s="15" customFormat="1" x14ac:dyDescent="0.3">
      <c r="A443" s="27"/>
      <c r="B443" s="1"/>
      <c r="D443" s="240"/>
      <c r="E443" s="240"/>
      <c r="H443" s="21"/>
      <c r="I443" s="396"/>
      <c r="J443" s="78"/>
      <c r="K443" s="78"/>
      <c r="L443" s="120"/>
      <c r="M443" s="120"/>
      <c r="N443" s="293"/>
      <c r="O443" s="120"/>
      <c r="P443" s="188"/>
      <c r="Q443" s="1"/>
    </row>
    <row r="444" spans="1:17" s="15" customFormat="1" x14ac:dyDescent="0.3">
      <c r="A444" s="27"/>
      <c r="B444" s="1"/>
      <c r="D444" s="240"/>
      <c r="E444" s="240"/>
      <c r="H444" s="21"/>
      <c r="I444" s="396"/>
      <c r="J444" s="78"/>
      <c r="K444" s="78"/>
      <c r="L444" s="120"/>
      <c r="M444" s="120"/>
      <c r="N444" s="293"/>
      <c r="O444" s="120"/>
      <c r="P444" s="188"/>
      <c r="Q444" s="1"/>
    </row>
    <row r="445" spans="1:17" s="15" customFormat="1" x14ac:dyDescent="0.3">
      <c r="A445" s="27"/>
      <c r="B445" s="1"/>
      <c r="D445" s="240"/>
      <c r="E445" s="240"/>
      <c r="H445" s="21"/>
      <c r="I445" s="396"/>
      <c r="J445" s="78"/>
      <c r="K445" s="78"/>
      <c r="L445" s="120"/>
      <c r="M445" s="120"/>
      <c r="N445" s="293"/>
      <c r="O445" s="120"/>
      <c r="P445" s="188"/>
      <c r="Q445" s="1"/>
    </row>
    <row r="446" spans="1:17" s="15" customFormat="1" x14ac:dyDescent="0.3">
      <c r="A446" s="27"/>
      <c r="B446" s="1"/>
      <c r="D446" s="240"/>
      <c r="E446" s="240"/>
      <c r="H446" s="21"/>
      <c r="I446" s="396"/>
      <c r="J446" s="78"/>
      <c r="K446" s="78"/>
      <c r="L446" s="120"/>
      <c r="M446" s="120"/>
      <c r="N446" s="293"/>
      <c r="O446" s="120"/>
      <c r="P446" s="188"/>
      <c r="Q446" s="1"/>
    </row>
    <row r="447" spans="1:17" s="15" customFormat="1" x14ac:dyDescent="0.3">
      <c r="A447" s="27"/>
      <c r="B447" s="1"/>
      <c r="D447" s="240"/>
      <c r="E447" s="240"/>
      <c r="H447" s="21"/>
      <c r="I447" s="396"/>
      <c r="J447" s="78"/>
      <c r="K447" s="78"/>
      <c r="L447" s="120"/>
      <c r="M447" s="120"/>
      <c r="N447" s="293"/>
      <c r="O447" s="120"/>
      <c r="P447" s="188"/>
      <c r="Q447" s="1"/>
    </row>
    <row r="448" spans="1:17" s="15" customFormat="1" x14ac:dyDescent="0.3">
      <c r="A448" s="27"/>
      <c r="B448" s="1"/>
      <c r="D448" s="240"/>
      <c r="E448" s="240"/>
      <c r="H448" s="21"/>
      <c r="I448" s="396"/>
      <c r="J448" s="78"/>
      <c r="K448" s="78"/>
      <c r="L448" s="120"/>
      <c r="M448" s="120"/>
      <c r="N448" s="293"/>
      <c r="O448" s="120"/>
      <c r="P448" s="188"/>
      <c r="Q448" s="1"/>
    </row>
    <row r="449" spans="1:17" s="15" customFormat="1" x14ac:dyDescent="0.3">
      <c r="A449" s="27"/>
      <c r="B449" s="1"/>
      <c r="D449" s="240"/>
      <c r="E449" s="240"/>
      <c r="H449" s="21"/>
      <c r="I449" s="396"/>
      <c r="J449" s="78"/>
      <c r="K449" s="78"/>
      <c r="L449" s="120"/>
      <c r="M449" s="120"/>
      <c r="N449" s="293"/>
      <c r="O449" s="120"/>
      <c r="P449" s="188"/>
      <c r="Q449" s="1"/>
    </row>
    <row r="450" spans="1:17" s="15" customFormat="1" x14ac:dyDescent="0.3">
      <c r="A450" s="27"/>
      <c r="B450" s="1"/>
      <c r="D450" s="240"/>
      <c r="E450" s="240"/>
      <c r="H450" s="21"/>
      <c r="I450" s="396"/>
      <c r="J450" s="78"/>
      <c r="K450" s="78"/>
      <c r="L450" s="120"/>
      <c r="M450" s="120"/>
      <c r="N450" s="293"/>
      <c r="O450" s="120"/>
      <c r="P450" s="188"/>
      <c r="Q450" s="1"/>
    </row>
    <row r="451" spans="1:17" s="15" customFormat="1" x14ac:dyDescent="0.3">
      <c r="A451" s="27"/>
      <c r="B451" s="1"/>
      <c r="D451" s="240"/>
      <c r="E451" s="240"/>
      <c r="H451" s="21"/>
      <c r="I451" s="396"/>
      <c r="J451" s="78"/>
      <c r="K451" s="78"/>
      <c r="L451" s="120"/>
      <c r="M451" s="120"/>
      <c r="N451" s="293"/>
      <c r="O451" s="120"/>
      <c r="P451" s="188"/>
      <c r="Q451" s="1"/>
    </row>
    <row r="452" spans="1:17" s="15" customFormat="1" x14ac:dyDescent="0.3">
      <c r="A452" s="27"/>
      <c r="B452" s="1"/>
      <c r="D452" s="240"/>
      <c r="E452" s="240"/>
      <c r="H452" s="21"/>
      <c r="I452" s="396"/>
      <c r="J452" s="78"/>
      <c r="K452" s="78"/>
      <c r="L452" s="120"/>
      <c r="M452" s="120"/>
      <c r="N452" s="293"/>
      <c r="O452" s="120"/>
      <c r="P452" s="188"/>
      <c r="Q452" s="1"/>
    </row>
    <row r="453" spans="1:17" s="15" customFormat="1" x14ac:dyDescent="0.3">
      <c r="A453" s="27"/>
      <c r="B453" s="1"/>
      <c r="D453" s="240"/>
      <c r="E453" s="240"/>
      <c r="H453" s="21"/>
      <c r="I453" s="396"/>
      <c r="J453" s="78"/>
      <c r="K453" s="78"/>
      <c r="L453" s="120"/>
      <c r="M453" s="120"/>
      <c r="N453" s="293"/>
      <c r="O453" s="120"/>
      <c r="P453" s="188"/>
      <c r="Q453" s="1"/>
    </row>
    <row r="454" spans="1:17" s="15" customFormat="1" x14ac:dyDescent="0.3">
      <c r="A454" s="27"/>
      <c r="B454" s="1"/>
      <c r="D454" s="240"/>
      <c r="E454" s="240"/>
      <c r="H454" s="21"/>
      <c r="I454" s="396"/>
      <c r="J454" s="78"/>
      <c r="K454" s="78"/>
      <c r="L454" s="120"/>
      <c r="M454" s="120"/>
      <c r="N454" s="293"/>
      <c r="O454" s="120"/>
      <c r="P454" s="188"/>
      <c r="Q454" s="1"/>
    </row>
    <row r="455" spans="1:17" s="15" customFormat="1" x14ac:dyDescent="0.3">
      <c r="A455" s="27"/>
      <c r="B455" s="1"/>
      <c r="D455" s="240"/>
      <c r="E455" s="240"/>
      <c r="H455" s="21"/>
      <c r="I455" s="396"/>
      <c r="J455" s="78"/>
      <c r="K455" s="78"/>
      <c r="L455" s="120"/>
      <c r="M455" s="120"/>
      <c r="N455" s="293"/>
      <c r="O455" s="120"/>
      <c r="P455" s="188"/>
      <c r="Q455" s="1"/>
    </row>
    <row r="456" spans="1:17" s="15" customFormat="1" x14ac:dyDescent="0.3">
      <c r="A456" s="27"/>
      <c r="B456" s="1"/>
      <c r="D456" s="240"/>
      <c r="E456" s="240"/>
      <c r="H456" s="21"/>
      <c r="I456" s="396"/>
      <c r="J456" s="78"/>
      <c r="K456" s="78"/>
      <c r="L456" s="120"/>
      <c r="M456" s="120"/>
      <c r="N456" s="293"/>
      <c r="O456" s="120"/>
      <c r="P456" s="188"/>
      <c r="Q456" s="1"/>
    </row>
    <row r="457" spans="1:17" s="15" customFormat="1" x14ac:dyDescent="0.3">
      <c r="A457" s="27"/>
      <c r="B457" s="1"/>
      <c r="D457" s="240"/>
      <c r="E457" s="240"/>
      <c r="H457" s="21"/>
      <c r="I457" s="396"/>
      <c r="J457" s="78"/>
      <c r="K457" s="78"/>
      <c r="L457" s="120"/>
      <c r="M457" s="120"/>
      <c r="N457" s="293"/>
      <c r="O457" s="120"/>
      <c r="P457" s="188"/>
      <c r="Q457" s="1"/>
    </row>
    <row r="458" spans="1:17" s="15" customFormat="1" x14ac:dyDescent="0.3">
      <c r="A458" s="27"/>
      <c r="B458" s="1"/>
      <c r="D458" s="240"/>
      <c r="E458" s="240"/>
      <c r="H458" s="21"/>
      <c r="I458" s="396"/>
      <c r="J458" s="78"/>
      <c r="K458" s="78"/>
      <c r="L458" s="120"/>
      <c r="M458" s="120"/>
      <c r="N458" s="293"/>
      <c r="O458" s="120"/>
      <c r="P458" s="188"/>
      <c r="Q458" s="1"/>
    </row>
    <row r="459" spans="1:17" s="15" customFormat="1" x14ac:dyDescent="0.3">
      <c r="A459" s="27"/>
      <c r="B459" s="1"/>
      <c r="D459" s="240"/>
      <c r="E459" s="240"/>
      <c r="H459" s="21"/>
      <c r="I459" s="396"/>
      <c r="J459" s="78"/>
      <c r="K459" s="78"/>
      <c r="L459" s="120"/>
      <c r="M459" s="120"/>
      <c r="N459" s="293"/>
      <c r="O459" s="120"/>
      <c r="P459" s="188"/>
      <c r="Q459" s="1"/>
    </row>
    <row r="460" spans="1:17" s="15" customFormat="1" x14ac:dyDescent="0.3">
      <c r="A460" s="27"/>
      <c r="B460" s="1"/>
      <c r="D460" s="240"/>
      <c r="E460" s="240"/>
      <c r="H460" s="21"/>
      <c r="I460" s="396"/>
      <c r="J460" s="78"/>
      <c r="K460" s="78"/>
      <c r="L460" s="120"/>
      <c r="M460" s="120"/>
      <c r="N460" s="293"/>
      <c r="O460" s="120"/>
      <c r="P460" s="188"/>
      <c r="Q460" s="1"/>
    </row>
    <row r="461" spans="1:17" s="15" customFormat="1" x14ac:dyDescent="0.3">
      <c r="A461" s="27"/>
      <c r="B461" s="1"/>
      <c r="D461" s="240"/>
      <c r="E461" s="240"/>
      <c r="H461" s="21"/>
      <c r="I461" s="396"/>
      <c r="J461" s="78"/>
      <c r="K461" s="78"/>
      <c r="L461" s="120"/>
      <c r="M461" s="120"/>
      <c r="N461" s="293"/>
      <c r="O461" s="120"/>
      <c r="P461" s="188"/>
      <c r="Q461" s="1"/>
    </row>
    <row r="462" spans="1:17" s="15" customFormat="1" x14ac:dyDescent="0.3">
      <c r="A462" s="27"/>
      <c r="B462" s="1"/>
      <c r="D462" s="240"/>
      <c r="E462" s="240"/>
      <c r="H462" s="21"/>
      <c r="I462" s="396"/>
      <c r="J462" s="78"/>
      <c r="K462" s="78"/>
      <c r="L462" s="120"/>
      <c r="M462" s="120"/>
      <c r="N462" s="293"/>
      <c r="O462" s="120"/>
      <c r="P462" s="188"/>
      <c r="Q462" s="1"/>
    </row>
    <row r="463" spans="1:17" s="15" customFormat="1" x14ac:dyDescent="0.3">
      <c r="A463" s="27"/>
      <c r="B463" s="1"/>
      <c r="D463" s="240"/>
      <c r="E463" s="240"/>
      <c r="H463" s="21"/>
      <c r="I463" s="396"/>
      <c r="J463" s="78"/>
      <c r="K463" s="78"/>
      <c r="L463" s="120"/>
      <c r="M463" s="120"/>
      <c r="N463" s="293"/>
      <c r="O463" s="120"/>
      <c r="P463" s="188"/>
      <c r="Q463" s="1"/>
    </row>
    <row r="464" spans="1:17" s="15" customFormat="1" x14ac:dyDescent="0.3">
      <c r="A464" s="27"/>
      <c r="B464" s="1"/>
      <c r="D464" s="240"/>
      <c r="E464" s="240"/>
      <c r="H464" s="21"/>
      <c r="I464" s="396"/>
      <c r="J464" s="78"/>
      <c r="K464" s="78"/>
      <c r="L464" s="120"/>
      <c r="M464" s="120"/>
      <c r="N464" s="293"/>
      <c r="O464" s="120"/>
      <c r="P464" s="188"/>
      <c r="Q464" s="1"/>
    </row>
    <row r="465" spans="1:17" s="15" customFormat="1" x14ac:dyDescent="0.3">
      <c r="A465" s="27"/>
      <c r="B465" s="1"/>
      <c r="D465" s="240"/>
      <c r="E465" s="240"/>
      <c r="H465" s="21"/>
      <c r="I465" s="396"/>
      <c r="J465" s="78"/>
      <c r="K465" s="78"/>
      <c r="L465" s="120"/>
      <c r="M465" s="120"/>
      <c r="N465" s="293"/>
      <c r="O465" s="120"/>
      <c r="P465" s="188"/>
      <c r="Q465" s="1"/>
    </row>
    <row r="466" spans="1:17" s="15" customFormat="1" x14ac:dyDescent="0.3">
      <c r="A466" s="27"/>
      <c r="B466" s="1"/>
      <c r="D466" s="240"/>
      <c r="E466" s="240"/>
      <c r="H466" s="21"/>
      <c r="I466" s="396"/>
      <c r="J466" s="78"/>
      <c r="K466" s="78"/>
      <c r="L466" s="120"/>
      <c r="M466" s="120"/>
      <c r="N466" s="293"/>
      <c r="O466" s="120"/>
      <c r="P466" s="188"/>
      <c r="Q466" s="1"/>
    </row>
    <row r="467" spans="1:17" s="15" customFormat="1" x14ac:dyDescent="0.3">
      <c r="A467" s="27"/>
      <c r="B467" s="1"/>
      <c r="D467" s="240"/>
      <c r="E467" s="240"/>
      <c r="H467" s="21"/>
      <c r="I467" s="396"/>
      <c r="J467" s="78"/>
      <c r="K467" s="78"/>
      <c r="L467" s="120"/>
      <c r="M467" s="120"/>
      <c r="N467" s="293"/>
      <c r="O467" s="120"/>
      <c r="P467" s="188"/>
      <c r="Q467" s="1"/>
    </row>
    <row r="468" spans="1:17" s="15" customFormat="1" x14ac:dyDescent="0.3">
      <c r="A468" s="27"/>
      <c r="B468" s="1"/>
      <c r="D468" s="240"/>
      <c r="E468" s="240"/>
      <c r="H468" s="21"/>
      <c r="I468" s="396"/>
      <c r="J468" s="78"/>
      <c r="K468" s="78"/>
      <c r="L468" s="120"/>
      <c r="M468" s="120"/>
      <c r="N468" s="293"/>
      <c r="O468" s="120"/>
      <c r="P468" s="188"/>
      <c r="Q468" s="1"/>
    </row>
    <row r="469" spans="1:17" s="15" customFormat="1" x14ac:dyDescent="0.3">
      <c r="A469" s="27"/>
      <c r="B469" s="1"/>
      <c r="D469" s="240"/>
      <c r="E469" s="240"/>
      <c r="H469" s="21"/>
      <c r="I469" s="396"/>
      <c r="J469" s="78"/>
      <c r="K469" s="78"/>
      <c r="L469" s="120"/>
      <c r="M469" s="120"/>
      <c r="N469" s="293"/>
      <c r="O469" s="120"/>
      <c r="P469" s="188"/>
      <c r="Q469" s="1"/>
    </row>
    <row r="470" spans="1:17" s="15" customFormat="1" x14ac:dyDescent="0.3">
      <c r="A470" s="27"/>
      <c r="B470" s="1"/>
      <c r="D470" s="240"/>
      <c r="E470" s="240"/>
      <c r="H470" s="21"/>
      <c r="I470" s="396"/>
      <c r="J470" s="78"/>
      <c r="K470" s="78"/>
      <c r="L470" s="120"/>
      <c r="M470" s="120"/>
      <c r="N470" s="293"/>
      <c r="O470" s="120"/>
      <c r="P470" s="188"/>
      <c r="Q470" s="1"/>
    </row>
    <row r="471" spans="1:17" s="15" customFormat="1" x14ac:dyDescent="0.3">
      <c r="A471" s="27"/>
      <c r="B471" s="1"/>
      <c r="D471" s="240"/>
      <c r="E471" s="240"/>
      <c r="H471" s="21"/>
      <c r="I471" s="396"/>
      <c r="J471" s="78"/>
      <c r="K471" s="78"/>
      <c r="L471" s="120"/>
      <c r="M471" s="120"/>
      <c r="N471" s="293"/>
      <c r="O471" s="120"/>
      <c r="P471" s="188"/>
      <c r="Q471" s="1"/>
    </row>
    <row r="472" spans="1:17" s="15" customFormat="1" x14ac:dyDescent="0.3">
      <c r="A472" s="27"/>
      <c r="B472" s="1"/>
      <c r="D472" s="240"/>
      <c r="E472" s="240"/>
      <c r="H472" s="21"/>
      <c r="I472" s="396"/>
      <c r="J472" s="78"/>
      <c r="K472" s="78"/>
      <c r="L472" s="120"/>
      <c r="M472" s="120"/>
      <c r="N472" s="293"/>
      <c r="O472" s="120"/>
      <c r="P472" s="188"/>
      <c r="Q472" s="1"/>
    </row>
    <row r="473" spans="1:17" s="15" customFormat="1" x14ac:dyDescent="0.3">
      <c r="A473" s="27"/>
      <c r="B473" s="1"/>
      <c r="D473" s="240"/>
      <c r="E473" s="240"/>
      <c r="H473" s="21"/>
      <c r="I473" s="396"/>
      <c r="J473" s="78"/>
      <c r="K473" s="78"/>
      <c r="L473" s="120"/>
      <c r="M473" s="120"/>
      <c r="N473" s="293"/>
      <c r="O473" s="120"/>
      <c r="P473" s="188"/>
      <c r="Q473" s="1"/>
    </row>
    <row r="474" spans="1:17" s="15" customFormat="1" x14ac:dyDescent="0.3">
      <c r="A474" s="27"/>
      <c r="B474" s="1"/>
      <c r="D474" s="240"/>
      <c r="E474" s="240"/>
      <c r="H474" s="21"/>
      <c r="I474" s="396"/>
      <c r="J474" s="78"/>
      <c r="K474" s="78"/>
      <c r="L474" s="120"/>
      <c r="M474" s="120"/>
      <c r="N474" s="293"/>
      <c r="O474" s="120"/>
      <c r="P474" s="188"/>
      <c r="Q474" s="1"/>
    </row>
    <row r="475" spans="1:17" s="15" customFormat="1" x14ac:dyDescent="0.3">
      <c r="A475" s="27"/>
      <c r="B475" s="1"/>
      <c r="D475" s="240"/>
      <c r="E475" s="240"/>
      <c r="H475" s="21"/>
      <c r="I475" s="396"/>
      <c r="J475" s="78"/>
      <c r="K475" s="78"/>
      <c r="L475" s="120"/>
      <c r="M475" s="120"/>
      <c r="N475" s="293"/>
      <c r="O475" s="120"/>
      <c r="P475" s="188"/>
      <c r="Q475" s="1"/>
    </row>
    <row r="476" spans="1:17" s="15" customFormat="1" x14ac:dyDescent="0.3">
      <c r="A476" s="27"/>
      <c r="B476" s="1"/>
      <c r="D476" s="240"/>
      <c r="E476" s="240"/>
      <c r="H476" s="21"/>
      <c r="I476" s="396"/>
      <c r="J476" s="78"/>
      <c r="K476" s="78"/>
      <c r="L476" s="120"/>
      <c r="M476" s="120"/>
      <c r="N476" s="293"/>
      <c r="O476" s="120"/>
      <c r="P476" s="188"/>
      <c r="Q476" s="1"/>
    </row>
    <row r="477" spans="1:17" s="15" customFormat="1" x14ac:dyDescent="0.3">
      <c r="A477" s="27"/>
      <c r="B477" s="1"/>
      <c r="D477" s="240"/>
      <c r="E477" s="240"/>
      <c r="H477" s="21"/>
      <c r="I477" s="396"/>
      <c r="J477" s="78"/>
      <c r="K477" s="78"/>
      <c r="L477" s="120"/>
      <c r="M477" s="120"/>
      <c r="N477" s="293"/>
      <c r="O477" s="120"/>
      <c r="P477" s="188"/>
      <c r="Q477" s="1"/>
    </row>
    <row r="478" spans="1:17" s="15" customFormat="1" x14ac:dyDescent="0.3">
      <c r="A478" s="27"/>
      <c r="B478" s="1"/>
      <c r="D478" s="240"/>
      <c r="E478" s="240"/>
      <c r="H478" s="21"/>
      <c r="I478" s="396"/>
      <c r="J478" s="78"/>
      <c r="K478" s="78"/>
      <c r="L478" s="120"/>
      <c r="M478" s="120"/>
      <c r="N478" s="293"/>
      <c r="O478" s="120"/>
      <c r="P478" s="188"/>
      <c r="Q478" s="1"/>
    </row>
    <row r="479" spans="1:17" s="15" customFormat="1" x14ac:dyDescent="0.3">
      <c r="A479" s="27"/>
      <c r="B479" s="1"/>
      <c r="D479" s="240"/>
      <c r="E479" s="240"/>
      <c r="H479" s="21"/>
      <c r="I479" s="396"/>
      <c r="J479" s="78"/>
      <c r="K479" s="78"/>
      <c r="L479" s="120"/>
      <c r="M479" s="120"/>
      <c r="N479" s="293"/>
      <c r="O479" s="120"/>
      <c r="P479" s="188"/>
      <c r="Q479" s="1"/>
    </row>
    <row r="480" spans="1:17" s="15" customFormat="1" x14ac:dyDescent="0.3">
      <c r="A480" s="27"/>
      <c r="B480" s="1"/>
      <c r="D480" s="240"/>
      <c r="E480" s="240"/>
      <c r="H480" s="21"/>
      <c r="I480" s="396"/>
      <c r="J480" s="78"/>
      <c r="K480" s="78"/>
      <c r="L480" s="120"/>
      <c r="M480" s="120"/>
      <c r="N480" s="293"/>
      <c r="O480" s="120"/>
      <c r="P480" s="188"/>
      <c r="Q480" s="1"/>
    </row>
    <row r="481" spans="1:17" s="15" customFormat="1" x14ac:dyDescent="0.3">
      <c r="A481" s="27"/>
      <c r="B481" s="1"/>
      <c r="D481" s="240"/>
      <c r="E481" s="240"/>
      <c r="H481" s="21"/>
      <c r="I481" s="396"/>
      <c r="J481" s="78"/>
      <c r="K481" s="78"/>
      <c r="L481" s="120"/>
      <c r="M481" s="120"/>
      <c r="N481" s="293"/>
      <c r="O481" s="120"/>
      <c r="P481" s="188"/>
      <c r="Q481" s="1"/>
    </row>
    <row r="482" spans="1:17" s="15" customFormat="1" x14ac:dyDescent="0.3">
      <c r="A482" s="27"/>
      <c r="B482" s="1"/>
      <c r="D482" s="240"/>
      <c r="E482" s="240"/>
      <c r="H482" s="21"/>
      <c r="I482" s="396"/>
      <c r="J482" s="78"/>
      <c r="K482" s="78"/>
      <c r="L482" s="120"/>
      <c r="M482" s="120"/>
      <c r="N482" s="293"/>
      <c r="O482" s="120"/>
      <c r="P482" s="188"/>
      <c r="Q482" s="1"/>
    </row>
    <row r="483" spans="1:17" s="15" customFormat="1" x14ac:dyDescent="0.3">
      <c r="A483" s="27"/>
      <c r="B483" s="1"/>
      <c r="D483" s="240"/>
      <c r="E483" s="240"/>
      <c r="H483" s="21"/>
      <c r="I483" s="396"/>
      <c r="J483" s="78"/>
      <c r="K483" s="78"/>
      <c r="L483" s="120"/>
      <c r="M483" s="120"/>
      <c r="N483" s="293"/>
      <c r="O483" s="120"/>
      <c r="P483" s="188"/>
      <c r="Q483" s="1"/>
    </row>
    <row r="484" spans="1:17" s="15" customFormat="1" x14ac:dyDescent="0.3">
      <c r="A484" s="27"/>
      <c r="B484" s="1"/>
      <c r="D484" s="240"/>
      <c r="E484" s="240"/>
      <c r="H484" s="21"/>
      <c r="I484" s="396"/>
      <c r="J484" s="78"/>
      <c r="K484" s="78"/>
      <c r="L484" s="120"/>
      <c r="M484" s="120"/>
      <c r="N484" s="293"/>
      <c r="O484" s="120"/>
      <c r="P484" s="188"/>
      <c r="Q484" s="1"/>
    </row>
    <row r="485" spans="1:17" s="15" customFormat="1" x14ac:dyDescent="0.3">
      <c r="A485" s="27"/>
      <c r="B485" s="1"/>
      <c r="D485" s="240"/>
      <c r="E485" s="240"/>
      <c r="H485" s="21"/>
      <c r="I485" s="396"/>
      <c r="J485" s="78"/>
      <c r="K485" s="78"/>
      <c r="L485" s="120"/>
      <c r="M485" s="120"/>
      <c r="N485" s="293"/>
      <c r="O485" s="120"/>
      <c r="P485" s="188"/>
      <c r="Q485" s="1"/>
    </row>
    <row r="486" spans="1:17" s="15" customFormat="1" x14ac:dyDescent="0.3">
      <c r="A486" s="27"/>
      <c r="B486" s="1"/>
      <c r="D486" s="240"/>
      <c r="E486" s="240"/>
      <c r="H486" s="21"/>
      <c r="I486" s="396"/>
      <c r="J486" s="78"/>
      <c r="K486" s="78"/>
      <c r="L486" s="120"/>
      <c r="M486" s="120"/>
      <c r="N486" s="293"/>
      <c r="O486" s="120"/>
      <c r="P486" s="188"/>
      <c r="Q486" s="1"/>
    </row>
    <row r="487" spans="1:17" s="15" customFormat="1" x14ac:dyDescent="0.3">
      <c r="A487" s="27"/>
      <c r="B487" s="1"/>
      <c r="D487" s="240"/>
      <c r="E487" s="240"/>
      <c r="H487" s="21"/>
      <c r="I487" s="396"/>
      <c r="J487" s="78"/>
      <c r="K487" s="78"/>
      <c r="L487" s="120"/>
      <c r="M487" s="120"/>
      <c r="N487" s="293"/>
      <c r="O487" s="120"/>
      <c r="P487" s="188"/>
      <c r="Q487" s="1"/>
    </row>
    <row r="488" spans="1:17" s="15" customFormat="1" x14ac:dyDescent="0.3">
      <c r="A488" s="27"/>
      <c r="B488" s="1"/>
      <c r="D488" s="240"/>
      <c r="E488" s="240"/>
      <c r="H488" s="21"/>
      <c r="I488" s="396"/>
      <c r="J488" s="78"/>
      <c r="K488" s="78"/>
      <c r="L488" s="120"/>
      <c r="M488" s="120"/>
      <c r="N488" s="293"/>
      <c r="O488" s="120"/>
      <c r="P488" s="188"/>
      <c r="Q488" s="1"/>
    </row>
    <row r="489" spans="1:17" s="15" customFormat="1" x14ac:dyDescent="0.3">
      <c r="A489" s="27"/>
      <c r="B489" s="1"/>
      <c r="D489" s="240"/>
      <c r="E489" s="240"/>
      <c r="H489" s="21"/>
      <c r="I489" s="396"/>
      <c r="J489" s="78"/>
      <c r="K489" s="78"/>
      <c r="L489" s="120"/>
      <c r="M489" s="120"/>
      <c r="N489" s="293"/>
      <c r="O489" s="120"/>
      <c r="P489" s="188"/>
      <c r="Q489" s="1"/>
    </row>
    <row r="490" spans="1:17" s="15" customFormat="1" x14ac:dyDescent="0.3">
      <c r="A490" s="27"/>
      <c r="B490" s="1"/>
      <c r="D490" s="240"/>
      <c r="E490" s="240"/>
      <c r="H490" s="21"/>
      <c r="I490" s="396"/>
      <c r="J490" s="78"/>
      <c r="K490" s="78"/>
      <c r="L490" s="120"/>
      <c r="M490" s="120"/>
      <c r="N490" s="293"/>
      <c r="O490" s="120"/>
      <c r="P490" s="188"/>
      <c r="Q490" s="1"/>
    </row>
    <row r="491" spans="1:17" s="15" customFormat="1" x14ac:dyDescent="0.3">
      <c r="A491" s="27"/>
      <c r="B491" s="1"/>
      <c r="D491" s="240"/>
      <c r="E491" s="240"/>
      <c r="H491" s="21"/>
      <c r="I491" s="396"/>
      <c r="J491" s="78"/>
      <c r="K491" s="78"/>
      <c r="L491" s="120"/>
      <c r="M491" s="120"/>
      <c r="N491" s="293"/>
      <c r="O491" s="120"/>
      <c r="P491" s="188"/>
      <c r="Q491" s="1"/>
    </row>
    <row r="492" spans="1:17" s="15" customFormat="1" x14ac:dyDescent="0.3">
      <c r="A492" s="27"/>
      <c r="B492" s="1"/>
      <c r="D492" s="240"/>
      <c r="E492" s="240"/>
      <c r="H492" s="21"/>
      <c r="I492" s="396"/>
      <c r="J492" s="78"/>
      <c r="K492" s="78"/>
      <c r="L492" s="120"/>
      <c r="M492" s="120"/>
      <c r="N492" s="293"/>
      <c r="O492" s="120"/>
      <c r="P492" s="188"/>
      <c r="Q492" s="1"/>
    </row>
    <row r="493" spans="1:17" s="15" customFormat="1" x14ac:dyDescent="0.3">
      <c r="A493" s="27"/>
      <c r="B493" s="1"/>
      <c r="D493" s="240"/>
      <c r="E493" s="240"/>
      <c r="H493" s="21"/>
      <c r="I493" s="396"/>
      <c r="J493" s="78"/>
      <c r="K493" s="78"/>
      <c r="L493" s="120"/>
      <c r="M493" s="120"/>
      <c r="N493" s="293"/>
      <c r="O493" s="120"/>
      <c r="P493" s="188"/>
      <c r="Q493" s="1"/>
    </row>
    <row r="494" spans="1:17" s="15" customFormat="1" x14ac:dyDescent="0.3">
      <c r="A494" s="27"/>
      <c r="B494" s="1"/>
      <c r="D494" s="240"/>
      <c r="E494" s="240"/>
      <c r="H494" s="21"/>
      <c r="I494" s="396"/>
      <c r="J494" s="78"/>
      <c r="K494" s="78"/>
      <c r="L494" s="120"/>
      <c r="M494" s="120"/>
      <c r="N494" s="293"/>
      <c r="O494" s="120"/>
      <c r="P494" s="188"/>
      <c r="Q494" s="1"/>
    </row>
    <row r="495" spans="1:17" s="15" customFormat="1" x14ac:dyDescent="0.3">
      <c r="A495" s="27"/>
      <c r="B495" s="1"/>
      <c r="D495" s="240"/>
      <c r="E495" s="240"/>
      <c r="H495" s="21"/>
      <c r="I495" s="396"/>
      <c r="J495" s="78"/>
      <c r="K495" s="78"/>
      <c r="L495" s="120"/>
      <c r="M495" s="120"/>
      <c r="N495" s="293"/>
      <c r="O495" s="120"/>
      <c r="P495" s="188"/>
      <c r="Q495" s="1"/>
    </row>
    <row r="496" spans="1:17" s="15" customFormat="1" x14ac:dyDescent="0.3">
      <c r="A496" s="27"/>
      <c r="B496" s="1"/>
      <c r="D496" s="240"/>
      <c r="E496" s="240"/>
      <c r="H496" s="21"/>
      <c r="I496" s="396"/>
      <c r="J496" s="78"/>
      <c r="K496" s="78"/>
      <c r="L496" s="120"/>
      <c r="M496" s="120"/>
      <c r="N496" s="293"/>
      <c r="O496" s="120"/>
      <c r="P496" s="188"/>
      <c r="Q496" s="1"/>
    </row>
    <row r="497" spans="1:17" s="15" customFormat="1" x14ac:dyDescent="0.3">
      <c r="A497" s="27"/>
      <c r="B497" s="1"/>
      <c r="D497" s="240"/>
      <c r="E497" s="240"/>
      <c r="H497" s="21"/>
      <c r="I497" s="396"/>
      <c r="J497" s="78"/>
      <c r="K497" s="78"/>
      <c r="L497" s="120"/>
      <c r="M497" s="120"/>
      <c r="N497" s="293"/>
      <c r="O497" s="120"/>
      <c r="P497" s="188"/>
      <c r="Q497" s="1"/>
    </row>
    <row r="498" spans="1:17" s="15" customFormat="1" x14ac:dyDescent="0.3">
      <c r="A498" s="27"/>
      <c r="B498" s="1"/>
      <c r="D498" s="240"/>
      <c r="E498" s="240"/>
      <c r="H498" s="21"/>
      <c r="I498" s="396"/>
      <c r="J498" s="78"/>
      <c r="K498" s="78"/>
      <c r="L498" s="120"/>
      <c r="M498" s="120"/>
      <c r="N498" s="293"/>
      <c r="O498" s="120"/>
      <c r="P498" s="188"/>
      <c r="Q498" s="1"/>
    </row>
    <row r="499" spans="1:17" s="15" customFormat="1" x14ac:dyDescent="0.3">
      <c r="A499" s="27"/>
      <c r="B499" s="1"/>
      <c r="D499" s="240"/>
      <c r="E499" s="240"/>
      <c r="H499" s="21"/>
      <c r="I499" s="396"/>
      <c r="J499" s="78"/>
      <c r="K499" s="78"/>
      <c r="L499" s="120"/>
      <c r="M499" s="120"/>
      <c r="N499" s="293"/>
      <c r="O499" s="120"/>
      <c r="P499" s="188"/>
      <c r="Q499" s="1"/>
    </row>
    <row r="500" spans="1:17" s="15" customFormat="1" x14ac:dyDescent="0.3">
      <c r="A500" s="27"/>
      <c r="B500" s="1"/>
      <c r="D500" s="240"/>
      <c r="E500" s="240"/>
      <c r="H500" s="21"/>
      <c r="I500" s="396"/>
      <c r="J500" s="78"/>
      <c r="K500" s="78"/>
      <c r="L500" s="120"/>
      <c r="M500" s="120"/>
      <c r="N500" s="293"/>
      <c r="O500" s="120"/>
      <c r="P500" s="188"/>
      <c r="Q500" s="1"/>
    </row>
    <row r="501" spans="1:17" s="15" customFormat="1" x14ac:dyDescent="0.3">
      <c r="A501" s="27"/>
      <c r="B501" s="1"/>
      <c r="D501" s="240"/>
      <c r="E501" s="240"/>
      <c r="H501" s="21"/>
      <c r="I501" s="396"/>
      <c r="J501" s="78"/>
      <c r="K501" s="78"/>
      <c r="L501" s="120"/>
      <c r="M501" s="120"/>
      <c r="N501" s="293"/>
      <c r="O501" s="120"/>
      <c r="P501" s="188"/>
      <c r="Q501" s="1"/>
    </row>
    <row r="502" spans="1:17" s="15" customFormat="1" x14ac:dyDescent="0.3">
      <c r="A502" s="27"/>
      <c r="B502" s="1"/>
      <c r="D502" s="240"/>
      <c r="E502" s="240"/>
      <c r="H502" s="21"/>
      <c r="I502" s="396"/>
      <c r="J502" s="78"/>
      <c r="K502" s="78"/>
      <c r="L502" s="120"/>
      <c r="M502" s="120"/>
      <c r="N502" s="293"/>
      <c r="O502" s="120"/>
      <c r="P502" s="188"/>
      <c r="Q502" s="1"/>
    </row>
    <row r="503" spans="1:17" s="15" customFormat="1" x14ac:dyDescent="0.3">
      <c r="A503" s="27"/>
      <c r="B503" s="1"/>
      <c r="D503" s="240"/>
      <c r="E503" s="240"/>
      <c r="H503" s="21"/>
      <c r="I503" s="396"/>
      <c r="J503" s="78"/>
      <c r="K503" s="78"/>
      <c r="L503" s="120"/>
      <c r="M503" s="120"/>
      <c r="N503" s="293"/>
      <c r="O503" s="120"/>
      <c r="P503" s="188"/>
      <c r="Q503" s="1"/>
    </row>
    <row r="504" spans="1:17" s="15" customFormat="1" x14ac:dyDescent="0.3">
      <c r="A504" s="27"/>
      <c r="B504" s="1"/>
      <c r="D504" s="240"/>
      <c r="E504" s="240"/>
      <c r="H504" s="21"/>
      <c r="I504" s="396"/>
      <c r="J504" s="78"/>
      <c r="K504" s="78"/>
      <c r="L504" s="120"/>
      <c r="M504" s="120"/>
      <c r="N504" s="293"/>
      <c r="O504" s="120"/>
      <c r="P504" s="188"/>
      <c r="Q504" s="1"/>
    </row>
    <row r="505" spans="1:17" s="15" customFormat="1" x14ac:dyDescent="0.3">
      <c r="A505" s="27"/>
      <c r="B505" s="1"/>
      <c r="D505" s="240"/>
      <c r="E505" s="240"/>
      <c r="H505" s="21"/>
      <c r="I505" s="396"/>
      <c r="J505" s="78"/>
      <c r="K505" s="78"/>
      <c r="L505" s="120"/>
      <c r="M505" s="120"/>
      <c r="N505" s="293"/>
      <c r="O505" s="120"/>
      <c r="P505" s="188"/>
      <c r="Q505" s="1"/>
    </row>
    <row r="506" spans="1:17" s="15" customFormat="1" x14ac:dyDescent="0.3">
      <c r="A506" s="27"/>
      <c r="B506" s="1"/>
      <c r="D506" s="240"/>
      <c r="E506" s="240"/>
      <c r="H506" s="21"/>
      <c r="I506" s="396"/>
      <c r="J506" s="78"/>
      <c r="K506" s="78"/>
      <c r="L506" s="120"/>
      <c r="M506" s="120"/>
      <c r="N506" s="293"/>
      <c r="O506" s="120"/>
      <c r="P506" s="188"/>
      <c r="Q506" s="1"/>
    </row>
    <row r="507" spans="1:17" s="15" customFormat="1" x14ac:dyDescent="0.3">
      <c r="A507" s="27"/>
      <c r="B507" s="1"/>
      <c r="D507" s="240"/>
      <c r="E507" s="240"/>
      <c r="H507" s="21"/>
      <c r="I507" s="396"/>
      <c r="J507" s="78"/>
      <c r="K507" s="78"/>
      <c r="L507" s="120"/>
      <c r="M507" s="120"/>
      <c r="N507" s="293"/>
      <c r="O507" s="120"/>
      <c r="P507" s="188"/>
      <c r="Q507" s="1"/>
    </row>
    <row r="508" spans="1:17" s="15" customFormat="1" x14ac:dyDescent="0.3">
      <c r="A508" s="27"/>
      <c r="B508" s="1"/>
      <c r="D508" s="240"/>
      <c r="E508" s="240"/>
      <c r="H508" s="21"/>
      <c r="I508" s="396"/>
      <c r="J508" s="78"/>
      <c r="K508" s="78"/>
      <c r="L508" s="120"/>
      <c r="M508" s="120"/>
      <c r="N508" s="293"/>
      <c r="O508" s="120"/>
      <c r="P508" s="188"/>
      <c r="Q508" s="1"/>
    </row>
    <row r="509" spans="1:17" s="15" customFormat="1" x14ac:dyDescent="0.3">
      <c r="A509" s="27"/>
      <c r="B509" s="1"/>
      <c r="D509" s="240"/>
      <c r="E509" s="240"/>
      <c r="H509" s="21"/>
      <c r="I509" s="396"/>
      <c r="J509" s="78"/>
      <c r="K509" s="78"/>
      <c r="L509" s="120"/>
      <c r="M509" s="120"/>
      <c r="N509" s="293"/>
      <c r="O509" s="120"/>
      <c r="P509" s="188"/>
      <c r="Q509" s="1"/>
    </row>
    <row r="510" spans="1:17" s="15" customFormat="1" x14ac:dyDescent="0.3">
      <c r="A510" s="27"/>
      <c r="B510" s="1"/>
      <c r="D510" s="240"/>
      <c r="E510" s="240"/>
      <c r="H510" s="21"/>
      <c r="I510" s="396"/>
      <c r="J510" s="78"/>
      <c r="K510" s="78"/>
      <c r="L510" s="120"/>
      <c r="M510" s="120"/>
      <c r="N510" s="293"/>
      <c r="O510" s="120"/>
      <c r="P510" s="188"/>
      <c r="Q510" s="1"/>
    </row>
    <row r="511" spans="1:17" s="15" customFormat="1" x14ac:dyDescent="0.3">
      <c r="A511" s="27"/>
      <c r="B511" s="1"/>
      <c r="D511" s="240"/>
      <c r="E511" s="240"/>
      <c r="H511" s="21"/>
      <c r="I511" s="396"/>
      <c r="J511" s="78"/>
      <c r="K511" s="78"/>
      <c r="L511" s="120"/>
      <c r="M511" s="120"/>
      <c r="N511" s="293"/>
      <c r="O511" s="120"/>
      <c r="P511" s="188"/>
      <c r="Q511" s="1"/>
    </row>
    <row r="512" spans="1:17" s="15" customFormat="1" x14ac:dyDescent="0.3">
      <c r="A512" s="27"/>
      <c r="B512" s="1"/>
      <c r="D512" s="240"/>
      <c r="E512" s="240"/>
      <c r="H512" s="21"/>
      <c r="I512" s="396"/>
      <c r="J512" s="78"/>
      <c r="K512" s="78"/>
      <c r="L512" s="120"/>
      <c r="M512" s="120"/>
      <c r="N512" s="293"/>
      <c r="O512" s="120"/>
      <c r="P512" s="188"/>
      <c r="Q512" s="1"/>
    </row>
    <row r="513" spans="1:17" s="15" customFormat="1" x14ac:dyDescent="0.3">
      <c r="A513" s="27"/>
      <c r="B513" s="1"/>
      <c r="D513" s="240"/>
      <c r="E513" s="240"/>
      <c r="H513" s="21"/>
      <c r="I513" s="396"/>
      <c r="J513" s="78"/>
      <c r="K513" s="78"/>
      <c r="L513" s="120"/>
      <c r="M513" s="120"/>
      <c r="N513" s="293"/>
      <c r="O513" s="120"/>
      <c r="P513" s="188"/>
      <c r="Q513" s="1"/>
    </row>
    <row r="514" spans="1:17" s="15" customFormat="1" x14ac:dyDescent="0.3">
      <c r="A514" s="27"/>
      <c r="B514" s="1"/>
      <c r="D514" s="240"/>
      <c r="E514" s="240"/>
      <c r="H514" s="21"/>
      <c r="I514" s="396"/>
      <c r="J514" s="78"/>
      <c r="K514" s="78"/>
      <c r="L514" s="120"/>
      <c r="M514" s="120"/>
      <c r="N514" s="293"/>
      <c r="O514" s="120"/>
      <c r="P514" s="188"/>
      <c r="Q514" s="1"/>
    </row>
    <row r="515" spans="1:17" s="15" customFormat="1" x14ac:dyDescent="0.3">
      <c r="A515" s="27"/>
      <c r="B515" s="1"/>
      <c r="D515" s="240"/>
      <c r="E515" s="240"/>
      <c r="H515" s="21"/>
      <c r="I515" s="396"/>
      <c r="J515" s="78"/>
      <c r="K515" s="78"/>
      <c r="L515" s="120"/>
      <c r="M515" s="120"/>
      <c r="N515" s="293"/>
      <c r="O515" s="120"/>
      <c r="P515" s="188"/>
      <c r="Q515" s="1"/>
    </row>
    <row r="516" spans="1:17" s="15" customFormat="1" x14ac:dyDescent="0.3">
      <c r="A516" s="27"/>
      <c r="B516" s="1"/>
      <c r="D516" s="240"/>
      <c r="E516" s="240"/>
      <c r="H516" s="21"/>
      <c r="I516" s="396"/>
      <c r="J516" s="78"/>
      <c r="K516" s="78"/>
      <c r="L516" s="120"/>
      <c r="M516" s="120"/>
      <c r="N516" s="293"/>
      <c r="O516" s="120"/>
      <c r="P516" s="188"/>
      <c r="Q516" s="1"/>
    </row>
    <row r="517" spans="1:17" s="15" customFormat="1" x14ac:dyDescent="0.3">
      <c r="A517" s="27"/>
      <c r="B517" s="1"/>
      <c r="D517" s="240"/>
      <c r="E517" s="240"/>
      <c r="H517" s="21"/>
      <c r="I517" s="396"/>
      <c r="J517" s="78"/>
      <c r="K517" s="78"/>
      <c r="L517" s="120"/>
      <c r="M517" s="120"/>
      <c r="N517" s="293"/>
      <c r="O517" s="120"/>
      <c r="P517" s="188"/>
      <c r="Q517" s="1"/>
    </row>
    <row r="518" spans="1:17" s="15" customFormat="1" x14ac:dyDescent="0.3">
      <c r="A518" s="27"/>
      <c r="B518" s="1"/>
      <c r="D518" s="240"/>
      <c r="E518" s="240"/>
      <c r="H518" s="21"/>
      <c r="I518" s="396"/>
      <c r="J518" s="78"/>
      <c r="K518" s="78"/>
      <c r="L518" s="120"/>
      <c r="M518" s="120"/>
      <c r="N518" s="293"/>
      <c r="O518" s="120"/>
      <c r="P518" s="188"/>
      <c r="Q518" s="1"/>
    </row>
    <row r="519" spans="1:17" s="15" customFormat="1" x14ac:dyDescent="0.3">
      <c r="A519" s="27"/>
      <c r="B519" s="1"/>
      <c r="D519" s="240"/>
      <c r="E519" s="240"/>
      <c r="H519" s="21"/>
      <c r="I519" s="396"/>
      <c r="J519" s="78"/>
      <c r="K519" s="78"/>
      <c r="L519" s="120"/>
      <c r="M519" s="120"/>
      <c r="N519" s="293"/>
      <c r="O519" s="120"/>
      <c r="P519" s="188"/>
      <c r="Q519" s="1"/>
    </row>
    <row r="520" spans="1:17" s="15" customFormat="1" x14ac:dyDescent="0.3">
      <c r="A520" s="27"/>
      <c r="B520" s="1"/>
      <c r="D520" s="240"/>
      <c r="E520" s="240"/>
      <c r="H520" s="21"/>
      <c r="I520" s="396"/>
      <c r="J520" s="78"/>
      <c r="K520" s="78"/>
      <c r="L520" s="120"/>
      <c r="M520" s="120"/>
      <c r="N520" s="293"/>
      <c r="O520" s="120"/>
      <c r="P520" s="188"/>
      <c r="Q520" s="1"/>
    </row>
    <row r="521" spans="1:17" s="15" customFormat="1" x14ac:dyDescent="0.3">
      <c r="A521" s="27"/>
      <c r="B521" s="1"/>
      <c r="D521" s="240"/>
      <c r="E521" s="240"/>
      <c r="H521" s="21"/>
      <c r="I521" s="396"/>
      <c r="J521" s="78"/>
      <c r="K521" s="78"/>
      <c r="L521" s="120"/>
      <c r="M521" s="120"/>
      <c r="N521" s="293"/>
      <c r="O521" s="120"/>
      <c r="P521" s="188"/>
      <c r="Q521" s="1"/>
    </row>
    <row r="522" spans="1:17" s="15" customFormat="1" x14ac:dyDescent="0.3">
      <c r="A522" s="27"/>
      <c r="B522" s="1"/>
      <c r="D522" s="240"/>
      <c r="E522" s="240"/>
      <c r="H522" s="21"/>
      <c r="I522" s="396"/>
      <c r="J522" s="78"/>
      <c r="K522" s="78"/>
      <c r="L522" s="120"/>
      <c r="M522" s="120"/>
      <c r="N522" s="293"/>
      <c r="O522" s="120"/>
      <c r="P522" s="188"/>
      <c r="Q522" s="1"/>
    </row>
    <row r="523" spans="1:17" s="15" customFormat="1" x14ac:dyDescent="0.3">
      <c r="A523" s="27"/>
      <c r="B523" s="1"/>
      <c r="D523" s="240"/>
      <c r="E523" s="240"/>
      <c r="H523" s="21"/>
      <c r="I523" s="396"/>
      <c r="J523" s="78"/>
      <c r="K523" s="78"/>
      <c r="L523" s="120"/>
      <c r="M523" s="120"/>
      <c r="N523" s="293"/>
      <c r="O523" s="120"/>
      <c r="P523" s="188"/>
      <c r="Q523" s="1"/>
    </row>
    <row r="524" spans="1:17" s="15" customFormat="1" x14ac:dyDescent="0.3">
      <c r="A524" s="27"/>
      <c r="B524" s="1"/>
      <c r="D524" s="240"/>
      <c r="E524" s="240"/>
      <c r="H524" s="21"/>
      <c r="I524" s="396"/>
      <c r="J524" s="78"/>
      <c r="K524" s="78"/>
      <c r="L524" s="120"/>
      <c r="M524" s="120"/>
      <c r="N524" s="293"/>
      <c r="O524" s="120"/>
      <c r="P524" s="188"/>
      <c r="Q524" s="1"/>
    </row>
    <row r="525" spans="1:17" s="15" customFormat="1" x14ac:dyDescent="0.3">
      <c r="A525" s="27"/>
      <c r="B525" s="1"/>
      <c r="D525" s="240"/>
      <c r="E525" s="240"/>
      <c r="H525" s="21"/>
      <c r="I525" s="396"/>
      <c r="J525" s="78"/>
      <c r="K525" s="78"/>
      <c r="L525" s="120"/>
      <c r="M525" s="120"/>
      <c r="N525" s="293"/>
      <c r="O525" s="120"/>
      <c r="P525" s="188"/>
      <c r="Q525" s="1"/>
    </row>
    <row r="526" spans="1:17" s="15" customFormat="1" x14ac:dyDescent="0.3">
      <c r="A526" s="27"/>
      <c r="B526" s="1"/>
      <c r="D526" s="240"/>
      <c r="E526" s="240"/>
      <c r="H526" s="21"/>
      <c r="I526" s="396"/>
      <c r="J526" s="78"/>
      <c r="K526" s="78"/>
      <c r="L526" s="120"/>
      <c r="M526" s="120"/>
      <c r="N526" s="293"/>
      <c r="O526" s="120"/>
      <c r="P526" s="188"/>
      <c r="Q526" s="1"/>
    </row>
    <row r="527" spans="1:17" s="15" customFormat="1" x14ac:dyDescent="0.3">
      <c r="A527" s="27"/>
      <c r="B527" s="1"/>
      <c r="D527" s="240"/>
      <c r="E527" s="240"/>
      <c r="H527" s="21"/>
      <c r="I527" s="396"/>
      <c r="J527" s="78"/>
      <c r="K527" s="78"/>
      <c r="L527" s="120"/>
      <c r="M527" s="120"/>
      <c r="N527" s="293"/>
      <c r="O527" s="120"/>
      <c r="P527" s="188"/>
      <c r="Q527" s="1"/>
    </row>
    <row r="528" spans="1:17" s="15" customFormat="1" x14ac:dyDescent="0.3">
      <c r="A528" s="27"/>
      <c r="B528" s="1"/>
      <c r="D528" s="240"/>
      <c r="E528" s="240"/>
      <c r="H528" s="21"/>
      <c r="I528" s="396"/>
      <c r="J528" s="78"/>
      <c r="K528" s="78"/>
      <c r="L528" s="120"/>
      <c r="M528" s="120"/>
      <c r="N528" s="293"/>
      <c r="O528" s="120"/>
      <c r="P528" s="188"/>
      <c r="Q528" s="1"/>
    </row>
    <row r="529" spans="1:17" s="15" customFormat="1" x14ac:dyDescent="0.3">
      <c r="A529" s="27"/>
      <c r="B529" s="1"/>
      <c r="D529" s="240"/>
      <c r="E529" s="240"/>
      <c r="H529" s="21"/>
      <c r="I529" s="396"/>
      <c r="J529" s="78"/>
      <c r="K529" s="78"/>
      <c r="L529" s="120"/>
      <c r="M529" s="120"/>
      <c r="N529" s="293"/>
      <c r="O529" s="120"/>
      <c r="P529" s="188"/>
      <c r="Q529" s="1"/>
    </row>
    <row r="530" spans="1:17" s="15" customFormat="1" x14ac:dyDescent="0.3">
      <c r="A530" s="27"/>
      <c r="B530" s="1"/>
      <c r="D530" s="240"/>
      <c r="E530" s="240"/>
      <c r="H530" s="21"/>
      <c r="I530" s="396"/>
      <c r="J530" s="78"/>
      <c r="K530" s="78"/>
      <c r="L530" s="120"/>
      <c r="M530" s="120"/>
      <c r="N530" s="293"/>
      <c r="O530" s="120"/>
      <c r="P530" s="188"/>
      <c r="Q530" s="1"/>
    </row>
    <row r="531" spans="1:17" s="15" customFormat="1" x14ac:dyDescent="0.3">
      <c r="A531" s="27"/>
      <c r="B531" s="1"/>
      <c r="D531" s="240"/>
      <c r="E531" s="240"/>
      <c r="H531" s="21"/>
      <c r="I531" s="396"/>
      <c r="J531" s="78"/>
      <c r="K531" s="78"/>
      <c r="L531" s="120"/>
      <c r="M531" s="120"/>
      <c r="N531" s="293"/>
      <c r="O531" s="120"/>
      <c r="P531" s="188"/>
      <c r="Q531" s="1"/>
    </row>
    <row r="532" spans="1:17" s="15" customFormat="1" x14ac:dyDescent="0.3">
      <c r="A532" s="27"/>
      <c r="B532" s="1"/>
      <c r="D532" s="240"/>
      <c r="E532" s="240"/>
      <c r="H532" s="21"/>
      <c r="I532" s="396"/>
      <c r="J532" s="78"/>
      <c r="K532" s="78"/>
      <c r="L532" s="120"/>
      <c r="M532" s="120"/>
      <c r="N532" s="293"/>
      <c r="O532" s="120"/>
      <c r="P532" s="188"/>
      <c r="Q532" s="1"/>
    </row>
    <row r="533" spans="1:17" s="15" customFormat="1" x14ac:dyDescent="0.3">
      <c r="A533" s="27"/>
      <c r="B533" s="1"/>
      <c r="D533" s="240"/>
      <c r="E533" s="240"/>
      <c r="H533" s="21"/>
      <c r="I533" s="396"/>
      <c r="J533" s="78"/>
      <c r="K533" s="78"/>
      <c r="L533" s="120"/>
      <c r="M533" s="120"/>
      <c r="N533" s="293"/>
      <c r="O533" s="120"/>
      <c r="P533" s="188"/>
      <c r="Q533" s="1"/>
    </row>
    <row r="534" spans="1:17" s="15" customFormat="1" x14ac:dyDescent="0.3">
      <c r="A534" s="27"/>
      <c r="B534" s="1"/>
      <c r="D534" s="240"/>
      <c r="E534" s="240"/>
      <c r="H534" s="21"/>
      <c r="I534" s="396"/>
      <c r="J534" s="78"/>
      <c r="K534" s="78"/>
      <c r="L534" s="120"/>
      <c r="M534" s="120"/>
      <c r="N534" s="293"/>
      <c r="O534" s="120"/>
      <c r="P534" s="188"/>
      <c r="Q534" s="1"/>
    </row>
    <row r="535" spans="1:17" s="15" customFormat="1" x14ac:dyDescent="0.3">
      <c r="A535" s="27"/>
      <c r="B535" s="1"/>
      <c r="D535" s="240"/>
      <c r="E535" s="240"/>
      <c r="H535" s="21"/>
      <c r="I535" s="396"/>
      <c r="J535" s="78"/>
      <c r="K535" s="78"/>
      <c r="L535" s="120"/>
      <c r="M535" s="120"/>
      <c r="N535" s="293"/>
      <c r="O535" s="120"/>
      <c r="P535" s="188"/>
      <c r="Q535" s="1"/>
    </row>
    <row r="536" spans="1:17" s="15" customFormat="1" x14ac:dyDescent="0.3">
      <c r="A536" s="27"/>
      <c r="B536" s="1"/>
      <c r="D536" s="240"/>
      <c r="E536" s="240"/>
      <c r="H536" s="21"/>
      <c r="I536" s="396"/>
      <c r="J536" s="78"/>
      <c r="K536" s="78"/>
      <c r="L536" s="120"/>
      <c r="M536" s="120"/>
      <c r="N536" s="293"/>
      <c r="O536" s="120"/>
      <c r="P536" s="188"/>
      <c r="Q536" s="1"/>
    </row>
    <row r="537" spans="1:17" s="15" customFormat="1" x14ac:dyDescent="0.3">
      <c r="A537" s="27"/>
      <c r="B537" s="1"/>
      <c r="D537" s="240"/>
      <c r="E537" s="240"/>
      <c r="H537" s="21"/>
      <c r="I537" s="396"/>
      <c r="J537" s="78"/>
      <c r="K537" s="78"/>
      <c r="L537" s="120"/>
      <c r="M537" s="120"/>
      <c r="N537" s="293"/>
      <c r="O537" s="120"/>
      <c r="P537" s="188"/>
      <c r="Q537" s="1"/>
    </row>
    <row r="538" spans="1:17" s="15" customFormat="1" x14ac:dyDescent="0.3">
      <c r="A538" s="27"/>
      <c r="B538" s="1"/>
      <c r="D538" s="240"/>
      <c r="E538" s="240"/>
      <c r="H538" s="21"/>
      <c r="I538" s="396"/>
      <c r="J538" s="78"/>
      <c r="K538" s="78"/>
      <c r="L538" s="120"/>
      <c r="M538" s="120"/>
      <c r="N538" s="293"/>
      <c r="O538" s="120"/>
      <c r="P538" s="188"/>
      <c r="Q538" s="1"/>
    </row>
    <row r="539" spans="1:17" s="15" customFormat="1" x14ac:dyDescent="0.3">
      <c r="A539" s="27"/>
      <c r="B539" s="1"/>
      <c r="D539" s="240"/>
      <c r="E539" s="240"/>
      <c r="H539" s="21"/>
      <c r="I539" s="396"/>
      <c r="J539" s="78"/>
      <c r="K539" s="78"/>
      <c r="L539" s="120"/>
      <c r="M539" s="120"/>
      <c r="N539" s="293"/>
      <c r="O539" s="120"/>
      <c r="P539" s="188"/>
      <c r="Q539" s="1"/>
    </row>
    <row r="540" spans="1:17" s="15" customFormat="1" x14ac:dyDescent="0.3">
      <c r="A540" s="27"/>
      <c r="B540" s="1"/>
      <c r="D540" s="240"/>
      <c r="E540" s="240"/>
      <c r="H540" s="21"/>
      <c r="I540" s="396"/>
      <c r="J540" s="78"/>
      <c r="K540" s="78"/>
      <c r="L540" s="120"/>
      <c r="M540" s="120"/>
      <c r="N540" s="293"/>
      <c r="O540" s="120"/>
      <c r="P540" s="188"/>
      <c r="Q540" s="1"/>
    </row>
    <row r="541" spans="1:17" s="15" customFormat="1" x14ac:dyDescent="0.3">
      <c r="A541" s="27"/>
      <c r="B541" s="1"/>
      <c r="D541" s="240"/>
      <c r="E541" s="240"/>
      <c r="H541" s="21"/>
      <c r="I541" s="396"/>
      <c r="J541" s="78"/>
      <c r="K541" s="78"/>
      <c r="L541" s="120"/>
      <c r="M541" s="120"/>
      <c r="N541" s="293"/>
      <c r="O541" s="120"/>
      <c r="P541" s="188"/>
      <c r="Q541" s="1"/>
    </row>
    <row r="542" spans="1:17" s="15" customFormat="1" x14ac:dyDescent="0.3">
      <c r="A542" s="27"/>
      <c r="B542" s="1"/>
      <c r="D542" s="240"/>
      <c r="E542" s="240"/>
      <c r="H542" s="21"/>
      <c r="I542" s="396"/>
      <c r="J542" s="78"/>
      <c r="K542" s="78"/>
      <c r="L542" s="120"/>
      <c r="M542" s="120"/>
      <c r="N542" s="293"/>
      <c r="O542" s="120"/>
      <c r="P542" s="188"/>
      <c r="Q542" s="1"/>
    </row>
    <row r="543" spans="1:17" s="15" customFormat="1" x14ac:dyDescent="0.3">
      <c r="A543" s="27"/>
      <c r="B543" s="1"/>
      <c r="D543" s="240"/>
      <c r="E543" s="240"/>
      <c r="H543" s="21"/>
      <c r="I543" s="396"/>
      <c r="J543" s="78"/>
      <c r="K543" s="78"/>
      <c r="L543" s="120"/>
      <c r="M543" s="120"/>
      <c r="N543" s="293"/>
      <c r="O543" s="120"/>
      <c r="P543" s="188"/>
      <c r="Q543" s="1"/>
    </row>
    <row r="544" spans="1:17" s="15" customFormat="1" x14ac:dyDescent="0.3">
      <c r="A544" s="27"/>
      <c r="B544" s="1"/>
      <c r="D544" s="240"/>
      <c r="E544" s="240"/>
      <c r="H544" s="21"/>
      <c r="I544" s="396"/>
      <c r="J544" s="78"/>
      <c r="K544" s="78"/>
      <c r="L544" s="120"/>
      <c r="M544" s="120"/>
      <c r="N544" s="293"/>
      <c r="O544" s="120"/>
      <c r="P544" s="188"/>
      <c r="Q544" s="1"/>
    </row>
    <row r="545" spans="1:17" s="15" customFormat="1" x14ac:dyDescent="0.3">
      <c r="A545" s="27"/>
      <c r="B545" s="1"/>
      <c r="D545" s="240"/>
      <c r="E545" s="240"/>
      <c r="H545" s="21"/>
      <c r="I545" s="396"/>
      <c r="J545" s="78"/>
      <c r="K545" s="78"/>
      <c r="L545" s="120"/>
      <c r="M545" s="120"/>
      <c r="N545" s="293"/>
      <c r="O545" s="120"/>
      <c r="P545" s="188"/>
      <c r="Q545" s="1"/>
    </row>
    <row r="546" spans="1:17" s="15" customFormat="1" x14ac:dyDescent="0.3">
      <c r="A546" s="27"/>
      <c r="B546" s="1"/>
      <c r="D546" s="240"/>
      <c r="E546" s="240"/>
      <c r="H546" s="21"/>
      <c r="I546" s="396"/>
      <c r="J546" s="78"/>
      <c r="K546" s="78"/>
      <c r="L546" s="120"/>
      <c r="M546" s="120"/>
      <c r="N546" s="293"/>
      <c r="O546" s="120"/>
      <c r="P546" s="188"/>
      <c r="Q546" s="1"/>
    </row>
    <row r="547" spans="1:17" s="15" customFormat="1" x14ac:dyDescent="0.3">
      <c r="A547" s="27"/>
      <c r="B547" s="1"/>
      <c r="D547" s="240"/>
      <c r="E547" s="240"/>
      <c r="H547" s="21"/>
      <c r="I547" s="396"/>
      <c r="J547" s="78"/>
      <c r="K547" s="78"/>
      <c r="L547" s="120"/>
      <c r="M547" s="120"/>
      <c r="N547" s="293"/>
      <c r="O547" s="120"/>
      <c r="P547" s="188"/>
      <c r="Q547" s="1"/>
    </row>
    <row r="548" spans="1:17" s="15" customFormat="1" x14ac:dyDescent="0.3">
      <c r="A548" s="27"/>
      <c r="B548" s="1"/>
      <c r="D548" s="240"/>
      <c r="E548" s="240"/>
      <c r="H548" s="21"/>
      <c r="I548" s="396"/>
      <c r="J548" s="78"/>
      <c r="K548" s="78"/>
      <c r="L548" s="120"/>
      <c r="M548" s="120"/>
      <c r="N548" s="293"/>
      <c r="O548" s="120"/>
      <c r="P548" s="188"/>
      <c r="Q548" s="1"/>
    </row>
    <row r="549" spans="1:17" s="15" customFormat="1" x14ac:dyDescent="0.3">
      <c r="A549" s="27"/>
      <c r="B549" s="1"/>
      <c r="D549" s="240"/>
      <c r="E549" s="240"/>
      <c r="H549" s="21"/>
      <c r="I549" s="396"/>
      <c r="J549" s="78"/>
      <c r="K549" s="78"/>
      <c r="L549" s="120"/>
      <c r="M549" s="120"/>
      <c r="N549" s="293"/>
      <c r="O549" s="120"/>
      <c r="P549" s="188"/>
      <c r="Q549" s="1"/>
    </row>
    <row r="550" spans="1:17" s="15" customFormat="1" x14ac:dyDescent="0.3">
      <c r="A550" s="27"/>
      <c r="B550" s="1"/>
      <c r="D550" s="240"/>
      <c r="E550" s="240"/>
      <c r="H550" s="21"/>
      <c r="I550" s="396"/>
      <c r="J550" s="78"/>
      <c r="K550" s="78"/>
      <c r="L550" s="120"/>
      <c r="M550" s="120"/>
      <c r="N550" s="293"/>
      <c r="O550" s="120"/>
      <c r="P550" s="188"/>
      <c r="Q550" s="1"/>
    </row>
    <row r="551" spans="1:17" s="15" customFormat="1" x14ac:dyDescent="0.3">
      <c r="A551" s="27"/>
      <c r="B551" s="1"/>
      <c r="D551" s="240"/>
      <c r="E551" s="240"/>
      <c r="H551" s="21"/>
      <c r="I551" s="396"/>
      <c r="J551" s="78"/>
      <c r="K551" s="78"/>
      <c r="L551" s="120"/>
      <c r="M551" s="120"/>
      <c r="N551" s="293"/>
      <c r="O551" s="120"/>
      <c r="P551" s="188"/>
      <c r="Q551" s="1"/>
    </row>
    <row r="552" spans="1:17" s="15" customFormat="1" x14ac:dyDescent="0.3">
      <c r="A552" s="27"/>
      <c r="B552" s="1"/>
      <c r="D552" s="240"/>
      <c r="E552" s="240"/>
      <c r="H552" s="21"/>
      <c r="I552" s="396"/>
      <c r="J552" s="78"/>
      <c r="K552" s="78"/>
      <c r="L552" s="120"/>
      <c r="M552" s="120"/>
      <c r="N552" s="293"/>
      <c r="O552" s="120"/>
      <c r="P552" s="188"/>
      <c r="Q552" s="1"/>
    </row>
    <row r="553" spans="1:17" s="15" customFormat="1" x14ac:dyDescent="0.3">
      <c r="A553" s="27"/>
      <c r="B553" s="1"/>
      <c r="D553" s="240"/>
      <c r="E553" s="240"/>
      <c r="H553" s="21"/>
      <c r="I553" s="396"/>
      <c r="J553" s="78"/>
      <c r="K553" s="78"/>
      <c r="L553" s="120"/>
      <c r="M553" s="120"/>
      <c r="N553" s="293"/>
      <c r="O553" s="120"/>
      <c r="P553" s="188"/>
      <c r="Q553" s="1"/>
    </row>
    <row r="554" spans="1:17" s="15" customFormat="1" x14ac:dyDescent="0.3">
      <c r="A554" s="27"/>
      <c r="B554" s="1"/>
      <c r="D554" s="240"/>
      <c r="E554" s="240"/>
      <c r="H554" s="21"/>
      <c r="I554" s="396"/>
      <c r="J554" s="78"/>
      <c r="K554" s="78"/>
      <c r="L554" s="120"/>
      <c r="M554" s="120"/>
      <c r="N554" s="293"/>
      <c r="O554" s="120"/>
      <c r="P554" s="188"/>
      <c r="Q554" s="1"/>
    </row>
    <row r="555" spans="1:17" s="15" customFormat="1" x14ac:dyDescent="0.3">
      <c r="A555" s="27"/>
      <c r="B555" s="1"/>
      <c r="D555" s="240"/>
      <c r="E555" s="240"/>
      <c r="H555" s="21"/>
      <c r="I555" s="396"/>
      <c r="J555" s="78"/>
      <c r="K555" s="78"/>
      <c r="L555" s="120"/>
      <c r="M555" s="120"/>
      <c r="N555" s="293"/>
      <c r="O555" s="120"/>
      <c r="P555" s="188"/>
      <c r="Q555" s="1"/>
    </row>
    <row r="556" spans="1:17" s="15" customFormat="1" x14ac:dyDescent="0.3">
      <c r="A556" s="27"/>
      <c r="B556" s="1"/>
      <c r="D556" s="240"/>
      <c r="E556" s="240"/>
      <c r="H556" s="21"/>
      <c r="I556" s="396"/>
      <c r="J556" s="78"/>
      <c r="K556" s="78"/>
      <c r="L556" s="120"/>
      <c r="M556" s="120"/>
      <c r="N556" s="293"/>
      <c r="O556" s="120"/>
      <c r="P556" s="188"/>
      <c r="Q556" s="1"/>
    </row>
    <row r="557" spans="1:17" s="15" customFormat="1" x14ac:dyDescent="0.3">
      <c r="A557" s="27"/>
      <c r="B557" s="1"/>
      <c r="D557" s="240"/>
      <c r="E557" s="240"/>
      <c r="H557" s="21"/>
      <c r="I557" s="396"/>
      <c r="J557" s="78"/>
      <c r="K557" s="78"/>
      <c r="L557" s="120"/>
      <c r="M557" s="120"/>
      <c r="N557" s="293"/>
      <c r="O557" s="120"/>
      <c r="P557" s="188"/>
      <c r="Q557" s="1"/>
    </row>
    <row r="558" spans="1:17" s="15" customFormat="1" x14ac:dyDescent="0.3">
      <c r="A558" s="27"/>
      <c r="B558" s="1"/>
      <c r="D558" s="240"/>
      <c r="E558" s="240"/>
      <c r="H558" s="21"/>
      <c r="I558" s="396"/>
      <c r="J558" s="78"/>
      <c r="K558" s="78"/>
      <c r="L558" s="120"/>
      <c r="M558" s="120"/>
      <c r="N558" s="293"/>
      <c r="O558" s="120"/>
      <c r="P558" s="188"/>
      <c r="Q558" s="1"/>
    </row>
    <row r="559" spans="1:17" s="15" customFormat="1" x14ac:dyDescent="0.3">
      <c r="A559" s="27"/>
      <c r="B559" s="1"/>
      <c r="D559" s="240"/>
      <c r="E559" s="240"/>
      <c r="H559" s="21"/>
      <c r="I559" s="396"/>
      <c r="J559" s="78"/>
      <c r="K559" s="78"/>
      <c r="L559" s="120"/>
      <c r="M559" s="120"/>
      <c r="N559" s="293"/>
      <c r="O559" s="120"/>
      <c r="P559" s="188"/>
      <c r="Q559" s="1"/>
    </row>
    <row r="560" spans="1:17" s="15" customFormat="1" x14ac:dyDescent="0.3">
      <c r="A560" s="27"/>
      <c r="B560" s="1"/>
      <c r="D560" s="240"/>
      <c r="E560" s="240"/>
      <c r="H560" s="21"/>
      <c r="I560" s="396"/>
      <c r="J560" s="78"/>
      <c r="K560" s="78"/>
      <c r="L560" s="120"/>
      <c r="M560" s="120"/>
      <c r="N560" s="293"/>
      <c r="O560" s="120"/>
      <c r="P560" s="188"/>
      <c r="Q560" s="1"/>
    </row>
    <row r="561" spans="1:17" s="15" customFormat="1" x14ac:dyDescent="0.3">
      <c r="A561" s="27"/>
      <c r="B561" s="1"/>
      <c r="D561" s="240"/>
      <c r="E561" s="240"/>
      <c r="H561" s="21"/>
      <c r="I561" s="396"/>
      <c r="J561" s="78"/>
      <c r="K561" s="78"/>
      <c r="L561" s="120"/>
      <c r="M561" s="120"/>
      <c r="N561" s="293"/>
      <c r="O561" s="120"/>
      <c r="P561" s="188"/>
      <c r="Q561" s="1"/>
    </row>
    <row r="562" spans="1:17" s="15" customFormat="1" x14ac:dyDescent="0.3">
      <c r="A562" s="27"/>
      <c r="B562" s="1"/>
      <c r="D562" s="240"/>
      <c r="E562" s="240"/>
      <c r="H562" s="21"/>
      <c r="I562" s="396"/>
      <c r="J562" s="78"/>
      <c r="K562" s="78"/>
      <c r="L562" s="120"/>
      <c r="M562" s="120"/>
      <c r="N562" s="293"/>
      <c r="O562" s="120"/>
      <c r="P562" s="188"/>
      <c r="Q562" s="1"/>
    </row>
    <row r="563" spans="1:17" s="15" customFormat="1" x14ac:dyDescent="0.3">
      <c r="A563" s="27"/>
      <c r="B563" s="1"/>
      <c r="D563" s="240"/>
      <c r="E563" s="240"/>
      <c r="H563" s="21"/>
      <c r="I563" s="396"/>
      <c r="J563" s="78"/>
      <c r="K563" s="78"/>
      <c r="L563" s="120"/>
      <c r="M563" s="120"/>
      <c r="N563" s="293"/>
      <c r="O563" s="120"/>
      <c r="P563" s="188"/>
      <c r="Q563" s="1"/>
    </row>
    <row r="564" spans="1:17" s="15" customFormat="1" x14ac:dyDescent="0.3">
      <c r="A564" s="27"/>
      <c r="B564" s="1"/>
      <c r="D564" s="240"/>
      <c r="E564" s="240"/>
      <c r="H564" s="21"/>
      <c r="I564" s="396"/>
      <c r="J564" s="78"/>
      <c r="K564" s="78"/>
      <c r="L564" s="120"/>
      <c r="M564" s="120"/>
      <c r="N564" s="293"/>
      <c r="O564" s="120"/>
      <c r="P564" s="188"/>
      <c r="Q564" s="1"/>
    </row>
    <row r="565" spans="1:17" s="15" customFormat="1" x14ac:dyDescent="0.3">
      <c r="A565" s="27"/>
      <c r="B565" s="1"/>
      <c r="D565" s="240"/>
      <c r="E565" s="240"/>
      <c r="H565" s="21"/>
      <c r="I565" s="396"/>
      <c r="J565" s="78"/>
      <c r="K565" s="78"/>
      <c r="L565" s="120"/>
      <c r="M565" s="120"/>
      <c r="N565" s="293"/>
      <c r="O565" s="120"/>
      <c r="P565" s="188"/>
      <c r="Q565" s="1"/>
    </row>
    <row r="566" spans="1:17" s="15" customFormat="1" x14ac:dyDescent="0.3">
      <c r="A566" s="27"/>
      <c r="B566" s="1"/>
      <c r="D566" s="240"/>
      <c r="E566" s="240"/>
      <c r="H566" s="21"/>
      <c r="I566" s="396"/>
      <c r="J566" s="78"/>
      <c r="K566" s="78"/>
      <c r="L566" s="120"/>
      <c r="M566" s="120"/>
      <c r="N566" s="293"/>
      <c r="O566" s="120"/>
      <c r="P566" s="188"/>
      <c r="Q566" s="1"/>
    </row>
    <row r="567" spans="1:17" s="15" customFormat="1" x14ac:dyDescent="0.3">
      <c r="A567" s="27"/>
      <c r="B567" s="1"/>
      <c r="D567" s="240"/>
      <c r="E567" s="240"/>
      <c r="H567" s="21"/>
      <c r="I567" s="396"/>
      <c r="J567" s="78"/>
      <c r="K567" s="78"/>
      <c r="L567" s="120"/>
      <c r="M567" s="120"/>
      <c r="N567" s="293"/>
      <c r="O567" s="120"/>
      <c r="P567" s="188"/>
      <c r="Q567" s="1"/>
    </row>
    <row r="568" spans="1:17" s="15" customFormat="1" x14ac:dyDescent="0.3">
      <c r="A568" s="27"/>
      <c r="B568" s="1"/>
      <c r="D568" s="240"/>
      <c r="E568" s="240"/>
      <c r="H568" s="21"/>
      <c r="I568" s="396"/>
      <c r="J568" s="78"/>
      <c r="K568" s="78"/>
      <c r="L568" s="120"/>
      <c r="M568" s="120"/>
      <c r="N568" s="293"/>
      <c r="O568" s="120"/>
      <c r="P568" s="188"/>
      <c r="Q568" s="1"/>
    </row>
    <row r="569" spans="1:17" s="15" customFormat="1" x14ac:dyDescent="0.3">
      <c r="A569" s="27"/>
      <c r="B569" s="1"/>
      <c r="D569" s="240"/>
      <c r="E569" s="240"/>
      <c r="H569" s="21"/>
      <c r="I569" s="396"/>
      <c r="J569" s="78"/>
      <c r="K569" s="78"/>
      <c r="L569" s="120"/>
      <c r="M569" s="120"/>
      <c r="N569" s="293"/>
      <c r="O569" s="120"/>
      <c r="P569" s="188"/>
      <c r="Q569" s="1"/>
    </row>
    <row r="570" spans="1:17" s="15" customFormat="1" x14ac:dyDescent="0.3">
      <c r="A570" s="27"/>
      <c r="B570" s="1"/>
      <c r="D570" s="240"/>
      <c r="E570" s="240"/>
      <c r="H570" s="21"/>
      <c r="I570" s="396"/>
      <c r="J570" s="78"/>
      <c r="K570" s="78"/>
      <c r="L570" s="120"/>
      <c r="M570" s="120"/>
      <c r="N570" s="293"/>
      <c r="O570" s="120"/>
      <c r="P570" s="188"/>
      <c r="Q570" s="1"/>
    </row>
    <row r="571" spans="1:17" s="15" customFormat="1" x14ac:dyDescent="0.3">
      <c r="A571" s="27"/>
      <c r="B571" s="1"/>
      <c r="D571" s="240"/>
      <c r="E571" s="240"/>
      <c r="H571" s="21"/>
      <c r="I571" s="396"/>
      <c r="J571" s="78"/>
      <c r="K571" s="78"/>
      <c r="L571" s="120"/>
      <c r="M571" s="120"/>
      <c r="N571" s="293"/>
      <c r="O571" s="120"/>
      <c r="P571" s="188"/>
      <c r="Q571" s="1"/>
    </row>
    <row r="572" spans="1:17" s="15" customFormat="1" x14ac:dyDescent="0.3">
      <c r="A572" s="27"/>
      <c r="B572" s="1"/>
      <c r="D572" s="240"/>
      <c r="E572" s="240"/>
      <c r="H572" s="21"/>
      <c r="I572" s="396"/>
      <c r="J572" s="78"/>
      <c r="K572" s="78"/>
      <c r="L572" s="120"/>
      <c r="M572" s="120"/>
      <c r="N572" s="293"/>
      <c r="O572" s="120"/>
      <c r="P572" s="188"/>
      <c r="Q572" s="1"/>
    </row>
    <row r="573" spans="1:17" s="15" customFormat="1" x14ac:dyDescent="0.3">
      <c r="A573" s="27"/>
      <c r="B573" s="1"/>
      <c r="D573" s="240"/>
      <c r="E573" s="240"/>
      <c r="H573" s="21"/>
      <c r="I573" s="396"/>
      <c r="J573" s="78"/>
      <c r="K573" s="78"/>
      <c r="L573" s="120"/>
      <c r="M573" s="120"/>
      <c r="N573" s="293"/>
      <c r="O573" s="120"/>
      <c r="P573" s="188"/>
      <c r="Q573" s="1"/>
    </row>
    <row r="574" spans="1:17" s="15" customFormat="1" x14ac:dyDescent="0.3">
      <c r="A574" s="27"/>
      <c r="B574" s="1"/>
      <c r="D574" s="240"/>
      <c r="E574" s="240"/>
      <c r="H574" s="21"/>
      <c r="I574" s="396"/>
      <c r="J574" s="78"/>
      <c r="K574" s="78"/>
      <c r="L574" s="120"/>
      <c r="M574" s="120"/>
      <c r="N574" s="293"/>
      <c r="O574" s="120"/>
      <c r="P574" s="188"/>
      <c r="Q574" s="1"/>
    </row>
    <row r="575" spans="1:17" s="15" customFormat="1" x14ac:dyDescent="0.3">
      <c r="A575" s="27"/>
      <c r="B575" s="1"/>
      <c r="D575" s="240"/>
      <c r="E575" s="240"/>
      <c r="H575" s="21"/>
      <c r="I575" s="396"/>
      <c r="J575" s="78"/>
      <c r="K575" s="78"/>
      <c r="L575" s="120"/>
      <c r="M575" s="120"/>
      <c r="N575" s="293"/>
      <c r="O575" s="120"/>
      <c r="P575" s="188"/>
      <c r="Q575" s="1"/>
    </row>
    <row r="576" spans="1:17" s="15" customFormat="1" x14ac:dyDescent="0.3">
      <c r="A576" s="27"/>
      <c r="B576" s="1"/>
      <c r="D576" s="240"/>
      <c r="E576" s="240"/>
      <c r="H576" s="21"/>
      <c r="I576" s="396"/>
      <c r="J576" s="78"/>
      <c r="K576" s="78"/>
      <c r="L576" s="120"/>
      <c r="M576" s="120"/>
      <c r="N576" s="293"/>
      <c r="O576" s="120"/>
      <c r="P576" s="188"/>
      <c r="Q576" s="1"/>
    </row>
    <row r="577" spans="1:17" s="15" customFormat="1" x14ac:dyDescent="0.3">
      <c r="A577" s="27"/>
      <c r="B577" s="1"/>
      <c r="D577" s="240"/>
      <c r="E577" s="240"/>
      <c r="H577" s="21"/>
      <c r="I577" s="396"/>
      <c r="J577" s="78"/>
      <c r="K577" s="78"/>
      <c r="L577" s="120"/>
      <c r="M577" s="120"/>
      <c r="N577" s="293"/>
      <c r="O577" s="120"/>
      <c r="P577" s="188"/>
      <c r="Q577" s="1"/>
    </row>
    <row r="578" spans="1:17" s="15" customFormat="1" x14ac:dyDescent="0.3">
      <c r="A578" s="27"/>
      <c r="B578" s="1"/>
      <c r="D578" s="240"/>
      <c r="E578" s="240"/>
      <c r="H578" s="21"/>
      <c r="I578" s="396"/>
      <c r="J578" s="78"/>
      <c r="K578" s="78"/>
      <c r="L578" s="120"/>
      <c r="M578" s="120"/>
      <c r="N578" s="293"/>
      <c r="O578" s="120"/>
      <c r="P578" s="188"/>
      <c r="Q578" s="1"/>
    </row>
    <row r="579" spans="1:17" s="15" customFormat="1" x14ac:dyDescent="0.3">
      <c r="A579" s="27"/>
      <c r="B579" s="1"/>
      <c r="D579" s="240"/>
      <c r="E579" s="240"/>
      <c r="H579" s="21"/>
      <c r="I579" s="396"/>
      <c r="J579" s="78"/>
      <c r="K579" s="78"/>
      <c r="L579" s="120"/>
      <c r="M579" s="120"/>
      <c r="N579" s="293"/>
      <c r="O579" s="120"/>
      <c r="P579" s="188"/>
      <c r="Q579" s="1"/>
    </row>
    <row r="580" spans="1:17" s="15" customFormat="1" x14ac:dyDescent="0.3">
      <c r="A580" s="27"/>
      <c r="B580" s="1"/>
      <c r="D580" s="240"/>
      <c r="E580" s="240"/>
      <c r="H580" s="21"/>
      <c r="I580" s="396"/>
      <c r="J580" s="78"/>
      <c r="K580" s="78"/>
      <c r="L580" s="120"/>
      <c r="M580" s="120"/>
      <c r="N580" s="293"/>
      <c r="O580" s="120"/>
      <c r="P580" s="188"/>
      <c r="Q580" s="1"/>
    </row>
    <row r="581" spans="1:17" s="15" customFormat="1" x14ac:dyDescent="0.3">
      <c r="A581" s="27"/>
      <c r="B581" s="1"/>
      <c r="D581" s="240"/>
      <c r="E581" s="240"/>
      <c r="H581" s="21"/>
      <c r="I581" s="396"/>
      <c r="J581" s="78"/>
      <c r="K581" s="78"/>
      <c r="L581" s="120"/>
      <c r="M581" s="120"/>
      <c r="N581" s="293"/>
      <c r="O581" s="120"/>
      <c r="P581" s="188"/>
      <c r="Q581" s="1"/>
    </row>
    <row r="582" spans="1:17" s="15" customFormat="1" x14ac:dyDescent="0.3">
      <c r="A582" s="27"/>
      <c r="B582" s="1"/>
      <c r="D582" s="240"/>
      <c r="E582" s="240"/>
      <c r="H582" s="21"/>
      <c r="I582" s="396"/>
      <c r="J582" s="78"/>
      <c r="K582" s="78"/>
      <c r="L582" s="120"/>
      <c r="M582" s="120"/>
      <c r="N582" s="293"/>
      <c r="O582" s="120"/>
      <c r="P582" s="188"/>
      <c r="Q582" s="1"/>
    </row>
    <row r="583" spans="1:17" s="15" customFormat="1" x14ac:dyDescent="0.3">
      <c r="A583" s="27"/>
      <c r="B583" s="1"/>
      <c r="D583" s="240"/>
      <c r="E583" s="240"/>
      <c r="H583" s="21"/>
      <c r="I583" s="396"/>
      <c r="J583" s="78"/>
      <c r="K583" s="78"/>
      <c r="L583" s="120"/>
      <c r="M583" s="120"/>
      <c r="N583" s="293"/>
      <c r="O583" s="120"/>
      <c r="P583" s="188"/>
      <c r="Q583" s="1"/>
    </row>
    <row r="584" spans="1:17" s="15" customFormat="1" x14ac:dyDescent="0.3">
      <c r="A584" s="27"/>
      <c r="B584" s="1"/>
      <c r="D584" s="240"/>
      <c r="E584" s="240"/>
      <c r="H584" s="21"/>
      <c r="I584" s="396"/>
      <c r="J584" s="78"/>
      <c r="K584" s="78"/>
      <c r="L584" s="120"/>
      <c r="M584" s="120"/>
      <c r="N584" s="293"/>
      <c r="O584" s="120"/>
      <c r="P584" s="188"/>
      <c r="Q584" s="1"/>
    </row>
    <row r="585" spans="1:17" s="15" customFormat="1" x14ac:dyDescent="0.3">
      <c r="A585" s="27"/>
      <c r="B585" s="1"/>
      <c r="D585" s="240"/>
      <c r="E585" s="240"/>
      <c r="H585" s="21"/>
      <c r="I585" s="396"/>
      <c r="J585" s="78"/>
      <c r="K585" s="78"/>
      <c r="L585" s="120"/>
      <c r="M585" s="120"/>
      <c r="N585" s="293"/>
      <c r="O585" s="120"/>
      <c r="P585" s="188"/>
      <c r="Q585" s="1"/>
    </row>
    <row r="586" spans="1:17" s="15" customFormat="1" x14ac:dyDescent="0.3">
      <c r="A586" s="27"/>
      <c r="B586" s="1"/>
      <c r="D586" s="240"/>
      <c r="E586" s="240"/>
      <c r="H586" s="21"/>
      <c r="I586" s="396"/>
      <c r="J586" s="78"/>
      <c r="K586" s="78"/>
      <c r="L586" s="120"/>
      <c r="M586" s="120"/>
      <c r="N586" s="293"/>
      <c r="O586" s="120"/>
      <c r="P586" s="188"/>
      <c r="Q586" s="1"/>
    </row>
    <row r="587" spans="1:17" s="15" customFormat="1" x14ac:dyDescent="0.3">
      <c r="A587" s="27"/>
      <c r="B587" s="1"/>
      <c r="D587" s="240"/>
      <c r="E587" s="240"/>
      <c r="H587" s="21"/>
      <c r="I587" s="396"/>
      <c r="J587" s="78"/>
      <c r="K587" s="78"/>
      <c r="L587" s="120"/>
      <c r="M587" s="120"/>
      <c r="N587" s="293"/>
      <c r="O587" s="120"/>
      <c r="P587" s="188"/>
      <c r="Q587" s="1"/>
    </row>
    <row r="588" spans="1:17" s="15" customFormat="1" x14ac:dyDescent="0.3">
      <c r="A588" s="27"/>
      <c r="B588" s="1"/>
      <c r="D588" s="240"/>
      <c r="E588" s="240"/>
      <c r="H588" s="21"/>
      <c r="I588" s="396"/>
      <c r="J588" s="78"/>
      <c r="K588" s="78"/>
      <c r="L588" s="120"/>
      <c r="M588" s="120"/>
      <c r="N588" s="293"/>
      <c r="O588" s="120"/>
      <c r="P588" s="188"/>
      <c r="Q588" s="1"/>
    </row>
    <row r="589" spans="1:17" s="15" customFormat="1" x14ac:dyDescent="0.3">
      <c r="A589" s="27"/>
      <c r="B589" s="1"/>
      <c r="D589" s="240"/>
      <c r="E589" s="240"/>
      <c r="H589" s="21"/>
      <c r="I589" s="396"/>
      <c r="J589" s="78"/>
      <c r="K589" s="78"/>
      <c r="L589" s="120"/>
      <c r="M589" s="120"/>
      <c r="N589" s="293"/>
      <c r="O589" s="120"/>
      <c r="P589" s="188"/>
      <c r="Q589" s="1"/>
    </row>
    <row r="590" spans="1:17" s="15" customFormat="1" x14ac:dyDescent="0.3">
      <c r="A590" s="27"/>
      <c r="B590" s="1"/>
      <c r="D590" s="240"/>
      <c r="E590" s="240"/>
      <c r="H590" s="21"/>
      <c r="I590" s="396"/>
      <c r="J590" s="78"/>
      <c r="K590" s="78"/>
      <c r="L590" s="120"/>
      <c r="M590" s="120"/>
      <c r="N590" s="293"/>
      <c r="O590" s="120"/>
      <c r="P590" s="188"/>
      <c r="Q590" s="1"/>
    </row>
    <row r="591" spans="1:17" s="15" customFormat="1" x14ac:dyDescent="0.3">
      <c r="A591" s="27"/>
      <c r="B591" s="1"/>
      <c r="D591" s="240"/>
      <c r="E591" s="240"/>
      <c r="H591" s="21"/>
      <c r="I591" s="396"/>
      <c r="J591" s="78"/>
      <c r="K591" s="78"/>
      <c r="L591" s="120"/>
      <c r="M591" s="120"/>
      <c r="N591" s="293"/>
      <c r="O591" s="120"/>
      <c r="P591" s="188"/>
      <c r="Q591" s="1"/>
    </row>
    <row r="592" spans="1:17" s="15" customFormat="1" x14ac:dyDescent="0.3">
      <c r="A592" s="27"/>
      <c r="B592" s="1"/>
      <c r="D592" s="240"/>
      <c r="E592" s="240"/>
      <c r="H592" s="21"/>
      <c r="I592" s="396"/>
      <c r="J592" s="78"/>
      <c r="K592" s="78"/>
      <c r="L592" s="120"/>
      <c r="M592" s="120"/>
      <c r="N592" s="293"/>
      <c r="O592" s="120"/>
      <c r="P592" s="188"/>
      <c r="Q592" s="1"/>
    </row>
    <row r="593" spans="1:17" s="15" customFormat="1" x14ac:dyDescent="0.3">
      <c r="A593" s="27"/>
      <c r="B593" s="1"/>
      <c r="D593" s="240"/>
      <c r="E593" s="240"/>
      <c r="H593" s="21"/>
      <c r="I593" s="396"/>
      <c r="J593" s="78"/>
      <c r="K593" s="78"/>
      <c r="L593" s="120"/>
      <c r="M593" s="120"/>
      <c r="N593" s="293"/>
      <c r="O593" s="120"/>
      <c r="P593" s="188"/>
      <c r="Q593" s="1"/>
    </row>
    <row r="594" spans="1:17" s="15" customFormat="1" x14ac:dyDescent="0.3">
      <c r="A594" s="27"/>
      <c r="B594" s="1"/>
      <c r="D594" s="240"/>
      <c r="E594" s="240"/>
      <c r="H594" s="21"/>
      <c r="I594" s="396"/>
      <c r="J594" s="78"/>
      <c r="K594" s="78"/>
      <c r="L594" s="120"/>
      <c r="M594" s="120"/>
      <c r="N594" s="293"/>
      <c r="O594" s="120"/>
      <c r="P594" s="188"/>
      <c r="Q594" s="1"/>
    </row>
    <row r="595" spans="1:17" s="15" customFormat="1" x14ac:dyDescent="0.3">
      <c r="A595" s="27"/>
      <c r="B595" s="1"/>
      <c r="D595" s="240"/>
      <c r="E595" s="240"/>
      <c r="H595" s="21"/>
      <c r="I595" s="396"/>
      <c r="J595" s="78"/>
      <c r="K595" s="78"/>
      <c r="L595" s="120"/>
      <c r="M595" s="120"/>
      <c r="N595" s="293"/>
      <c r="O595" s="120"/>
      <c r="P595" s="188"/>
      <c r="Q595" s="1"/>
    </row>
    <row r="596" spans="1:17" s="15" customFormat="1" x14ac:dyDescent="0.3">
      <c r="A596" s="27"/>
      <c r="B596" s="1"/>
      <c r="D596" s="240"/>
      <c r="E596" s="240"/>
      <c r="H596" s="21"/>
      <c r="I596" s="396"/>
      <c r="J596" s="78"/>
      <c r="K596" s="78"/>
      <c r="L596" s="120"/>
      <c r="M596" s="120"/>
      <c r="N596" s="293"/>
      <c r="O596" s="120"/>
      <c r="P596" s="188"/>
      <c r="Q596" s="1"/>
    </row>
    <row r="597" spans="1:17" s="15" customFormat="1" x14ac:dyDescent="0.3">
      <c r="A597" s="27"/>
      <c r="B597" s="1"/>
      <c r="D597" s="240"/>
      <c r="E597" s="240"/>
      <c r="H597" s="21"/>
      <c r="I597" s="396"/>
      <c r="J597" s="78"/>
      <c r="K597" s="78"/>
      <c r="L597" s="120"/>
      <c r="M597" s="120"/>
      <c r="N597" s="293"/>
      <c r="O597" s="120"/>
      <c r="P597" s="188"/>
      <c r="Q597" s="1"/>
    </row>
    <row r="598" spans="1:17" s="15" customFormat="1" x14ac:dyDescent="0.3">
      <c r="A598" s="27"/>
      <c r="B598" s="1"/>
      <c r="D598" s="240"/>
      <c r="E598" s="240"/>
      <c r="H598" s="21"/>
      <c r="I598" s="396"/>
      <c r="J598" s="78"/>
      <c r="K598" s="78"/>
      <c r="L598" s="120"/>
      <c r="M598" s="120"/>
      <c r="N598" s="293"/>
      <c r="O598" s="120"/>
      <c r="P598" s="188"/>
      <c r="Q598" s="1"/>
    </row>
    <row r="599" spans="1:17" s="15" customFormat="1" x14ac:dyDescent="0.3">
      <c r="A599" s="27"/>
      <c r="B599" s="1"/>
      <c r="D599" s="240"/>
      <c r="E599" s="240"/>
      <c r="H599" s="21"/>
      <c r="I599" s="396"/>
      <c r="J599" s="78"/>
      <c r="K599" s="78"/>
      <c r="L599" s="120"/>
      <c r="M599" s="120"/>
      <c r="N599" s="293"/>
      <c r="O599" s="120"/>
      <c r="P599" s="188"/>
      <c r="Q599" s="1"/>
    </row>
    <row r="600" spans="1:17" s="15" customFormat="1" x14ac:dyDescent="0.3">
      <c r="A600" s="27"/>
      <c r="B600" s="1"/>
      <c r="D600" s="240"/>
      <c r="E600" s="240"/>
      <c r="H600" s="21"/>
      <c r="I600" s="396"/>
      <c r="J600" s="78"/>
      <c r="K600" s="78"/>
      <c r="L600" s="120"/>
      <c r="M600" s="120"/>
      <c r="N600" s="293"/>
      <c r="O600" s="120"/>
      <c r="P600" s="188"/>
      <c r="Q600" s="1"/>
    </row>
    <row r="601" spans="1:17" s="15" customFormat="1" x14ac:dyDescent="0.3">
      <c r="A601" s="27"/>
      <c r="B601" s="1"/>
      <c r="D601" s="240"/>
      <c r="E601" s="240"/>
      <c r="H601" s="21"/>
      <c r="I601" s="396"/>
      <c r="J601" s="78"/>
      <c r="K601" s="78"/>
      <c r="L601" s="120"/>
      <c r="M601" s="120"/>
      <c r="N601" s="293"/>
      <c r="O601" s="120"/>
      <c r="P601" s="188"/>
      <c r="Q601" s="1"/>
    </row>
    <row r="602" spans="1:17" s="15" customFormat="1" x14ac:dyDescent="0.3">
      <c r="A602" s="27"/>
      <c r="B602" s="1"/>
      <c r="D602" s="240"/>
      <c r="E602" s="240"/>
      <c r="H602" s="21"/>
      <c r="I602" s="396"/>
      <c r="J602" s="78"/>
      <c r="K602" s="78"/>
      <c r="L602" s="120"/>
      <c r="M602" s="120"/>
      <c r="N602" s="293"/>
      <c r="O602" s="120"/>
      <c r="P602" s="188"/>
      <c r="Q602" s="1"/>
    </row>
    <row r="603" spans="1:17" s="15" customFormat="1" x14ac:dyDescent="0.3">
      <c r="A603" s="27"/>
      <c r="B603" s="1"/>
      <c r="D603" s="240"/>
      <c r="E603" s="240"/>
      <c r="H603" s="21"/>
      <c r="I603" s="396"/>
      <c r="J603" s="78"/>
      <c r="K603" s="78"/>
      <c r="L603" s="120"/>
      <c r="M603" s="120"/>
      <c r="N603" s="293"/>
      <c r="O603" s="120"/>
      <c r="P603" s="188"/>
      <c r="Q603" s="1"/>
    </row>
    <row r="604" spans="1:17" s="15" customFormat="1" x14ac:dyDescent="0.3">
      <c r="A604" s="27"/>
      <c r="B604" s="1"/>
      <c r="D604" s="240"/>
      <c r="E604" s="240"/>
      <c r="H604" s="21"/>
      <c r="I604" s="396"/>
      <c r="J604" s="78"/>
      <c r="K604" s="78"/>
      <c r="L604" s="120"/>
      <c r="M604" s="120"/>
      <c r="N604" s="293"/>
      <c r="O604" s="120"/>
      <c r="P604" s="188"/>
      <c r="Q604" s="1"/>
    </row>
    <row r="605" spans="1:17" s="15" customFormat="1" x14ac:dyDescent="0.3">
      <c r="A605" s="27"/>
      <c r="B605" s="1"/>
      <c r="D605" s="240"/>
      <c r="E605" s="240"/>
      <c r="H605" s="21"/>
      <c r="I605" s="396"/>
      <c r="J605" s="78"/>
      <c r="K605" s="78"/>
      <c r="L605" s="120"/>
      <c r="M605" s="120"/>
      <c r="N605" s="293"/>
      <c r="O605" s="120"/>
      <c r="P605" s="188"/>
      <c r="Q605" s="1"/>
    </row>
    <row r="606" spans="1:17" s="15" customFormat="1" x14ac:dyDescent="0.3">
      <c r="A606" s="27"/>
      <c r="B606" s="1"/>
      <c r="D606" s="240"/>
      <c r="E606" s="240"/>
      <c r="H606" s="21"/>
      <c r="I606" s="396"/>
      <c r="J606" s="78"/>
      <c r="K606" s="78"/>
      <c r="L606" s="120"/>
      <c r="M606" s="120"/>
      <c r="N606" s="293"/>
      <c r="O606" s="120"/>
      <c r="P606" s="188"/>
      <c r="Q606" s="1"/>
    </row>
    <row r="607" spans="1:17" s="15" customFormat="1" x14ac:dyDescent="0.3">
      <c r="A607" s="27"/>
      <c r="B607" s="1"/>
      <c r="D607" s="240"/>
      <c r="E607" s="240"/>
      <c r="H607" s="21"/>
      <c r="I607" s="396"/>
      <c r="J607" s="78"/>
      <c r="K607" s="78"/>
      <c r="L607" s="120"/>
      <c r="M607" s="120"/>
      <c r="N607" s="293"/>
      <c r="O607" s="120"/>
      <c r="P607" s="188"/>
      <c r="Q607" s="1"/>
    </row>
    <row r="608" spans="1:17" s="15" customFormat="1" x14ac:dyDescent="0.3">
      <c r="A608" s="27"/>
      <c r="B608" s="1"/>
      <c r="D608" s="240"/>
      <c r="E608" s="240"/>
      <c r="H608" s="21"/>
      <c r="I608" s="396"/>
      <c r="J608" s="78"/>
      <c r="K608" s="78"/>
      <c r="L608" s="120"/>
      <c r="M608" s="120"/>
      <c r="N608" s="293"/>
      <c r="O608" s="120"/>
      <c r="P608" s="188"/>
      <c r="Q608" s="1"/>
    </row>
    <row r="609" spans="1:17" s="15" customFormat="1" x14ac:dyDescent="0.3">
      <c r="A609" s="27"/>
      <c r="B609" s="1"/>
      <c r="D609" s="240"/>
      <c r="E609" s="240"/>
      <c r="H609" s="21"/>
      <c r="I609" s="396"/>
      <c r="J609" s="78"/>
      <c r="K609" s="78"/>
      <c r="L609" s="120"/>
      <c r="M609" s="120"/>
      <c r="N609" s="293"/>
      <c r="O609" s="120"/>
      <c r="P609" s="188"/>
      <c r="Q609" s="1"/>
    </row>
    <row r="610" spans="1:17" s="15" customFormat="1" x14ac:dyDescent="0.3">
      <c r="A610" s="27"/>
      <c r="B610" s="1"/>
      <c r="D610" s="240"/>
      <c r="E610" s="240"/>
      <c r="H610" s="21"/>
      <c r="I610" s="396"/>
      <c r="J610" s="78"/>
      <c r="K610" s="78"/>
      <c r="L610" s="120"/>
      <c r="M610" s="120"/>
      <c r="N610" s="293"/>
      <c r="O610" s="120"/>
      <c r="P610" s="188"/>
      <c r="Q610" s="1"/>
    </row>
    <row r="611" spans="1:17" s="15" customFormat="1" x14ac:dyDescent="0.3">
      <c r="A611" s="27"/>
      <c r="B611" s="1"/>
      <c r="D611" s="240"/>
      <c r="E611" s="240"/>
      <c r="H611" s="21"/>
      <c r="I611" s="396"/>
      <c r="J611" s="78"/>
      <c r="K611" s="78"/>
      <c r="L611" s="120"/>
      <c r="M611" s="120"/>
      <c r="N611" s="293"/>
      <c r="O611" s="120"/>
      <c r="P611" s="188"/>
      <c r="Q611" s="1"/>
    </row>
    <row r="612" spans="1:17" s="15" customFormat="1" x14ac:dyDescent="0.3">
      <c r="A612" s="27"/>
      <c r="B612" s="1"/>
      <c r="D612" s="240"/>
      <c r="E612" s="240"/>
      <c r="H612" s="21"/>
      <c r="I612" s="396"/>
      <c r="J612" s="78"/>
      <c r="K612" s="78"/>
      <c r="L612" s="120"/>
      <c r="M612" s="120"/>
      <c r="N612" s="293"/>
      <c r="O612" s="120"/>
      <c r="P612" s="188"/>
      <c r="Q612" s="1"/>
    </row>
    <row r="613" spans="1:17" s="15" customFormat="1" x14ac:dyDescent="0.3">
      <c r="A613" s="27"/>
      <c r="B613" s="1"/>
      <c r="D613" s="240"/>
      <c r="E613" s="240"/>
      <c r="H613" s="21"/>
      <c r="I613" s="396"/>
      <c r="J613" s="78"/>
      <c r="K613" s="78"/>
      <c r="L613" s="120"/>
      <c r="M613" s="120"/>
      <c r="N613" s="293"/>
      <c r="O613" s="120"/>
      <c r="P613" s="188"/>
      <c r="Q613" s="1"/>
    </row>
    <row r="614" spans="1:17" s="15" customFormat="1" x14ac:dyDescent="0.3">
      <c r="A614" s="27"/>
      <c r="B614" s="1"/>
      <c r="D614" s="240"/>
      <c r="E614" s="240"/>
      <c r="H614" s="21"/>
      <c r="I614" s="396"/>
      <c r="J614" s="78"/>
      <c r="K614" s="78"/>
      <c r="L614" s="120"/>
      <c r="M614" s="120"/>
      <c r="N614" s="293"/>
      <c r="O614" s="120"/>
      <c r="P614" s="188"/>
      <c r="Q614" s="1"/>
    </row>
    <row r="615" spans="1:17" s="15" customFormat="1" x14ac:dyDescent="0.3">
      <c r="A615" s="27"/>
      <c r="B615" s="1"/>
      <c r="D615" s="240"/>
      <c r="E615" s="240"/>
      <c r="H615" s="21"/>
      <c r="I615" s="396"/>
      <c r="J615" s="78"/>
      <c r="K615" s="78"/>
      <c r="L615" s="120"/>
      <c r="M615" s="120"/>
      <c r="N615" s="293"/>
      <c r="O615" s="120"/>
      <c r="P615" s="188"/>
      <c r="Q615" s="1"/>
    </row>
    <row r="616" spans="1:17" s="15" customFormat="1" x14ac:dyDescent="0.3">
      <c r="A616" s="27"/>
      <c r="B616" s="1"/>
      <c r="D616" s="240"/>
      <c r="E616" s="240"/>
      <c r="H616" s="21"/>
      <c r="I616" s="396"/>
      <c r="J616" s="78"/>
      <c r="K616" s="78"/>
      <c r="L616" s="120"/>
      <c r="M616" s="120"/>
      <c r="N616" s="293"/>
      <c r="O616" s="120"/>
      <c r="P616" s="188"/>
      <c r="Q616" s="1"/>
    </row>
    <row r="617" spans="1:17" s="15" customFormat="1" x14ac:dyDescent="0.3">
      <c r="A617" s="27"/>
      <c r="B617" s="1"/>
      <c r="D617" s="240"/>
      <c r="E617" s="240"/>
      <c r="H617" s="21"/>
      <c r="I617" s="396"/>
      <c r="J617" s="78"/>
      <c r="K617" s="78"/>
      <c r="L617" s="120"/>
      <c r="M617" s="120"/>
      <c r="N617" s="293"/>
      <c r="O617" s="120"/>
      <c r="P617" s="188"/>
      <c r="Q617" s="1"/>
    </row>
    <row r="618" spans="1:17" s="15" customFormat="1" x14ac:dyDescent="0.3">
      <c r="A618" s="27"/>
      <c r="B618" s="1"/>
      <c r="D618" s="240"/>
      <c r="E618" s="240"/>
      <c r="H618" s="21"/>
      <c r="I618" s="396"/>
      <c r="J618" s="78"/>
      <c r="K618" s="78"/>
      <c r="L618" s="120"/>
      <c r="M618" s="120"/>
      <c r="N618" s="293"/>
      <c r="O618" s="120"/>
      <c r="P618" s="188"/>
      <c r="Q618" s="1"/>
    </row>
    <row r="619" spans="1:17" s="15" customFormat="1" x14ac:dyDescent="0.3">
      <c r="A619" s="27"/>
      <c r="B619" s="1"/>
      <c r="D619" s="240"/>
      <c r="E619" s="240"/>
      <c r="H619" s="21"/>
      <c r="I619" s="396"/>
      <c r="J619" s="78"/>
      <c r="K619" s="78"/>
      <c r="L619" s="120"/>
      <c r="M619" s="120"/>
      <c r="N619" s="293"/>
      <c r="O619" s="120"/>
      <c r="P619" s="188"/>
      <c r="Q619" s="1"/>
    </row>
    <row r="620" spans="1:17" s="15" customFormat="1" x14ac:dyDescent="0.3">
      <c r="A620" s="27"/>
      <c r="B620" s="1"/>
      <c r="D620" s="240"/>
      <c r="E620" s="240"/>
      <c r="H620" s="21"/>
      <c r="I620" s="396"/>
      <c r="J620" s="78"/>
      <c r="K620" s="78"/>
      <c r="L620" s="120"/>
      <c r="M620" s="120"/>
      <c r="N620" s="293"/>
      <c r="O620" s="120"/>
      <c r="P620" s="188"/>
      <c r="Q620" s="1"/>
    </row>
    <row r="621" spans="1:17" s="15" customFormat="1" x14ac:dyDescent="0.3">
      <c r="A621" s="27"/>
      <c r="B621" s="1"/>
      <c r="D621" s="240"/>
      <c r="E621" s="240"/>
      <c r="H621" s="21"/>
      <c r="I621" s="396"/>
      <c r="J621" s="78"/>
      <c r="K621" s="78"/>
      <c r="L621" s="120"/>
      <c r="M621" s="120"/>
      <c r="N621" s="293"/>
      <c r="O621" s="120"/>
      <c r="P621" s="188"/>
      <c r="Q621" s="1"/>
    </row>
    <row r="622" spans="1:17" s="15" customFormat="1" x14ac:dyDescent="0.3">
      <c r="A622" s="27"/>
      <c r="B622" s="1"/>
      <c r="D622" s="240"/>
      <c r="E622" s="240"/>
      <c r="H622" s="21"/>
      <c r="I622" s="396"/>
      <c r="J622" s="78"/>
      <c r="K622" s="78"/>
      <c r="L622" s="120"/>
      <c r="M622" s="120"/>
      <c r="N622" s="293"/>
      <c r="O622" s="120"/>
      <c r="P622" s="188"/>
      <c r="Q622" s="1"/>
    </row>
    <row r="623" spans="1:17" s="15" customFormat="1" x14ac:dyDescent="0.3">
      <c r="A623" s="27"/>
      <c r="B623" s="1"/>
      <c r="D623" s="240"/>
      <c r="E623" s="240"/>
      <c r="H623" s="21"/>
      <c r="I623" s="396"/>
      <c r="J623" s="78"/>
      <c r="K623" s="78"/>
      <c r="L623" s="120"/>
      <c r="M623" s="120"/>
      <c r="N623" s="293"/>
      <c r="O623" s="120"/>
      <c r="P623" s="188"/>
      <c r="Q623" s="1"/>
    </row>
    <row r="624" spans="1:17" s="15" customFormat="1" x14ac:dyDescent="0.3">
      <c r="A624" s="27"/>
      <c r="B624" s="1"/>
      <c r="D624" s="240"/>
      <c r="E624" s="240"/>
      <c r="H624" s="21"/>
      <c r="I624" s="396"/>
      <c r="J624" s="78"/>
      <c r="K624" s="78"/>
      <c r="L624" s="120"/>
      <c r="M624" s="120"/>
      <c r="N624" s="293"/>
      <c r="O624" s="120"/>
      <c r="P624" s="188"/>
      <c r="Q624" s="1"/>
    </row>
    <row r="625" spans="1:17" s="15" customFormat="1" x14ac:dyDescent="0.3">
      <c r="A625" s="27"/>
      <c r="B625" s="1"/>
      <c r="D625" s="240"/>
      <c r="E625" s="240"/>
      <c r="H625" s="21"/>
      <c r="I625" s="396"/>
      <c r="J625" s="78"/>
      <c r="K625" s="78"/>
      <c r="L625" s="120"/>
      <c r="M625" s="120"/>
      <c r="N625" s="293"/>
      <c r="O625" s="120"/>
      <c r="P625" s="188"/>
      <c r="Q625" s="1"/>
    </row>
    <row r="626" spans="1:17" s="15" customFormat="1" x14ac:dyDescent="0.3">
      <c r="A626" s="27"/>
      <c r="B626" s="1"/>
      <c r="D626" s="240"/>
      <c r="E626" s="240"/>
      <c r="H626" s="21"/>
      <c r="I626" s="396"/>
      <c r="J626" s="78"/>
      <c r="K626" s="78"/>
      <c r="L626" s="120"/>
      <c r="M626" s="120"/>
      <c r="N626" s="293"/>
      <c r="O626" s="120"/>
      <c r="P626" s="188"/>
      <c r="Q626" s="1"/>
    </row>
    <row r="627" spans="1:17" s="15" customFormat="1" x14ac:dyDescent="0.3">
      <c r="A627" s="27"/>
      <c r="B627" s="1"/>
      <c r="D627" s="240"/>
      <c r="E627" s="240"/>
      <c r="H627" s="21"/>
      <c r="I627" s="396"/>
      <c r="J627" s="78"/>
      <c r="K627" s="78"/>
      <c r="L627" s="120"/>
      <c r="M627" s="120"/>
      <c r="N627" s="293"/>
      <c r="O627" s="120"/>
      <c r="P627" s="188"/>
      <c r="Q627" s="1"/>
    </row>
    <row r="628" spans="1:17" s="15" customFormat="1" x14ac:dyDescent="0.3">
      <c r="A628" s="27"/>
      <c r="B628" s="1"/>
      <c r="D628" s="240"/>
      <c r="E628" s="240"/>
      <c r="H628" s="21"/>
      <c r="I628" s="396"/>
      <c r="J628" s="78"/>
      <c r="K628" s="78"/>
      <c r="L628" s="120"/>
      <c r="M628" s="120"/>
      <c r="N628" s="293"/>
      <c r="O628" s="120"/>
      <c r="P628" s="188"/>
      <c r="Q628" s="1"/>
    </row>
    <row r="629" spans="1:17" s="15" customFormat="1" x14ac:dyDescent="0.3">
      <c r="A629" s="27"/>
      <c r="B629" s="1"/>
      <c r="D629" s="240"/>
      <c r="E629" s="240"/>
      <c r="H629" s="21"/>
      <c r="I629" s="396"/>
      <c r="J629" s="78"/>
      <c r="K629" s="78"/>
      <c r="L629" s="120"/>
      <c r="M629" s="120"/>
      <c r="N629" s="293"/>
      <c r="O629" s="120"/>
      <c r="P629" s="188"/>
      <c r="Q629" s="1"/>
    </row>
    <row r="630" spans="1:17" s="15" customFormat="1" x14ac:dyDescent="0.3">
      <c r="A630" s="27"/>
      <c r="B630" s="1"/>
      <c r="D630" s="240"/>
      <c r="E630" s="240"/>
      <c r="H630" s="21"/>
      <c r="I630" s="396"/>
      <c r="J630" s="78"/>
      <c r="K630" s="78"/>
      <c r="L630" s="120"/>
      <c r="M630" s="120"/>
      <c r="N630" s="293"/>
      <c r="O630" s="120"/>
      <c r="P630" s="188"/>
      <c r="Q630" s="1"/>
    </row>
    <row r="631" spans="1:17" s="15" customFormat="1" x14ac:dyDescent="0.3">
      <c r="A631" s="27"/>
      <c r="B631" s="1"/>
      <c r="D631" s="240"/>
      <c r="E631" s="240"/>
      <c r="H631" s="21"/>
      <c r="I631" s="396"/>
      <c r="J631" s="78"/>
      <c r="K631" s="78"/>
      <c r="L631" s="120"/>
      <c r="M631" s="120"/>
      <c r="N631" s="293"/>
      <c r="O631" s="120"/>
      <c r="P631" s="188"/>
      <c r="Q631" s="1"/>
    </row>
    <row r="632" spans="1:17" s="15" customFormat="1" x14ac:dyDescent="0.3">
      <c r="A632" s="27"/>
      <c r="B632" s="1"/>
      <c r="D632" s="240"/>
      <c r="E632" s="240"/>
      <c r="H632" s="21"/>
      <c r="I632" s="396"/>
      <c r="J632" s="78"/>
      <c r="K632" s="78"/>
      <c r="L632" s="120"/>
      <c r="M632" s="120"/>
      <c r="N632" s="293"/>
      <c r="O632" s="120"/>
      <c r="P632" s="188"/>
      <c r="Q632" s="1"/>
    </row>
    <row r="633" spans="1:17" s="15" customFormat="1" x14ac:dyDescent="0.3">
      <c r="A633" s="27"/>
      <c r="B633" s="1"/>
      <c r="D633" s="240"/>
      <c r="E633" s="240"/>
      <c r="H633" s="21"/>
      <c r="I633" s="396"/>
      <c r="J633" s="78"/>
      <c r="K633" s="78"/>
      <c r="L633" s="120"/>
      <c r="M633" s="120"/>
      <c r="N633" s="293"/>
      <c r="O633" s="120"/>
      <c r="P633" s="188"/>
      <c r="Q633" s="1"/>
    </row>
    <row r="634" spans="1:17" s="15" customFormat="1" x14ac:dyDescent="0.3">
      <c r="A634" s="27"/>
      <c r="B634" s="1"/>
      <c r="D634" s="240"/>
      <c r="E634" s="240"/>
      <c r="H634" s="21"/>
      <c r="I634" s="396"/>
      <c r="J634" s="78"/>
      <c r="K634" s="78"/>
      <c r="L634" s="120"/>
      <c r="M634" s="120"/>
      <c r="N634" s="293"/>
      <c r="O634" s="120"/>
      <c r="P634" s="188"/>
      <c r="Q634" s="1"/>
    </row>
    <row r="635" spans="1:17" s="15" customFormat="1" x14ac:dyDescent="0.3">
      <c r="A635" s="27"/>
      <c r="B635" s="1"/>
      <c r="D635" s="240"/>
      <c r="E635" s="240"/>
      <c r="H635" s="21"/>
      <c r="I635" s="396"/>
      <c r="J635" s="78"/>
      <c r="K635" s="78"/>
      <c r="L635" s="120"/>
      <c r="M635" s="120"/>
      <c r="N635" s="293"/>
      <c r="O635" s="120"/>
      <c r="P635" s="188"/>
      <c r="Q635" s="1"/>
    </row>
    <row r="636" spans="1:17" s="15" customFormat="1" x14ac:dyDescent="0.3">
      <c r="A636" s="27"/>
      <c r="B636" s="1"/>
      <c r="D636" s="240"/>
      <c r="E636" s="240"/>
      <c r="H636" s="21"/>
      <c r="I636" s="396"/>
      <c r="J636" s="78"/>
      <c r="K636" s="78"/>
      <c r="L636" s="120"/>
      <c r="M636" s="120"/>
      <c r="N636" s="293"/>
      <c r="O636" s="120"/>
      <c r="P636" s="188"/>
      <c r="Q636" s="1"/>
    </row>
    <row r="637" spans="1:17" s="15" customFormat="1" x14ac:dyDescent="0.3">
      <c r="A637" s="27"/>
      <c r="B637" s="1"/>
      <c r="D637" s="240"/>
      <c r="E637" s="240"/>
      <c r="H637" s="21"/>
      <c r="I637" s="396"/>
      <c r="J637" s="78"/>
      <c r="K637" s="78"/>
      <c r="L637" s="120"/>
      <c r="M637" s="120"/>
      <c r="N637" s="293"/>
      <c r="O637" s="120"/>
      <c r="P637" s="188"/>
      <c r="Q637" s="1"/>
    </row>
    <row r="638" spans="1:17" s="15" customFormat="1" x14ac:dyDescent="0.3">
      <c r="A638" s="27"/>
      <c r="B638" s="1"/>
      <c r="D638" s="240"/>
      <c r="E638" s="240"/>
      <c r="H638" s="21"/>
      <c r="I638" s="396"/>
      <c r="J638" s="78"/>
      <c r="K638" s="78"/>
      <c r="L638" s="120"/>
      <c r="M638" s="120"/>
      <c r="N638" s="293"/>
      <c r="O638" s="120"/>
      <c r="P638" s="188"/>
      <c r="Q638" s="1"/>
    </row>
    <row r="639" spans="1:17" s="15" customFormat="1" x14ac:dyDescent="0.3">
      <c r="A639" s="27"/>
      <c r="B639" s="1"/>
      <c r="D639" s="240"/>
      <c r="E639" s="240"/>
      <c r="H639" s="21"/>
      <c r="I639" s="396"/>
      <c r="J639" s="78"/>
      <c r="K639" s="78"/>
      <c r="L639" s="120"/>
      <c r="M639" s="120"/>
      <c r="N639" s="293"/>
      <c r="O639" s="120"/>
      <c r="P639" s="188"/>
      <c r="Q639" s="1"/>
    </row>
    <row r="640" spans="1:17" s="15" customFormat="1" x14ac:dyDescent="0.3">
      <c r="A640" s="27"/>
      <c r="B640" s="1"/>
      <c r="D640" s="240"/>
      <c r="E640" s="240"/>
      <c r="H640" s="21"/>
      <c r="I640" s="396"/>
      <c r="J640" s="78"/>
      <c r="K640" s="78"/>
      <c r="L640" s="120"/>
      <c r="M640" s="120"/>
      <c r="N640" s="293"/>
      <c r="O640" s="120"/>
      <c r="P640" s="188"/>
      <c r="Q640" s="1"/>
    </row>
    <row r="641" spans="1:17" s="15" customFormat="1" x14ac:dyDescent="0.3">
      <c r="A641" s="27"/>
      <c r="B641" s="1"/>
      <c r="D641" s="240"/>
      <c r="E641" s="240"/>
      <c r="H641" s="21"/>
      <c r="I641" s="396"/>
      <c r="J641" s="78"/>
      <c r="K641" s="78"/>
      <c r="L641" s="120"/>
      <c r="M641" s="120"/>
      <c r="N641" s="293"/>
      <c r="O641" s="120"/>
      <c r="P641" s="188"/>
      <c r="Q641" s="1"/>
    </row>
    <row r="642" spans="1:17" s="15" customFormat="1" x14ac:dyDescent="0.3">
      <c r="A642" s="27"/>
      <c r="B642" s="1"/>
      <c r="D642" s="240"/>
      <c r="E642" s="240"/>
      <c r="H642" s="21"/>
      <c r="I642" s="396"/>
      <c r="J642" s="78"/>
      <c r="K642" s="78"/>
      <c r="L642" s="120"/>
      <c r="M642" s="120"/>
      <c r="N642" s="293"/>
      <c r="O642" s="120"/>
      <c r="P642" s="188"/>
      <c r="Q642" s="1"/>
    </row>
    <row r="643" spans="1:17" s="15" customFormat="1" x14ac:dyDescent="0.3">
      <c r="A643" s="27"/>
      <c r="B643" s="1"/>
      <c r="D643" s="240"/>
      <c r="E643" s="240"/>
      <c r="H643" s="21"/>
      <c r="I643" s="396"/>
      <c r="J643" s="78"/>
      <c r="K643" s="78"/>
      <c r="L643" s="120"/>
      <c r="M643" s="120"/>
      <c r="N643" s="293"/>
      <c r="O643" s="120"/>
      <c r="P643" s="188"/>
      <c r="Q643" s="1"/>
    </row>
    <row r="644" spans="1:17" s="15" customFormat="1" x14ac:dyDescent="0.3">
      <c r="A644" s="27"/>
      <c r="B644" s="1"/>
      <c r="D644" s="240"/>
      <c r="E644" s="240"/>
      <c r="H644" s="21"/>
      <c r="I644" s="396"/>
      <c r="J644" s="78"/>
      <c r="K644" s="78"/>
      <c r="L644" s="120"/>
      <c r="M644" s="120"/>
      <c r="N644" s="293"/>
      <c r="O644" s="120"/>
      <c r="P644" s="188"/>
      <c r="Q644" s="1"/>
    </row>
    <row r="645" spans="1:17" s="15" customFormat="1" x14ac:dyDescent="0.3">
      <c r="A645" s="27"/>
      <c r="B645" s="1"/>
      <c r="D645" s="240"/>
      <c r="E645" s="240"/>
      <c r="H645" s="21"/>
      <c r="I645" s="396"/>
      <c r="J645" s="78"/>
      <c r="K645" s="78"/>
      <c r="L645" s="120"/>
      <c r="M645" s="120"/>
      <c r="N645" s="293"/>
      <c r="O645" s="120"/>
      <c r="P645" s="188"/>
      <c r="Q645" s="1"/>
    </row>
    <row r="646" spans="1:17" s="15" customFormat="1" x14ac:dyDescent="0.3">
      <c r="A646" s="27"/>
      <c r="B646" s="1"/>
      <c r="D646" s="240"/>
      <c r="E646" s="240"/>
      <c r="H646" s="21"/>
      <c r="I646" s="396"/>
      <c r="J646" s="78"/>
      <c r="K646" s="78"/>
      <c r="L646" s="120"/>
      <c r="M646" s="120"/>
      <c r="N646" s="293"/>
      <c r="O646" s="120"/>
      <c r="P646" s="188"/>
      <c r="Q646" s="1"/>
    </row>
    <row r="647" spans="1:17" s="15" customFormat="1" x14ac:dyDescent="0.3">
      <c r="A647" s="27"/>
      <c r="B647" s="1"/>
      <c r="D647" s="240"/>
      <c r="E647" s="240"/>
      <c r="H647" s="21"/>
      <c r="I647" s="396"/>
      <c r="J647" s="78"/>
      <c r="K647" s="78"/>
      <c r="L647" s="120"/>
      <c r="M647" s="120"/>
      <c r="N647" s="293"/>
      <c r="O647" s="120"/>
      <c r="P647" s="188"/>
      <c r="Q647" s="1"/>
    </row>
    <row r="648" spans="1:17" s="15" customFormat="1" x14ac:dyDescent="0.3">
      <c r="A648" s="27"/>
      <c r="B648" s="1"/>
      <c r="D648" s="240"/>
      <c r="E648" s="240"/>
      <c r="H648" s="21"/>
      <c r="I648" s="396"/>
      <c r="J648" s="78"/>
      <c r="K648" s="78"/>
      <c r="L648" s="120"/>
      <c r="M648" s="120"/>
      <c r="N648" s="293"/>
      <c r="O648" s="120"/>
      <c r="P648" s="188"/>
      <c r="Q648" s="1"/>
    </row>
    <row r="649" spans="1:17" s="15" customFormat="1" x14ac:dyDescent="0.3">
      <c r="A649" s="27"/>
      <c r="B649" s="1"/>
      <c r="D649" s="240"/>
      <c r="E649" s="240"/>
      <c r="H649" s="21"/>
      <c r="I649" s="396"/>
      <c r="J649" s="78"/>
      <c r="K649" s="78"/>
      <c r="L649" s="120"/>
      <c r="M649" s="120"/>
      <c r="N649" s="293"/>
      <c r="O649" s="120"/>
      <c r="P649" s="188"/>
      <c r="Q649" s="1"/>
    </row>
    <row r="650" spans="1:17" s="15" customFormat="1" x14ac:dyDescent="0.3">
      <c r="A650" s="27"/>
      <c r="B650" s="1"/>
      <c r="D650" s="240"/>
      <c r="E650" s="240"/>
      <c r="H650" s="21"/>
      <c r="I650" s="396"/>
      <c r="J650" s="78"/>
      <c r="K650" s="78"/>
      <c r="L650" s="120"/>
      <c r="M650" s="120"/>
      <c r="N650" s="293"/>
      <c r="O650" s="120"/>
      <c r="P650" s="188"/>
      <c r="Q650" s="1"/>
    </row>
    <row r="651" spans="1:17" s="15" customFormat="1" x14ac:dyDescent="0.3">
      <c r="A651" s="27"/>
      <c r="B651" s="1"/>
      <c r="D651" s="240"/>
      <c r="E651" s="240"/>
      <c r="H651" s="21"/>
      <c r="I651" s="396"/>
      <c r="J651" s="78"/>
      <c r="K651" s="78"/>
      <c r="L651" s="120"/>
      <c r="M651" s="120"/>
      <c r="N651" s="293"/>
      <c r="O651" s="120"/>
      <c r="P651" s="188"/>
      <c r="Q651" s="1"/>
    </row>
    <row r="652" spans="1:17" s="15" customFormat="1" x14ac:dyDescent="0.3">
      <c r="A652" s="27"/>
      <c r="B652" s="1"/>
      <c r="D652" s="240"/>
      <c r="E652" s="240"/>
      <c r="H652" s="21"/>
      <c r="I652" s="396"/>
      <c r="J652" s="78"/>
      <c r="K652" s="78"/>
      <c r="L652" s="120"/>
      <c r="M652" s="120"/>
      <c r="N652" s="293"/>
      <c r="O652" s="120"/>
      <c r="P652" s="188"/>
      <c r="Q652" s="1"/>
    </row>
    <row r="653" spans="1:17" s="15" customFormat="1" x14ac:dyDescent="0.3">
      <c r="A653" s="27"/>
      <c r="B653" s="1"/>
      <c r="D653" s="240"/>
      <c r="E653" s="240"/>
      <c r="H653" s="21"/>
      <c r="I653" s="396"/>
      <c r="J653" s="78"/>
      <c r="K653" s="78"/>
      <c r="L653" s="120"/>
      <c r="M653" s="120"/>
      <c r="N653" s="293"/>
      <c r="O653" s="120"/>
      <c r="P653" s="188"/>
      <c r="Q653" s="1"/>
    </row>
    <row r="654" spans="1:17" s="15" customFormat="1" x14ac:dyDescent="0.3">
      <c r="A654" s="27"/>
      <c r="B654" s="1"/>
      <c r="D654" s="240"/>
      <c r="E654" s="240"/>
      <c r="H654" s="21"/>
      <c r="I654" s="396"/>
      <c r="J654" s="78"/>
      <c r="K654" s="78"/>
      <c r="L654" s="120"/>
      <c r="M654" s="120"/>
      <c r="N654" s="293"/>
      <c r="O654" s="120"/>
      <c r="P654" s="188"/>
      <c r="Q654" s="1"/>
    </row>
    <row r="655" spans="1:17" s="15" customFormat="1" x14ac:dyDescent="0.3">
      <c r="A655" s="27"/>
      <c r="B655" s="1"/>
      <c r="D655" s="240"/>
      <c r="E655" s="240"/>
      <c r="H655" s="21"/>
      <c r="I655" s="396"/>
      <c r="J655" s="78"/>
      <c r="K655" s="78"/>
      <c r="L655" s="120"/>
      <c r="M655" s="120"/>
      <c r="N655" s="293"/>
      <c r="O655" s="120"/>
      <c r="P655" s="188"/>
      <c r="Q655" s="1"/>
    </row>
    <row r="656" spans="1:17" s="15" customFormat="1" x14ac:dyDescent="0.3">
      <c r="A656" s="27"/>
      <c r="B656" s="1"/>
      <c r="D656" s="184"/>
      <c r="E656" s="184"/>
      <c r="H656" s="21"/>
      <c r="I656" s="396"/>
      <c r="J656" s="78"/>
      <c r="K656" s="78"/>
      <c r="L656" s="120"/>
      <c r="M656" s="120"/>
      <c r="N656" s="293"/>
      <c r="O656" s="120"/>
      <c r="P656" s="188"/>
      <c r="Q656" s="1"/>
    </row>
  </sheetData>
  <sortState ref="B7:H23">
    <sortCondition ref="B6:B23"/>
  </sortState>
  <mergeCells count="14">
    <mergeCell ref="I4:I5"/>
    <mergeCell ref="H4:H5"/>
    <mergeCell ref="A4:A5"/>
    <mergeCell ref="B4:B5"/>
    <mergeCell ref="D4:D5"/>
    <mergeCell ref="F4:F5"/>
    <mergeCell ref="G4:G5"/>
    <mergeCell ref="C4:C5"/>
    <mergeCell ref="E4:E5"/>
    <mergeCell ref="P4:P5"/>
    <mergeCell ref="J5:K5"/>
    <mergeCell ref="J4:K4"/>
    <mergeCell ref="N4:N5"/>
    <mergeCell ref="O4:O5"/>
  </mergeCells>
  <pageMargins left="0.7" right="0.7" top="0.75" bottom="0.75" header="0.3" footer="0.3"/>
  <pageSetup scale="67" fitToHeight="0" orientation="landscape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"/>
  <sheetViews>
    <sheetView view="pageBreakPreview" zoomScaleNormal="100" zoomScaleSheetLayoutView="100" workbookViewId="0">
      <selection activeCell="A3" sqref="A3:XFD3"/>
    </sheetView>
  </sheetViews>
  <sheetFormatPr defaultRowHeight="15" x14ac:dyDescent="0.25"/>
  <cols>
    <col min="1" max="1" width="6.28515625" customWidth="1"/>
    <col min="2" max="2" width="26.5703125" customWidth="1"/>
    <col min="3" max="3" width="12.5703125" style="329" customWidth="1"/>
    <col min="4" max="4" width="14.28515625" bestFit="1" customWidth="1"/>
    <col min="5" max="5" width="14.28515625" customWidth="1"/>
    <col min="6" max="6" width="8.28515625" bestFit="1" customWidth="1"/>
    <col min="7" max="7" width="10.42578125" bestFit="1" customWidth="1"/>
    <col min="8" max="9" width="16.28515625" bestFit="1" customWidth="1"/>
    <col min="10" max="10" width="10.5703125" bestFit="1" customWidth="1"/>
    <col min="11" max="11" width="14.5703125" bestFit="1" customWidth="1"/>
    <col min="12" max="12" width="22.5703125" bestFit="1" customWidth="1"/>
    <col min="13" max="13" width="26.28515625" bestFit="1" customWidth="1"/>
    <col min="14" max="14" width="22.5703125" bestFit="1" customWidth="1"/>
    <col min="15" max="15" width="26.28515625" bestFit="1" customWidth="1"/>
  </cols>
  <sheetData>
    <row r="1" spans="1:15" ht="16.5" x14ac:dyDescent="0.3">
      <c r="A1" s="4" t="s">
        <v>0</v>
      </c>
    </row>
    <row r="2" spans="1:15" ht="16.5" x14ac:dyDescent="0.3">
      <c r="A2" s="4" t="s">
        <v>43</v>
      </c>
      <c r="M2" t="s">
        <v>1167</v>
      </c>
    </row>
    <row r="3" spans="1:15" ht="16.5" x14ac:dyDescent="0.3">
      <c r="A3" s="23" t="s">
        <v>348</v>
      </c>
      <c r="L3" s="419" t="s">
        <v>521</v>
      </c>
      <c r="M3" s="419" t="s">
        <v>522</v>
      </c>
      <c r="N3" s="419" t="s">
        <v>521</v>
      </c>
      <c r="O3" s="419" t="s">
        <v>522</v>
      </c>
    </row>
    <row r="4" spans="1:15" ht="16.5" x14ac:dyDescent="0.3">
      <c r="A4" s="2" t="s">
        <v>1</v>
      </c>
      <c r="B4" s="2" t="s">
        <v>2</v>
      </c>
      <c r="C4" s="2" t="s">
        <v>1502</v>
      </c>
      <c r="D4" s="3" t="s">
        <v>3</v>
      </c>
      <c r="E4" s="3" t="s">
        <v>1499</v>
      </c>
      <c r="F4" s="2" t="s">
        <v>4</v>
      </c>
      <c r="G4" s="2" t="s">
        <v>5</v>
      </c>
      <c r="H4" s="2" t="s">
        <v>562</v>
      </c>
      <c r="I4" s="7" t="s">
        <v>6</v>
      </c>
      <c r="J4" s="7" t="s">
        <v>335</v>
      </c>
      <c r="K4" s="7" t="s">
        <v>368</v>
      </c>
      <c r="L4" s="419" t="s">
        <v>526</v>
      </c>
      <c r="M4" s="419" t="s">
        <v>525</v>
      </c>
      <c r="N4" s="419" t="s">
        <v>527</v>
      </c>
      <c r="O4" s="419" t="s">
        <v>525</v>
      </c>
    </row>
    <row r="5" spans="1:15" ht="16.5" x14ac:dyDescent="0.3">
      <c r="A5" s="6">
        <v>1</v>
      </c>
      <c r="B5" s="8" t="s">
        <v>332</v>
      </c>
      <c r="C5" s="82" t="s">
        <v>2299</v>
      </c>
      <c r="D5" s="9" t="s">
        <v>959</v>
      </c>
      <c r="E5" s="9" t="s">
        <v>2300</v>
      </c>
      <c r="F5" s="6" t="s">
        <v>333</v>
      </c>
      <c r="G5" s="6" t="s">
        <v>301</v>
      </c>
      <c r="H5" s="6" t="s">
        <v>563</v>
      </c>
      <c r="I5" s="8" t="s">
        <v>334</v>
      </c>
      <c r="J5" s="22">
        <v>30600</v>
      </c>
      <c r="K5" s="56" t="s">
        <v>531</v>
      </c>
      <c r="L5" s="56" t="s">
        <v>529</v>
      </c>
      <c r="M5" s="56" t="s">
        <v>532</v>
      </c>
      <c r="N5" s="56" t="s">
        <v>530</v>
      </c>
      <c r="O5" s="56" t="s">
        <v>533</v>
      </c>
    </row>
    <row r="7" spans="1:15" x14ac:dyDescent="0.25">
      <c r="B7" t="s">
        <v>1220</v>
      </c>
    </row>
  </sheetData>
  <pageMargins left="0.25" right="0.25" top="0.75" bottom="0.75" header="0.3" footer="0.3"/>
  <pageSetup scale="67" fitToHeight="0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9" workbookViewId="0">
      <selection activeCell="D11" sqref="D11"/>
    </sheetView>
  </sheetViews>
  <sheetFormatPr defaultRowHeight="16.5" x14ac:dyDescent="0.3"/>
  <cols>
    <col min="1" max="1" width="6.28515625" style="1" customWidth="1"/>
    <col min="2" max="2" width="44.5703125" style="1" bestFit="1" customWidth="1"/>
    <col min="3" max="3" width="9.5703125" style="1" bestFit="1" customWidth="1"/>
    <col min="4" max="4" width="17.7109375" style="284" bestFit="1" customWidth="1"/>
    <col min="5" max="5" width="11.28515625" style="164" bestFit="1" customWidth="1"/>
    <col min="6" max="6" width="8.28515625" style="15" bestFit="1" customWidth="1"/>
    <col min="7" max="7" width="33.28515625" style="15" bestFit="1" customWidth="1"/>
    <col min="8" max="8" width="7.28515625" style="15" bestFit="1" customWidth="1"/>
    <col min="9" max="9" width="12.28515625" style="1" bestFit="1" customWidth="1"/>
    <col min="10" max="10" width="10.5703125" style="78" bestFit="1" customWidth="1"/>
    <col min="11" max="11" width="9.140625" style="15"/>
    <col min="12" max="16384" width="9.140625" style="1"/>
  </cols>
  <sheetData>
    <row r="1" spans="1:11" x14ac:dyDescent="0.3">
      <c r="A1" s="4" t="s">
        <v>0</v>
      </c>
    </row>
    <row r="2" spans="1:11" x14ac:dyDescent="0.3">
      <c r="A2" s="4" t="s">
        <v>43</v>
      </c>
    </row>
    <row r="3" spans="1:11" x14ac:dyDescent="0.3">
      <c r="A3" s="43" t="s">
        <v>352</v>
      </c>
    </row>
    <row r="4" spans="1:11" x14ac:dyDescent="0.3">
      <c r="A4" s="2" t="s">
        <v>1</v>
      </c>
      <c r="B4" s="2" t="s">
        <v>2</v>
      </c>
      <c r="C4" s="2" t="s">
        <v>1502</v>
      </c>
      <c r="D4" s="282" t="s">
        <v>3</v>
      </c>
      <c r="E4" s="282" t="s">
        <v>643</v>
      </c>
      <c r="F4" s="2" t="s">
        <v>4</v>
      </c>
      <c r="G4" s="2" t="s">
        <v>5</v>
      </c>
      <c r="H4" s="2" t="s">
        <v>2301</v>
      </c>
      <c r="I4" s="7" t="s">
        <v>6</v>
      </c>
      <c r="J4" s="177" t="s">
        <v>335</v>
      </c>
      <c r="K4" s="68" t="s">
        <v>644</v>
      </c>
    </row>
    <row r="5" spans="1:11" x14ac:dyDescent="0.3">
      <c r="A5" s="82">
        <v>1</v>
      </c>
      <c r="B5" s="83" t="s">
        <v>353</v>
      </c>
      <c r="C5" s="83" t="s">
        <v>2302</v>
      </c>
      <c r="D5" s="619" t="s">
        <v>3031</v>
      </c>
      <c r="E5" s="283" t="s">
        <v>642</v>
      </c>
      <c r="F5" s="82" t="s">
        <v>352</v>
      </c>
      <c r="G5" s="82" t="s">
        <v>354</v>
      </c>
      <c r="H5" s="82">
        <v>2015</v>
      </c>
      <c r="I5" s="82" t="s">
        <v>355</v>
      </c>
      <c r="J5" s="89">
        <v>11350</v>
      </c>
      <c r="K5" s="82" t="s">
        <v>640</v>
      </c>
    </row>
    <row r="6" spans="1:11" x14ac:dyDescent="0.3">
      <c r="A6" s="82">
        <v>2</v>
      </c>
      <c r="B6" s="83" t="s">
        <v>615</v>
      </c>
      <c r="C6" s="83" t="s">
        <v>2209</v>
      </c>
      <c r="D6" s="346">
        <v>890218035984</v>
      </c>
      <c r="E6" s="10" t="s">
        <v>1271</v>
      </c>
      <c r="F6" s="82" t="s">
        <v>1168</v>
      </c>
      <c r="G6" s="82"/>
      <c r="H6" s="82">
        <v>2015</v>
      </c>
      <c r="I6" s="82"/>
      <c r="J6" s="89"/>
      <c r="K6" s="82" t="s">
        <v>640</v>
      </c>
    </row>
    <row r="7" spans="1:11" x14ac:dyDescent="0.3">
      <c r="I7" s="15"/>
    </row>
    <row r="8" spans="1:11" x14ac:dyDescent="0.3">
      <c r="I8" s="15"/>
    </row>
    <row r="9" spans="1:11" x14ac:dyDescent="0.3">
      <c r="A9" s="2" t="s">
        <v>1</v>
      </c>
      <c r="B9" s="2" t="s">
        <v>2</v>
      </c>
      <c r="C9" s="2" t="s">
        <v>1502</v>
      </c>
      <c r="D9" s="282" t="s">
        <v>3</v>
      </c>
      <c r="E9" s="282" t="s">
        <v>643</v>
      </c>
      <c r="F9" s="2" t="s">
        <v>4</v>
      </c>
      <c r="G9" s="2" t="s">
        <v>5</v>
      </c>
      <c r="H9" s="2" t="s">
        <v>2301</v>
      </c>
      <c r="I9" s="7" t="s">
        <v>6</v>
      </c>
      <c r="J9" s="177" t="s">
        <v>335</v>
      </c>
      <c r="K9" s="68" t="s">
        <v>644</v>
      </c>
    </row>
    <row r="10" spans="1:11" x14ac:dyDescent="0.3">
      <c r="A10" s="82">
        <v>1</v>
      </c>
      <c r="B10" s="83" t="s">
        <v>602</v>
      </c>
      <c r="C10" s="83" t="s">
        <v>2131</v>
      </c>
      <c r="D10" s="346">
        <v>741205125121</v>
      </c>
      <c r="E10" s="10" t="s">
        <v>1265</v>
      </c>
      <c r="F10" s="82" t="s">
        <v>352</v>
      </c>
      <c r="G10" s="82" t="s">
        <v>399</v>
      </c>
      <c r="H10" s="82">
        <v>2015</v>
      </c>
      <c r="I10" s="83"/>
      <c r="J10" s="89"/>
      <c r="K10" s="82" t="s">
        <v>641</v>
      </c>
    </row>
    <row r="11" spans="1:11" x14ac:dyDescent="0.3">
      <c r="A11" s="82">
        <v>2</v>
      </c>
      <c r="B11" s="83" t="s">
        <v>603</v>
      </c>
      <c r="C11" s="83" t="s">
        <v>2130</v>
      </c>
      <c r="D11" s="346">
        <v>850112035111</v>
      </c>
      <c r="E11" s="10" t="s">
        <v>2303</v>
      </c>
      <c r="F11" s="82" t="s">
        <v>352</v>
      </c>
      <c r="G11" s="82" t="s">
        <v>399</v>
      </c>
      <c r="H11" s="82">
        <v>2015</v>
      </c>
      <c r="I11" s="83"/>
      <c r="J11" s="89"/>
      <c r="K11" s="82" t="s">
        <v>641</v>
      </c>
    </row>
    <row r="12" spans="1:11" x14ac:dyDescent="0.3">
      <c r="A12" s="82">
        <v>3</v>
      </c>
      <c r="B12" s="83" t="s">
        <v>679</v>
      </c>
      <c r="C12" s="83" t="s">
        <v>1742</v>
      </c>
      <c r="D12" s="346">
        <v>880909035132</v>
      </c>
      <c r="E12" s="10" t="s">
        <v>1264</v>
      </c>
      <c r="F12" s="82" t="s">
        <v>352</v>
      </c>
      <c r="G12" s="82" t="s">
        <v>399</v>
      </c>
      <c r="H12" s="82">
        <v>2015</v>
      </c>
      <c r="I12" s="83"/>
      <c r="J12" s="89"/>
      <c r="K12" s="82" t="s">
        <v>641</v>
      </c>
    </row>
    <row r="13" spans="1:11" x14ac:dyDescent="0.3">
      <c r="A13" s="82">
        <v>4</v>
      </c>
      <c r="B13" s="83" t="s">
        <v>677</v>
      </c>
      <c r="C13" s="83" t="s">
        <v>1741</v>
      </c>
      <c r="D13" s="346">
        <v>691122035371</v>
      </c>
      <c r="E13" s="10" t="s">
        <v>1266</v>
      </c>
      <c r="F13" s="82" t="s">
        <v>352</v>
      </c>
      <c r="G13" s="82" t="s">
        <v>399</v>
      </c>
      <c r="H13" s="82">
        <v>2015</v>
      </c>
      <c r="I13" s="83"/>
      <c r="J13" s="89"/>
      <c r="K13" s="82" t="s">
        <v>641</v>
      </c>
    </row>
    <row r="14" spans="1:11" x14ac:dyDescent="0.3">
      <c r="A14" s="82">
        <v>5</v>
      </c>
      <c r="B14" s="83" t="s">
        <v>1268</v>
      </c>
      <c r="C14" s="83" t="s">
        <v>2132</v>
      </c>
      <c r="D14" s="346">
        <v>851003035950</v>
      </c>
      <c r="E14" s="10" t="s">
        <v>1267</v>
      </c>
      <c r="F14" s="82" t="s">
        <v>352</v>
      </c>
      <c r="G14" s="82" t="s">
        <v>399</v>
      </c>
      <c r="H14" s="82">
        <v>2015</v>
      </c>
      <c r="I14" s="83"/>
      <c r="J14" s="89"/>
      <c r="K14" s="82" t="s">
        <v>641</v>
      </c>
    </row>
    <row r="15" spans="1:11" x14ac:dyDescent="0.3">
      <c r="A15" s="82">
        <v>6</v>
      </c>
      <c r="B15" s="83" t="s">
        <v>1270</v>
      </c>
      <c r="C15" s="83" t="s">
        <v>2133</v>
      </c>
      <c r="D15" s="346">
        <v>830316015587</v>
      </c>
      <c r="E15" s="10" t="s">
        <v>1269</v>
      </c>
      <c r="F15" s="82" t="s">
        <v>352</v>
      </c>
      <c r="G15" s="82" t="s">
        <v>399</v>
      </c>
      <c r="H15" s="82">
        <v>2015</v>
      </c>
      <c r="I15" s="82"/>
      <c r="J15" s="89"/>
      <c r="K15" s="82" t="s">
        <v>641</v>
      </c>
    </row>
    <row r="16" spans="1:11" x14ac:dyDescent="0.3">
      <c r="A16" s="82">
        <v>7</v>
      </c>
      <c r="B16" s="83" t="s">
        <v>1273</v>
      </c>
      <c r="C16" s="83" t="s">
        <v>2134</v>
      </c>
      <c r="D16" s="346">
        <v>920506125946</v>
      </c>
      <c r="E16" s="10" t="s">
        <v>1272</v>
      </c>
      <c r="F16" s="82" t="s">
        <v>352</v>
      </c>
      <c r="G16" s="82" t="s">
        <v>399</v>
      </c>
      <c r="H16" s="82">
        <v>2015</v>
      </c>
      <c r="I16" s="82"/>
      <c r="J16" s="89" t="s">
        <v>645</v>
      </c>
      <c r="K16" s="82" t="s">
        <v>641</v>
      </c>
    </row>
    <row r="17" spans="1:11" x14ac:dyDescent="0.3">
      <c r="A17" s="82">
        <v>8</v>
      </c>
      <c r="B17" s="83" t="s">
        <v>1275</v>
      </c>
      <c r="C17" s="83" t="s">
        <v>2135</v>
      </c>
      <c r="D17" s="346">
        <v>891022115645</v>
      </c>
      <c r="E17" s="10" t="s">
        <v>1274</v>
      </c>
      <c r="F17" s="82" t="s">
        <v>352</v>
      </c>
      <c r="G17" s="82" t="s">
        <v>399</v>
      </c>
      <c r="H17" s="82">
        <v>2015</v>
      </c>
      <c r="I17" s="82"/>
      <c r="J17" s="89"/>
      <c r="K17" s="82" t="s">
        <v>641</v>
      </c>
    </row>
    <row r="18" spans="1:11" x14ac:dyDescent="0.3">
      <c r="A18" s="82">
        <v>9</v>
      </c>
      <c r="B18" s="83" t="s">
        <v>1087</v>
      </c>
      <c r="C18" s="83" t="s">
        <v>1978</v>
      </c>
      <c r="D18" s="346">
        <v>900423145599</v>
      </c>
      <c r="E18" s="10" t="s">
        <v>1276</v>
      </c>
      <c r="F18" s="82" t="s">
        <v>352</v>
      </c>
      <c r="G18" s="82" t="s">
        <v>399</v>
      </c>
      <c r="H18" s="82">
        <v>2015</v>
      </c>
      <c r="I18" s="83"/>
      <c r="J18" s="89"/>
      <c r="K18" s="82" t="s">
        <v>641</v>
      </c>
    </row>
    <row r="19" spans="1:11" x14ac:dyDescent="0.3">
      <c r="A19" s="82">
        <v>10</v>
      </c>
      <c r="B19" s="83" t="s">
        <v>1278</v>
      </c>
      <c r="C19" s="83" t="s">
        <v>2304</v>
      </c>
      <c r="D19" s="346">
        <v>891201035333</v>
      </c>
      <c r="E19" s="10" t="s">
        <v>1277</v>
      </c>
      <c r="F19" s="82" t="s">
        <v>352</v>
      </c>
      <c r="G19" s="82" t="s">
        <v>399</v>
      </c>
      <c r="H19" s="82">
        <v>2015</v>
      </c>
      <c r="I19" s="83"/>
      <c r="J19" s="89"/>
      <c r="K19" s="82" t="s">
        <v>641</v>
      </c>
    </row>
    <row r="20" spans="1:11" x14ac:dyDescent="0.3">
      <c r="A20" s="82">
        <v>11</v>
      </c>
      <c r="B20" s="83" t="s">
        <v>1280</v>
      </c>
      <c r="C20" s="83" t="s">
        <v>1566</v>
      </c>
      <c r="D20" s="346">
        <v>911016035425</v>
      </c>
      <c r="E20" s="10" t="s">
        <v>1279</v>
      </c>
      <c r="F20" s="82" t="s">
        <v>352</v>
      </c>
      <c r="G20" s="82" t="s">
        <v>399</v>
      </c>
      <c r="H20" s="82">
        <v>2015</v>
      </c>
      <c r="I20" s="83"/>
      <c r="J20" s="89"/>
      <c r="K20" s="82" t="s">
        <v>641</v>
      </c>
    </row>
    <row r="21" spans="1:11" x14ac:dyDescent="0.3">
      <c r="A21" s="82">
        <v>12</v>
      </c>
      <c r="B21" s="83" t="s">
        <v>1282</v>
      </c>
      <c r="C21" s="83" t="s">
        <v>2305</v>
      </c>
      <c r="D21" s="346">
        <v>910808115330</v>
      </c>
      <c r="E21" s="10" t="s">
        <v>1281</v>
      </c>
      <c r="F21" s="82" t="s">
        <v>352</v>
      </c>
      <c r="G21" s="82" t="s">
        <v>399</v>
      </c>
      <c r="H21" s="82">
        <v>2015</v>
      </c>
      <c r="I21" s="83"/>
      <c r="J21" s="89"/>
      <c r="K21" s="82" t="s">
        <v>641</v>
      </c>
    </row>
    <row r="22" spans="1:11" x14ac:dyDescent="0.3">
      <c r="A22" s="82">
        <v>13</v>
      </c>
      <c r="B22" s="83" t="s">
        <v>1068</v>
      </c>
      <c r="C22" s="83" t="s">
        <v>1769</v>
      </c>
      <c r="D22" s="346">
        <v>890101035200</v>
      </c>
      <c r="E22" s="10" t="s">
        <v>1283</v>
      </c>
      <c r="F22" s="82" t="s">
        <v>352</v>
      </c>
      <c r="G22" s="82" t="s">
        <v>399</v>
      </c>
      <c r="H22" s="82">
        <v>2015</v>
      </c>
      <c r="I22" s="83"/>
      <c r="J22" s="89"/>
      <c r="K22" s="82" t="s">
        <v>641</v>
      </c>
    </row>
    <row r="23" spans="1:11" x14ac:dyDescent="0.3">
      <c r="A23" s="82">
        <v>14</v>
      </c>
      <c r="B23" s="83" t="s">
        <v>710</v>
      </c>
      <c r="C23" s="83" t="s">
        <v>1756</v>
      </c>
      <c r="D23" s="346">
        <v>890727035122</v>
      </c>
      <c r="E23" s="10" t="s">
        <v>1284</v>
      </c>
      <c r="F23" s="82" t="s">
        <v>352</v>
      </c>
      <c r="G23" s="82" t="s">
        <v>399</v>
      </c>
      <c r="H23" s="82">
        <v>2015</v>
      </c>
      <c r="I23" s="83"/>
      <c r="J23" s="89"/>
      <c r="K23" s="82" t="s">
        <v>641</v>
      </c>
    </row>
    <row r="24" spans="1:11" x14ac:dyDescent="0.3">
      <c r="A24" s="82">
        <v>15</v>
      </c>
      <c r="B24" s="83" t="s">
        <v>952</v>
      </c>
      <c r="C24" s="83" t="s">
        <v>1766</v>
      </c>
      <c r="D24" s="346">
        <v>830618035153</v>
      </c>
      <c r="E24" s="10" t="s">
        <v>1285</v>
      </c>
      <c r="F24" s="82" t="s">
        <v>352</v>
      </c>
      <c r="G24" s="82" t="s">
        <v>399</v>
      </c>
      <c r="H24" s="82">
        <v>2015</v>
      </c>
      <c r="I24" s="83"/>
      <c r="J24" s="89"/>
      <c r="K24" s="82" t="s">
        <v>641</v>
      </c>
    </row>
    <row r="25" spans="1:11" x14ac:dyDescent="0.3">
      <c r="A25" s="82">
        <v>16</v>
      </c>
      <c r="B25" s="83" t="s">
        <v>930</v>
      </c>
      <c r="C25" s="83" t="s">
        <v>1763</v>
      </c>
      <c r="D25" s="346">
        <v>910212035006</v>
      </c>
      <c r="E25" s="10" t="s">
        <v>1286</v>
      </c>
      <c r="F25" s="82" t="s">
        <v>352</v>
      </c>
      <c r="G25" s="82" t="s">
        <v>399</v>
      </c>
      <c r="H25" s="82">
        <v>2015</v>
      </c>
      <c r="I25" s="83"/>
      <c r="J25" s="89"/>
      <c r="K25" s="82" t="s">
        <v>641</v>
      </c>
    </row>
    <row r="26" spans="1:11" x14ac:dyDescent="0.3">
      <c r="A26" s="82">
        <v>17</v>
      </c>
      <c r="B26" s="83" t="s">
        <v>705</v>
      </c>
      <c r="C26" s="83" t="s">
        <v>1753</v>
      </c>
      <c r="D26" s="346">
        <v>901018035614</v>
      </c>
      <c r="E26" s="10" t="s">
        <v>1287</v>
      </c>
      <c r="F26" s="82" t="s">
        <v>352</v>
      </c>
      <c r="G26" s="82" t="s">
        <v>399</v>
      </c>
      <c r="H26" s="82">
        <v>2015</v>
      </c>
      <c r="I26" s="83"/>
      <c r="J26" s="89"/>
      <c r="K26" s="82" t="s">
        <v>641</v>
      </c>
    </row>
    <row r="29" spans="1:11" x14ac:dyDescent="0.3">
      <c r="A29" s="2" t="s">
        <v>1</v>
      </c>
      <c r="B29" s="2" t="s">
        <v>2</v>
      </c>
      <c r="C29" s="2" t="s">
        <v>1502</v>
      </c>
      <c r="D29" s="282" t="s">
        <v>3</v>
      </c>
      <c r="E29" s="282" t="s">
        <v>643</v>
      </c>
      <c r="F29" s="2" t="s">
        <v>4</v>
      </c>
      <c r="G29" s="2" t="s">
        <v>5</v>
      </c>
      <c r="H29" s="2" t="s">
        <v>2301</v>
      </c>
      <c r="I29" s="7" t="s">
        <v>6</v>
      </c>
      <c r="J29" s="177" t="s">
        <v>335</v>
      </c>
      <c r="K29" s="68" t="s">
        <v>644</v>
      </c>
    </row>
    <row r="30" spans="1:11" x14ac:dyDescent="0.3">
      <c r="A30" s="82">
        <v>1</v>
      </c>
      <c r="B30" s="83" t="s">
        <v>2652</v>
      </c>
      <c r="C30" s="83" t="s">
        <v>2650</v>
      </c>
      <c r="D30" s="346">
        <v>900512065646</v>
      </c>
      <c r="E30" s="10" t="s">
        <v>2651</v>
      </c>
      <c r="F30" s="82" t="s">
        <v>352</v>
      </c>
      <c r="G30" s="82" t="s">
        <v>399</v>
      </c>
      <c r="H30" s="82">
        <v>2016</v>
      </c>
      <c r="I30" s="82" t="s">
        <v>2649</v>
      </c>
      <c r="J30" s="89">
        <v>10695</v>
      </c>
      <c r="K30" s="82" t="s">
        <v>641</v>
      </c>
    </row>
    <row r="32" spans="1:11" x14ac:dyDescent="0.3">
      <c r="B32" s="43" t="s">
        <v>3028</v>
      </c>
    </row>
    <row r="33" spans="1:11" x14ac:dyDescent="0.3">
      <c r="A33" s="2" t="s">
        <v>1</v>
      </c>
      <c r="B33" s="2" t="s">
        <v>2</v>
      </c>
      <c r="C33" s="2" t="s">
        <v>1502</v>
      </c>
      <c r="D33" s="282" t="s">
        <v>3</v>
      </c>
      <c r="E33" s="282" t="s">
        <v>643</v>
      </c>
      <c r="F33" s="2" t="s">
        <v>4</v>
      </c>
      <c r="G33" s="2" t="s">
        <v>5</v>
      </c>
      <c r="H33" s="2" t="s">
        <v>2301</v>
      </c>
      <c r="I33" s="7" t="s">
        <v>6</v>
      </c>
      <c r="J33" s="177" t="s">
        <v>335</v>
      </c>
      <c r="K33" s="68" t="s">
        <v>644</v>
      </c>
    </row>
    <row r="34" spans="1:11" x14ac:dyDescent="0.3">
      <c r="A34" s="83">
        <v>1</v>
      </c>
      <c r="B34" s="83" t="s">
        <v>3001</v>
      </c>
      <c r="C34" s="83" t="s">
        <v>3002</v>
      </c>
      <c r="D34" s="346">
        <v>921029035634</v>
      </c>
      <c r="E34" s="10" t="s">
        <v>3000</v>
      </c>
      <c r="F34" s="82" t="s">
        <v>352</v>
      </c>
      <c r="G34" s="82" t="s">
        <v>399</v>
      </c>
      <c r="H34" s="82"/>
      <c r="I34" s="83"/>
      <c r="J34" s="89">
        <v>3565</v>
      </c>
      <c r="K34" s="82" t="s">
        <v>641</v>
      </c>
    </row>
    <row r="35" spans="1:11" x14ac:dyDescent="0.3">
      <c r="A35" s="83">
        <v>2</v>
      </c>
      <c r="B35" s="83" t="s">
        <v>3004</v>
      </c>
      <c r="C35" s="83" t="s">
        <v>3005</v>
      </c>
      <c r="D35" s="346">
        <v>910626035452</v>
      </c>
      <c r="E35" s="10" t="s">
        <v>3003</v>
      </c>
      <c r="F35" s="82" t="s">
        <v>352</v>
      </c>
      <c r="G35" s="82" t="s">
        <v>399</v>
      </c>
      <c r="H35" s="82"/>
      <c r="I35" s="83"/>
      <c r="J35" s="89">
        <v>4750</v>
      </c>
      <c r="K35" s="82" t="s">
        <v>641</v>
      </c>
    </row>
    <row r="36" spans="1:11" x14ac:dyDescent="0.3">
      <c r="A36" s="83">
        <v>3</v>
      </c>
      <c r="B36" s="83" t="s">
        <v>3006</v>
      </c>
      <c r="C36" s="83" t="s">
        <v>2650</v>
      </c>
      <c r="D36" s="346">
        <v>900512065646</v>
      </c>
      <c r="E36" s="10" t="s">
        <v>2651</v>
      </c>
      <c r="F36" s="82" t="s">
        <v>352</v>
      </c>
      <c r="G36" s="82" t="s">
        <v>399</v>
      </c>
      <c r="H36" s="82"/>
      <c r="I36" s="83"/>
      <c r="J36" s="89">
        <v>3540.46</v>
      </c>
      <c r="K36" s="82" t="s">
        <v>641</v>
      </c>
    </row>
    <row r="37" spans="1:11" x14ac:dyDescent="0.3">
      <c r="A37" s="83">
        <v>4</v>
      </c>
      <c r="B37" s="83" t="s">
        <v>3008</v>
      </c>
      <c r="C37" s="83" t="s">
        <v>3009</v>
      </c>
      <c r="D37" s="346">
        <v>880125035230</v>
      </c>
      <c r="E37" s="10" t="s">
        <v>3007</v>
      </c>
      <c r="F37" s="82" t="s">
        <v>352</v>
      </c>
      <c r="G37" s="82" t="s">
        <v>399</v>
      </c>
      <c r="H37" s="82"/>
      <c r="I37" s="83"/>
      <c r="J37" s="89">
        <v>4716.37</v>
      </c>
      <c r="K37" s="82" t="s">
        <v>641</v>
      </c>
    </row>
    <row r="38" spans="1:11" x14ac:dyDescent="0.3">
      <c r="A38" s="83">
        <v>5</v>
      </c>
      <c r="B38" s="83" t="s">
        <v>3011</v>
      </c>
      <c r="C38" s="83" t="s">
        <v>3012</v>
      </c>
      <c r="D38" s="346">
        <v>820511035947</v>
      </c>
      <c r="E38" s="10" t="s">
        <v>3010</v>
      </c>
      <c r="F38" s="82" t="s">
        <v>352</v>
      </c>
      <c r="G38" s="82" t="s">
        <v>399</v>
      </c>
      <c r="H38" s="82"/>
      <c r="I38" s="83"/>
      <c r="J38" s="89">
        <v>4750</v>
      </c>
      <c r="K38" s="82" t="s">
        <v>641</v>
      </c>
    </row>
    <row r="39" spans="1:11" x14ac:dyDescent="0.3">
      <c r="A39" s="83">
        <v>6</v>
      </c>
      <c r="B39" s="83" t="s">
        <v>3014</v>
      </c>
      <c r="C39" s="83" t="s">
        <v>3015</v>
      </c>
      <c r="D39" s="346">
        <v>890629035348</v>
      </c>
      <c r="E39" s="10" t="s">
        <v>3013</v>
      </c>
      <c r="F39" s="82" t="s">
        <v>352</v>
      </c>
      <c r="G39" s="82" t="s">
        <v>399</v>
      </c>
      <c r="H39" s="82"/>
      <c r="I39" s="83"/>
      <c r="J39" s="89">
        <v>4750</v>
      </c>
      <c r="K39" s="82" t="s">
        <v>641</v>
      </c>
    </row>
    <row r="40" spans="1:11" x14ac:dyDescent="0.3">
      <c r="A40" s="83">
        <v>7</v>
      </c>
      <c r="B40" s="83" t="s">
        <v>3017</v>
      </c>
      <c r="C40" s="83" t="s">
        <v>3018</v>
      </c>
      <c r="D40" s="346">
        <v>770921135251</v>
      </c>
      <c r="E40" s="10" t="s">
        <v>3016</v>
      </c>
      <c r="F40" s="82" t="s">
        <v>352</v>
      </c>
      <c r="G40" s="82" t="s">
        <v>399</v>
      </c>
      <c r="H40" s="82"/>
      <c r="I40" s="83"/>
      <c r="J40" s="89">
        <v>3565</v>
      </c>
      <c r="K40" s="82" t="s">
        <v>641</v>
      </c>
    </row>
    <row r="41" spans="1:11" x14ac:dyDescent="0.3">
      <c r="A41" s="83">
        <v>8</v>
      </c>
      <c r="B41" s="83" t="s">
        <v>1268</v>
      </c>
      <c r="C41" s="83" t="s">
        <v>2132</v>
      </c>
      <c r="D41" s="346">
        <v>851003035950</v>
      </c>
      <c r="E41" s="10" t="s">
        <v>1267</v>
      </c>
      <c r="F41" s="82" t="s">
        <v>352</v>
      </c>
      <c r="G41" s="82" t="s">
        <v>399</v>
      </c>
      <c r="H41" s="82"/>
      <c r="I41" s="83"/>
      <c r="J41" s="89">
        <v>4716.38</v>
      </c>
      <c r="K41" s="82" t="s">
        <v>641</v>
      </c>
    </row>
    <row r="42" spans="1:11" x14ac:dyDescent="0.3">
      <c r="A42" s="83">
        <v>9</v>
      </c>
      <c r="B42" s="83" t="s">
        <v>3020</v>
      </c>
      <c r="C42" s="83" t="s">
        <v>3021</v>
      </c>
      <c r="D42" s="346">
        <v>890416035504</v>
      </c>
      <c r="E42" s="10" t="s">
        <v>3019</v>
      </c>
      <c r="F42" s="82" t="s">
        <v>352</v>
      </c>
      <c r="G42" s="82" t="s">
        <v>399</v>
      </c>
      <c r="H42" s="82"/>
      <c r="I42" s="83"/>
      <c r="J42" s="89">
        <v>3025</v>
      </c>
      <c r="K42" s="82" t="s">
        <v>640</v>
      </c>
    </row>
    <row r="43" spans="1:11" x14ac:dyDescent="0.3">
      <c r="A43" s="83">
        <v>10</v>
      </c>
      <c r="B43" s="83" t="s">
        <v>3023</v>
      </c>
      <c r="C43" s="83" t="s">
        <v>3024</v>
      </c>
      <c r="D43" s="346">
        <v>880124035036</v>
      </c>
      <c r="E43" s="10" t="s">
        <v>3022</v>
      </c>
      <c r="F43" s="82" t="s">
        <v>352</v>
      </c>
      <c r="G43" s="82" t="s">
        <v>399</v>
      </c>
      <c r="H43" s="82"/>
      <c r="I43" s="83"/>
      <c r="J43" s="89">
        <v>4750</v>
      </c>
      <c r="K43" s="82" t="s">
        <v>641</v>
      </c>
    </row>
    <row r="44" spans="1:11" x14ac:dyDescent="0.3">
      <c r="A44" s="83">
        <v>11</v>
      </c>
      <c r="B44" s="83" t="s">
        <v>3026</v>
      </c>
      <c r="C44" s="83" t="s">
        <v>3027</v>
      </c>
      <c r="D44" s="346">
        <v>720223135275</v>
      </c>
      <c r="E44" s="10" t="s">
        <v>3025</v>
      </c>
      <c r="F44" s="82" t="s">
        <v>352</v>
      </c>
      <c r="G44" s="82" t="s">
        <v>399</v>
      </c>
      <c r="H44" s="82"/>
      <c r="I44" s="83"/>
      <c r="J44" s="89">
        <v>4750</v>
      </c>
      <c r="K44" s="82" t="s">
        <v>641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view="pageBreakPreview" zoomScaleNormal="80" zoomScaleSheetLayoutView="100" workbookViewId="0">
      <selection activeCell="C5" sqref="C5"/>
    </sheetView>
  </sheetViews>
  <sheetFormatPr defaultRowHeight="16.5" x14ac:dyDescent="0.3"/>
  <cols>
    <col min="1" max="1" width="6.5703125" style="437" customWidth="1"/>
    <col min="2" max="2" width="40" style="437" bestFit="1" customWidth="1"/>
    <col min="3" max="3" width="11.5703125" style="438" bestFit="1" customWidth="1"/>
    <col min="4" max="4" width="17.42578125" style="438" bestFit="1" customWidth="1"/>
    <col min="5" max="5" width="11.28515625" style="451" bestFit="1" customWidth="1"/>
    <col min="6" max="6" width="35.85546875" style="438" bestFit="1" customWidth="1"/>
    <col min="7" max="7" width="19.85546875" style="437" bestFit="1" customWidth="1"/>
    <col min="8" max="8" width="27.5703125" style="438" bestFit="1" customWidth="1"/>
    <col min="9" max="9" width="7.42578125" style="438" bestFit="1" customWidth="1"/>
    <col min="10" max="10" width="39.28515625" style="437" bestFit="1" customWidth="1"/>
    <col min="11" max="11" width="14.28515625" style="438" bestFit="1" customWidth="1"/>
    <col min="12" max="12" width="11.140625" style="293" bestFit="1" customWidth="1"/>
    <col min="13" max="13" width="14.85546875" style="439" bestFit="1" customWidth="1"/>
    <col min="14" max="14" width="14.28515625" style="438" bestFit="1" customWidth="1"/>
    <col min="15" max="15" width="11.140625" style="293" bestFit="1" customWidth="1"/>
    <col min="16" max="16" width="14.85546875" style="439" bestFit="1" customWidth="1"/>
    <col min="17" max="17" width="14.28515625" style="438" bestFit="1" customWidth="1"/>
    <col min="18" max="18" width="10.7109375" style="293" bestFit="1" customWidth="1"/>
    <col min="19" max="19" width="25.85546875" style="439" bestFit="1" customWidth="1"/>
    <col min="20" max="16384" width="9.140625" style="437"/>
  </cols>
  <sheetData>
    <row r="1" spans="1:19" x14ac:dyDescent="0.3">
      <c r="A1" s="436" t="s">
        <v>0</v>
      </c>
    </row>
    <row r="2" spans="1:19" x14ac:dyDescent="0.3">
      <c r="A2" s="436" t="s">
        <v>43</v>
      </c>
    </row>
    <row r="3" spans="1:19" x14ac:dyDescent="0.3">
      <c r="A3" s="440" t="s">
        <v>356</v>
      </c>
      <c r="K3" s="690" t="s">
        <v>521</v>
      </c>
      <c r="L3" s="691"/>
      <c r="M3" s="441" t="s">
        <v>937</v>
      </c>
      <c r="N3" s="690" t="s">
        <v>521</v>
      </c>
      <c r="O3" s="691"/>
      <c r="P3" s="441" t="s">
        <v>937</v>
      </c>
      <c r="Q3" s="690" t="s">
        <v>521</v>
      </c>
      <c r="R3" s="691"/>
      <c r="S3" s="441" t="s">
        <v>937</v>
      </c>
    </row>
    <row r="4" spans="1:19" x14ac:dyDescent="0.3">
      <c r="A4" s="442" t="s">
        <v>1</v>
      </c>
      <c r="B4" s="442" t="s">
        <v>2</v>
      </c>
      <c r="C4" s="442" t="s">
        <v>1502</v>
      </c>
      <c r="D4" s="443" t="s">
        <v>358</v>
      </c>
      <c r="E4" s="454" t="s">
        <v>1499</v>
      </c>
      <c r="F4" s="442" t="s">
        <v>4</v>
      </c>
      <c r="G4" s="442" t="s">
        <v>5</v>
      </c>
      <c r="H4" s="444" t="s">
        <v>6</v>
      </c>
      <c r="I4" s="444" t="s">
        <v>2641</v>
      </c>
      <c r="J4" s="444" t="s">
        <v>2598</v>
      </c>
      <c r="K4" s="445" t="s">
        <v>936</v>
      </c>
      <c r="L4" s="446" t="s">
        <v>525</v>
      </c>
      <c r="M4" s="446" t="s">
        <v>525</v>
      </c>
      <c r="N4" s="445" t="s">
        <v>936</v>
      </c>
      <c r="O4" s="446" t="s">
        <v>525</v>
      </c>
      <c r="P4" s="446" t="s">
        <v>525</v>
      </c>
      <c r="Q4" s="445" t="s">
        <v>936</v>
      </c>
      <c r="R4" s="446" t="s">
        <v>525</v>
      </c>
      <c r="S4" s="446" t="s">
        <v>525</v>
      </c>
    </row>
    <row r="5" spans="1:19" x14ac:dyDescent="0.3">
      <c r="A5" s="447">
        <v>1</v>
      </c>
      <c r="B5" s="448" t="s">
        <v>357</v>
      </c>
      <c r="C5" s="262" t="s">
        <v>2306</v>
      </c>
      <c r="D5" s="449">
        <v>513099</v>
      </c>
      <c r="E5" s="455" t="s">
        <v>2307</v>
      </c>
      <c r="F5" s="447" t="s">
        <v>359</v>
      </c>
      <c r="G5" s="447" t="s">
        <v>360</v>
      </c>
      <c r="H5" s="447" t="s">
        <v>361</v>
      </c>
      <c r="I5" s="447" t="s">
        <v>640</v>
      </c>
      <c r="J5" s="448" t="s">
        <v>2945</v>
      </c>
      <c r="K5" s="447" t="s">
        <v>2366</v>
      </c>
      <c r="L5" s="261">
        <v>7605</v>
      </c>
      <c r="M5" s="450">
        <v>7605</v>
      </c>
      <c r="N5" s="447" t="s">
        <v>2367</v>
      </c>
      <c r="O5" s="295">
        <v>4000</v>
      </c>
      <c r="P5" s="450">
        <v>3000</v>
      </c>
      <c r="Q5" s="447" t="s">
        <v>2368</v>
      </c>
      <c r="R5" s="295">
        <v>3100</v>
      </c>
      <c r="S5" s="450" t="s">
        <v>2633</v>
      </c>
    </row>
    <row r="6" spans="1:19" x14ac:dyDescent="0.3">
      <c r="A6" s="447">
        <v>2</v>
      </c>
      <c r="B6" s="452" t="s">
        <v>2634</v>
      </c>
      <c r="C6" s="262" t="s">
        <v>2640</v>
      </c>
      <c r="D6" s="453" t="s">
        <v>2635</v>
      </c>
      <c r="E6" s="262" t="s">
        <v>2638</v>
      </c>
      <c r="F6" s="447" t="s">
        <v>359</v>
      </c>
      <c r="G6" s="447"/>
      <c r="H6" s="447"/>
      <c r="I6" s="447" t="s">
        <v>641</v>
      </c>
      <c r="J6" s="448"/>
      <c r="K6" s="447"/>
      <c r="L6" s="261"/>
      <c r="M6" s="450"/>
      <c r="N6" s="447"/>
      <c r="O6" s="295"/>
      <c r="P6" s="450"/>
      <c r="Q6" s="447"/>
      <c r="R6" s="295"/>
      <c r="S6" s="450"/>
    </row>
    <row r="7" spans="1:19" x14ac:dyDescent="0.3">
      <c r="A7" s="447">
        <v>3</v>
      </c>
      <c r="B7" s="452" t="s">
        <v>2636</v>
      </c>
      <c r="C7" s="451" t="s">
        <v>2642</v>
      </c>
      <c r="D7" s="453" t="s">
        <v>2637</v>
      </c>
      <c r="E7" s="262" t="s">
        <v>2639</v>
      </c>
      <c r="F7" s="447" t="s">
        <v>359</v>
      </c>
      <c r="G7" s="447"/>
      <c r="H7" s="447"/>
      <c r="I7" s="447" t="s">
        <v>640</v>
      </c>
      <c r="J7" s="448" t="s">
        <v>2665</v>
      </c>
      <c r="K7" s="447"/>
      <c r="L7" s="261"/>
      <c r="M7" s="450"/>
      <c r="N7" s="447"/>
      <c r="O7" s="295"/>
      <c r="P7" s="450"/>
      <c r="Q7" s="447"/>
      <c r="R7" s="295"/>
      <c r="S7" s="450"/>
    </row>
    <row r="8" spans="1:19" x14ac:dyDescent="0.3">
      <c r="A8" s="447">
        <v>4</v>
      </c>
      <c r="B8" s="448" t="s">
        <v>474</v>
      </c>
      <c r="C8" s="262" t="s">
        <v>2308</v>
      </c>
      <c r="D8" s="447" t="s">
        <v>730</v>
      </c>
      <c r="E8" s="262" t="s">
        <v>2309</v>
      </c>
      <c r="F8" s="447" t="s">
        <v>475</v>
      </c>
      <c r="G8" s="447" t="s">
        <v>1168</v>
      </c>
      <c r="H8" s="447" t="s">
        <v>2369</v>
      </c>
      <c r="I8" s="447"/>
      <c r="J8" s="448" t="s">
        <v>1170</v>
      </c>
      <c r="K8" s="447"/>
      <c r="L8" s="261"/>
      <c r="M8" s="450"/>
      <c r="N8" s="447"/>
      <c r="O8" s="295"/>
      <c r="P8" s="450"/>
      <c r="Q8" s="447"/>
      <c r="R8" s="295"/>
      <c r="S8" s="450"/>
    </row>
    <row r="9" spans="1:19" x14ac:dyDescent="0.3">
      <c r="A9" s="447">
        <v>5</v>
      </c>
      <c r="B9" s="448" t="s">
        <v>702</v>
      </c>
      <c r="C9" s="262" t="s">
        <v>2310</v>
      </c>
      <c r="D9" s="449" t="s">
        <v>703</v>
      </c>
      <c r="E9" s="455" t="s">
        <v>2311</v>
      </c>
      <c r="F9" s="447" t="s">
        <v>704</v>
      </c>
      <c r="G9" s="447" t="s">
        <v>399</v>
      </c>
      <c r="H9" s="447">
        <v>2015</v>
      </c>
      <c r="I9" s="448" t="s">
        <v>641</v>
      </c>
      <c r="J9" s="448" t="s">
        <v>2943</v>
      </c>
      <c r="K9" s="447"/>
      <c r="L9" s="295"/>
      <c r="M9" s="450"/>
      <c r="N9" s="447"/>
      <c r="O9" s="295"/>
      <c r="P9" s="450"/>
      <c r="Q9" s="447"/>
      <c r="R9" s="295"/>
      <c r="S9" s="450"/>
    </row>
    <row r="10" spans="1:19" x14ac:dyDescent="0.3">
      <c r="A10" s="456"/>
      <c r="B10" s="457"/>
      <c r="C10" s="458"/>
      <c r="D10" s="459"/>
      <c r="E10" s="460"/>
      <c r="F10" s="456"/>
      <c r="G10" s="456"/>
      <c r="H10" s="456"/>
      <c r="I10" s="456"/>
      <c r="J10" s="457"/>
      <c r="K10" s="456"/>
      <c r="L10" s="461"/>
      <c r="M10" s="462"/>
      <c r="N10" s="456"/>
      <c r="O10" s="461"/>
      <c r="P10" s="462"/>
      <c r="Q10" s="456"/>
      <c r="R10" s="461"/>
      <c r="S10" s="462"/>
    </row>
    <row r="11" spans="1:19" x14ac:dyDescent="0.3">
      <c r="A11" s="456"/>
      <c r="B11" s="457"/>
      <c r="C11" s="458"/>
      <c r="D11" s="459"/>
      <c r="E11" s="460"/>
      <c r="F11" s="456"/>
      <c r="G11" s="456"/>
      <c r="H11" s="456"/>
      <c r="I11" s="456"/>
      <c r="J11" s="457"/>
      <c r="K11" s="456"/>
      <c r="L11" s="461"/>
      <c r="M11" s="462"/>
      <c r="N11" s="456"/>
      <c r="O11" s="461"/>
      <c r="P11" s="462"/>
      <c r="Q11" s="456"/>
      <c r="R11" s="461"/>
      <c r="S11" s="462"/>
    </row>
    <row r="12" spans="1:19" x14ac:dyDescent="0.3">
      <c r="C12" s="451"/>
    </row>
    <row r="13" spans="1:19" x14ac:dyDescent="0.3">
      <c r="B13" s="447" t="s">
        <v>359</v>
      </c>
    </row>
    <row r="14" spans="1:19" x14ac:dyDescent="0.3">
      <c r="B14" s="437" t="s">
        <v>2599</v>
      </c>
      <c r="D14" s="463" t="s">
        <v>2643</v>
      </c>
      <c r="E14" s="1"/>
      <c r="H14" s="447" t="s">
        <v>2942</v>
      </c>
    </row>
    <row r="15" spans="1:19" x14ac:dyDescent="0.3">
      <c r="B15" s="437" t="s">
        <v>2544</v>
      </c>
      <c r="D15" s="21" t="s">
        <v>2644</v>
      </c>
      <c r="E15" s="21" t="s">
        <v>2645</v>
      </c>
      <c r="F15" s="438" t="s">
        <v>2695</v>
      </c>
      <c r="H15" s="438" t="s">
        <v>2941</v>
      </c>
    </row>
    <row r="16" spans="1:19" x14ac:dyDescent="0.3">
      <c r="B16" s="437" t="s">
        <v>2545</v>
      </c>
      <c r="D16" s="464" t="s">
        <v>2646</v>
      </c>
      <c r="E16" s="465" t="s">
        <v>2647</v>
      </c>
      <c r="H16" s="438" t="s">
        <v>2944</v>
      </c>
    </row>
    <row r="17" spans="2:6" x14ac:dyDescent="0.3">
      <c r="B17" s="437" t="s">
        <v>2546</v>
      </c>
      <c r="F17" s="438" t="s">
        <v>645</v>
      </c>
    </row>
    <row r="18" spans="2:6" x14ac:dyDescent="0.3">
      <c r="B18" s="437" t="s">
        <v>2547</v>
      </c>
    </row>
    <row r="19" spans="2:6" x14ac:dyDescent="0.3">
      <c r="B19" s="437" t="s">
        <v>2548</v>
      </c>
    </row>
    <row r="20" spans="2:6" x14ac:dyDescent="0.3">
      <c r="D20" s="464" t="s">
        <v>2694</v>
      </c>
    </row>
    <row r="21" spans="2:6" x14ac:dyDescent="0.3">
      <c r="B21" s="437" t="s">
        <v>2692</v>
      </c>
    </row>
    <row r="22" spans="2:6" x14ac:dyDescent="0.3">
      <c r="B22" s="437" t="s">
        <v>2693</v>
      </c>
    </row>
  </sheetData>
  <mergeCells count="3">
    <mergeCell ref="K3:L3"/>
    <mergeCell ref="N3:O3"/>
    <mergeCell ref="Q3:R3"/>
  </mergeCells>
  <pageMargins left="0.25" right="0.25" top="0.75" bottom="0.75" header="0.3" footer="0.3"/>
  <pageSetup paperSize="9" scale="65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view="pageBreakPreview" zoomScaleNormal="100" zoomScaleSheetLayoutView="100" workbookViewId="0">
      <selection activeCell="F20" sqref="F20"/>
    </sheetView>
  </sheetViews>
  <sheetFormatPr defaultRowHeight="15" x14ac:dyDescent="0.25"/>
  <cols>
    <col min="2" max="2" width="42.28515625" bestFit="1" customWidth="1"/>
    <col min="3" max="3" width="9.42578125" bestFit="1" customWidth="1"/>
    <col min="4" max="4" width="14.42578125" bestFit="1" customWidth="1"/>
    <col min="5" max="5" width="11.28515625" bestFit="1" customWidth="1"/>
    <col min="6" max="6" width="50.7109375" bestFit="1" customWidth="1"/>
    <col min="7" max="7" width="32.140625" bestFit="1" customWidth="1"/>
    <col min="8" max="8" width="8.5703125" bestFit="1" customWidth="1"/>
    <col min="9" max="9" width="14.85546875" bestFit="1" customWidth="1"/>
    <col min="11" max="11" width="13.140625" bestFit="1" customWidth="1"/>
  </cols>
  <sheetData>
    <row r="1" spans="1:9" ht="16.5" x14ac:dyDescent="0.3">
      <c r="A1" s="4" t="s">
        <v>0</v>
      </c>
    </row>
    <row r="2" spans="1:9" ht="16.5" x14ac:dyDescent="0.3">
      <c r="A2" s="4" t="s">
        <v>43</v>
      </c>
      <c r="D2" t="s">
        <v>2397</v>
      </c>
    </row>
    <row r="3" spans="1:9" x14ac:dyDescent="0.25">
      <c r="A3" s="23" t="s">
        <v>365</v>
      </c>
    </row>
    <row r="4" spans="1:9" ht="16.5" x14ac:dyDescent="0.3">
      <c r="A4" s="2" t="s">
        <v>1</v>
      </c>
      <c r="B4" s="2" t="s">
        <v>2</v>
      </c>
      <c r="C4" s="2" t="s">
        <v>1502</v>
      </c>
      <c r="D4" s="3" t="s">
        <v>358</v>
      </c>
      <c r="E4" s="3" t="s">
        <v>1499</v>
      </c>
      <c r="F4" s="2" t="s">
        <v>5</v>
      </c>
      <c r="G4" s="7" t="s">
        <v>6</v>
      </c>
      <c r="H4" s="7" t="s">
        <v>335</v>
      </c>
      <c r="I4" s="28" t="s">
        <v>368</v>
      </c>
    </row>
    <row r="5" spans="1:9" ht="16.5" x14ac:dyDescent="0.3">
      <c r="A5" s="6">
        <v>1</v>
      </c>
      <c r="B5" s="8" t="s">
        <v>2315</v>
      </c>
      <c r="C5" s="82" t="s">
        <v>2312</v>
      </c>
      <c r="D5" s="9" t="s">
        <v>2314</v>
      </c>
      <c r="E5" s="9" t="s">
        <v>2313</v>
      </c>
      <c r="F5" s="6" t="s">
        <v>366</v>
      </c>
      <c r="G5" s="6" t="s">
        <v>367</v>
      </c>
      <c r="H5" s="25" t="s">
        <v>362</v>
      </c>
      <c r="I5" s="29">
        <v>41969</v>
      </c>
    </row>
    <row r="9" spans="1:9" x14ac:dyDescent="0.25">
      <c r="B9" s="285" t="s">
        <v>1326</v>
      </c>
      <c r="D9" s="247">
        <v>5700</v>
      </c>
    </row>
    <row r="10" spans="1:9" x14ac:dyDescent="0.25">
      <c r="B10" t="s">
        <v>1327</v>
      </c>
      <c r="D10" s="247"/>
    </row>
    <row r="11" spans="1:9" x14ac:dyDescent="0.25">
      <c r="B11" t="s">
        <v>2514</v>
      </c>
      <c r="D11" s="247">
        <v>2400</v>
      </c>
    </row>
    <row r="12" spans="1:9" x14ac:dyDescent="0.25">
      <c r="B12" t="s">
        <v>2513</v>
      </c>
      <c r="D12" s="247">
        <v>3600</v>
      </c>
    </row>
  </sheetData>
  <pageMargins left="0.7" right="0.7" top="0.75" bottom="0.75" header="0.3" footer="0.3"/>
  <pageSetup paperSize="9" scale="4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view="pageBreakPreview" topLeftCell="B1" zoomScale="90" zoomScaleNormal="100" zoomScaleSheetLayoutView="90" workbookViewId="0">
      <selection activeCell="I25" sqref="I25"/>
    </sheetView>
  </sheetViews>
  <sheetFormatPr defaultRowHeight="16.5" x14ac:dyDescent="0.3"/>
  <cols>
    <col min="1" max="1" width="6.42578125" style="1" customWidth="1"/>
    <col min="2" max="2" width="42.28515625" style="1" bestFit="1" customWidth="1"/>
    <col min="3" max="3" width="9.28515625" style="1" bestFit="1" customWidth="1"/>
    <col min="4" max="4" width="14.28515625" style="1" bestFit="1" customWidth="1"/>
    <col min="5" max="5" width="11.42578125" style="1" bestFit="1" customWidth="1"/>
    <col min="6" max="6" width="44.28515625" style="1" bestFit="1" customWidth="1"/>
    <col min="7" max="7" width="65.140625" style="1" bestFit="1" customWidth="1"/>
    <col min="8" max="8" width="8.5703125" style="1" bestFit="1" customWidth="1"/>
    <col min="9" max="9" width="15" style="1" bestFit="1" customWidth="1"/>
    <col min="10" max="10" width="14.28515625" style="15" bestFit="1" customWidth="1"/>
    <col min="11" max="11" width="11.140625" style="78" bestFit="1" customWidth="1"/>
    <col min="12" max="12" width="14.85546875" style="78" bestFit="1" customWidth="1"/>
    <col min="13" max="13" width="14.28515625" style="15" bestFit="1" customWidth="1"/>
    <col min="14" max="14" width="11.140625" style="78" bestFit="1" customWidth="1"/>
    <col min="15" max="15" width="17" style="78" bestFit="1" customWidth="1"/>
    <col min="16" max="16" width="14.28515625" style="15" bestFit="1" customWidth="1"/>
    <col min="17" max="17" width="10.7109375" style="78" bestFit="1" customWidth="1"/>
    <col min="18" max="18" width="14.85546875" style="78" bestFit="1" customWidth="1"/>
    <col min="19" max="16384" width="9.140625" style="1"/>
  </cols>
  <sheetData>
    <row r="1" spans="1:18" x14ac:dyDescent="0.3">
      <c r="A1" s="4" t="s">
        <v>0</v>
      </c>
    </row>
    <row r="2" spans="1:18" x14ac:dyDescent="0.3">
      <c r="A2" s="4" t="s">
        <v>43</v>
      </c>
    </row>
    <row r="3" spans="1:18" x14ac:dyDescent="0.3">
      <c r="A3" s="43" t="s">
        <v>495</v>
      </c>
      <c r="J3" s="646" t="s">
        <v>521</v>
      </c>
      <c r="K3" s="647"/>
      <c r="L3" s="238" t="s">
        <v>937</v>
      </c>
      <c r="M3" s="646" t="s">
        <v>521</v>
      </c>
      <c r="N3" s="647"/>
      <c r="O3" s="238" t="s">
        <v>937</v>
      </c>
      <c r="P3" s="646" t="s">
        <v>521</v>
      </c>
      <c r="Q3" s="647"/>
      <c r="R3" s="238" t="s">
        <v>937</v>
      </c>
    </row>
    <row r="4" spans="1:18" x14ac:dyDescent="0.3">
      <c r="A4" s="2" t="s">
        <v>1</v>
      </c>
      <c r="B4" s="2" t="s">
        <v>2</v>
      </c>
      <c r="C4" s="2" t="s">
        <v>1502</v>
      </c>
      <c r="D4" s="3" t="s">
        <v>3</v>
      </c>
      <c r="E4" s="3" t="s">
        <v>1499</v>
      </c>
      <c r="F4" s="2" t="s">
        <v>5</v>
      </c>
      <c r="G4" s="7" t="s">
        <v>6</v>
      </c>
      <c r="H4" s="7" t="s">
        <v>335</v>
      </c>
      <c r="I4" s="45" t="s">
        <v>368</v>
      </c>
      <c r="J4" s="353" t="s">
        <v>936</v>
      </c>
      <c r="K4" s="352" t="s">
        <v>525</v>
      </c>
      <c r="L4" s="352" t="s">
        <v>525</v>
      </c>
      <c r="M4" s="353" t="s">
        <v>936</v>
      </c>
      <c r="N4" s="352" t="s">
        <v>525</v>
      </c>
      <c r="O4" s="352" t="s">
        <v>525</v>
      </c>
      <c r="P4" s="353" t="s">
        <v>936</v>
      </c>
      <c r="Q4" s="352" t="s">
        <v>525</v>
      </c>
      <c r="R4" s="352" t="s">
        <v>525</v>
      </c>
    </row>
    <row r="5" spans="1:18" x14ac:dyDescent="0.3">
      <c r="A5" s="82">
        <v>1</v>
      </c>
      <c r="B5" s="83" t="s">
        <v>410</v>
      </c>
      <c r="C5" s="83" t="s">
        <v>2316</v>
      </c>
      <c r="D5" s="9" t="s">
        <v>2503</v>
      </c>
      <c r="E5" s="9" t="s">
        <v>2317</v>
      </c>
      <c r="F5" s="82" t="s">
        <v>411</v>
      </c>
      <c r="G5" s="82" t="s">
        <v>412</v>
      </c>
      <c r="H5" s="46"/>
      <c r="I5" s="47" t="s">
        <v>413</v>
      </c>
      <c r="J5" s="82" t="s">
        <v>2370</v>
      </c>
      <c r="K5" s="261">
        <v>9600</v>
      </c>
      <c r="L5" s="89"/>
      <c r="M5" s="428" t="s">
        <v>2618</v>
      </c>
      <c r="N5" s="89">
        <v>10500</v>
      </c>
      <c r="O5" s="89">
        <v>10500</v>
      </c>
      <c r="P5" s="82"/>
      <c r="Q5" s="89"/>
      <c r="R5" s="89"/>
    </row>
    <row r="6" spans="1:18" x14ac:dyDescent="0.3">
      <c r="J6" s="82"/>
      <c r="K6" s="261"/>
      <c r="L6" s="89"/>
      <c r="M6" s="82"/>
      <c r="N6" s="89"/>
      <c r="O6" s="429" t="s">
        <v>2619</v>
      </c>
      <c r="P6" s="82"/>
      <c r="Q6" s="89"/>
      <c r="R6" s="89"/>
    </row>
    <row r="7" spans="1:18" x14ac:dyDescent="0.3">
      <c r="J7" s="82"/>
      <c r="K7" s="89"/>
      <c r="L7" s="89"/>
      <c r="M7" s="82"/>
      <c r="N7" s="89"/>
      <c r="O7" s="89"/>
      <c r="P7" s="82"/>
      <c r="Q7" s="89"/>
      <c r="R7" s="89"/>
    </row>
    <row r="8" spans="1:18" x14ac:dyDescent="0.3">
      <c r="B8" s="1" t="s">
        <v>2498</v>
      </c>
    </row>
    <row r="9" spans="1:18" x14ac:dyDescent="0.3">
      <c r="B9" s="1" t="s">
        <v>2499</v>
      </c>
      <c r="F9" t="s">
        <v>2505</v>
      </c>
    </row>
    <row r="10" spans="1:18" x14ac:dyDescent="0.3">
      <c r="B10" s="1" t="s">
        <v>2500</v>
      </c>
    </row>
    <row r="11" spans="1:18" x14ac:dyDescent="0.3">
      <c r="B11" s="1" t="s">
        <v>2501</v>
      </c>
    </row>
    <row r="12" spans="1:18" x14ac:dyDescent="0.3">
      <c r="B12" s="1" t="s">
        <v>967</v>
      </c>
    </row>
    <row r="13" spans="1:18" x14ac:dyDescent="0.3">
      <c r="B13" s="1" t="s">
        <v>2502</v>
      </c>
    </row>
  </sheetData>
  <mergeCells count="3">
    <mergeCell ref="J3:K3"/>
    <mergeCell ref="M3:N3"/>
    <mergeCell ref="P3:Q3"/>
  </mergeCells>
  <pageMargins left="0.7" right="0.7" top="0.75" bottom="0.75" header="0.3" footer="0.3"/>
  <pageSetup scale="41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view="pageBreakPreview" zoomScale="90" zoomScaleNormal="100" zoomScaleSheetLayoutView="90" workbookViewId="0">
      <selection activeCell="O20" sqref="O20"/>
    </sheetView>
  </sheetViews>
  <sheetFormatPr defaultRowHeight="16.5" x14ac:dyDescent="0.3"/>
  <cols>
    <col min="1" max="1" width="6.28515625" style="1" customWidth="1"/>
    <col min="2" max="2" width="34.7109375" style="1" customWidth="1"/>
    <col min="3" max="3" width="9.42578125" style="1" bestFit="1" customWidth="1"/>
    <col min="4" max="4" width="13.140625" style="15" bestFit="1" customWidth="1"/>
    <col min="5" max="5" width="11.28515625" style="15" bestFit="1" customWidth="1"/>
    <col min="6" max="6" width="23.42578125" style="15" bestFit="1" customWidth="1"/>
    <col min="7" max="7" width="22.28515625" style="15" bestFit="1" customWidth="1"/>
    <col min="8" max="8" width="8.42578125" style="15" bestFit="1" customWidth="1"/>
    <col min="9" max="9" width="32.85546875" style="1" bestFit="1" customWidth="1"/>
    <col min="10" max="10" width="10.5703125" style="1" bestFit="1" customWidth="1"/>
    <col min="11" max="12" width="12.140625" style="1" customWidth="1"/>
    <col min="13" max="13" width="12.140625" style="120" customWidth="1"/>
    <col min="14" max="14" width="13.140625" style="1" bestFit="1" customWidth="1"/>
    <col min="15" max="15" width="9" style="78" bestFit="1" customWidth="1"/>
    <col min="16" max="16" width="11.140625" style="120" bestFit="1" customWidth="1"/>
    <col min="17" max="17" width="12.5703125" style="1" bestFit="1" customWidth="1"/>
    <col min="18" max="18" width="9" style="1" bestFit="1" customWidth="1"/>
    <col min="19" max="19" width="11" style="43" bestFit="1" customWidth="1"/>
    <col min="20" max="20" width="13.140625" style="1" bestFit="1" customWidth="1"/>
    <col min="21" max="21" width="9.140625" style="1"/>
    <col min="22" max="22" width="11" style="43" bestFit="1" customWidth="1"/>
    <col min="23" max="24" width="9.140625" style="1"/>
    <col min="25" max="25" width="11" style="1" bestFit="1" customWidth="1"/>
    <col min="26" max="26" width="9.7109375" style="1" bestFit="1" customWidth="1"/>
    <col min="27" max="16384" width="9.140625" style="1"/>
  </cols>
  <sheetData>
    <row r="1" spans="1:26" x14ac:dyDescent="0.3">
      <c r="A1" s="4" t="s">
        <v>0</v>
      </c>
    </row>
    <row r="2" spans="1:26" x14ac:dyDescent="0.3">
      <c r="A2" s="4" t="s">
        <v>43</v>
      </c>
      <c r="I2" s="188" t="s">
        <v>3029</v>
      </c>
    </row>
    <row r="3" spans="1:26" x14ac:dyDescent="0.3">
      <c r="A3" s="43" t="s">
        <v>466</v>
      </c>
      <c r="K3" s="687" t="s">
        <v>521</v>
      </c>
      <c r="L3" s="687"/>
      <c r="M3" s="417" t="s">
        <v>937</v>
      </c>
      <c r="N3" s="687" t="s">
        <v>521</v>
      </c>
      <c r="O3" s="687"/>
      <c r="P3" s="417" t="s">
        <v>937</v>
      </c>
      <c r="Q3" s="687" t="s">
        <v>521</v>
      </c>
      <c r="R3" s="687"/>
      <c r="S3" s="417" t="s">
        <v>937</v>
      </c>
      <c r="T3" s="687" t="s">
        <v>521</v>
      </c>
      <c r="U3" s="687"/>
      <c r="V3" s="417" t="s">
        <v>937</v>
      </c>
      <c r="W3" s="687" t="s">
        <v>521</v>
      </c>
      <c r="X3" s="687"/>
      <c r="Y3" s="616" t="s">
        <v>937</v>
      </c>
    </row>
    <row r="4" spans="1:26" x14ac:dyDescent="0.3">
      <c r="A4" s="2" t="s">
        <v>1</v>
      </c>
      <c r="B4" s="2" t="s">
        <v>2</v>
      </c>
      <c r="C4" s="2" t="s">
        <v>1502</v>
      </c>
      <c r="D4" s="3" t="s">
        <v>3</v>
      </c>
      <c r="E4" s="2" t="s">
        <v>1499</v>
      </c>
      <c r="F4" s="2" t="s">
        <v>4</v>
      </c>
      <c r="G4" s="2" t="s">
        <v>5</v>
      </c>
      <c r="H4" s="2" t="s">
        <v>415</v>
      </c>
      <c r="I4" s="7" t="s">
        <v>6</v>
      </c>
      <c r="J4" s="7" t="s">
        <v>335</v>
      </c>
      <c r="K4" s="418" t="s">
        <v>936</v>
      </c>
      <c r="L4" s="417" t="s">
        <v>525</v>
      </c>
      <c r="M4" s="417" t="s">
        <v>525</v>
      </c>
      <c r="N4" s="418" t="s">
        <v>936</v>
      </c>
      <c r="O4" s="417" t="s">
        <v>525</v>
      </c>
      <c r="P4" s="417" t="s">
        <v>525</v>
      </c>
      <c r="Q4" s="418" t="s">
        <v>936</v>
      </c>
      <c r="R4" s="417" t="s">
        <v>525</v>
      </c>
      <c r="S4" s="417" t="s">
        <v>525</v>
      </c>
      <c r="T4" s="418" t="s">
        <v>936</v>
      </c>
      <c r="U4" s="417" t="s">
        <v>525</v>
      </c>
      <c r="V4" s="417" t="s">
        <v>525</v>
      </c>
      <c r="W4" s="617" t="s">
        <v>936</v>
      </c>
      <c r="X4" s="616" t="s">
        <v>525</v>
      </c>
      <c r="Y4" s="616" t="s">
        <v>525</v>
      </c>
    </row>
    <row r="5" spans="1:26" x14ac:dyDescent="0.3">
      <c r="A5" s="6">
        <v>1</v>
      </c>
      <c r="B5" s="8" t="s">
        <v>340</v>
      </c>
      <c r="C5" s="83" t="s">
        <v>2318</v>
      </c>
      <c r="D5" s="9" t="s">
        <v>2320</v>
      </c>
      <c r="E5" s="82" t="s">
        <v>2319</v>
      </c>
      <c r="F5" s="82" t="s">
        <v>566</v>
      </c>
      <c r="G5" s="82" t="s">
        <v>559</v>
      </c>
      <c r="H5" s="82" t="s">
        <v>461</v>
      </c>
      <c r="I5" s="8" t="s">
        <v>561</v>
      </c>
      <c r="J5" s="89">
        <v>9060</v>
      </c>
      <c r="K5" s="83" t="s">
        <v>2600</v>
      </c>
      <c r="L5" s="421">
        <v>5920</v>
      </c>
      <c r="M5" s="121">
        <v>5920</v>
      </c>
      <c r="N5" s="83" t="s">
        <v>2603</v>
      </c>
      <c r="O5" s="89">
        <v>2400</v>
      </c>
      <c r="P5" s="121">
        <v>2400</v>
      </c>
      <c r="Q5" s="83" t="s">
        <v>2602</v>
      </c>
      <c r="R5" s="89">
        <v>1500</v>
      </c>
      <c r="S5" s="121">
        <v>1500</v>
      </c>
      <c r="T5" s="83" t="s">
        <v>2601</v>
      </c>
      <c r="U5" s="89">
        <v>1500</v>
      </c>
      <c r="V5" s="121">
        <v>1500</v>
      </c>
      <c r="W5" s="83"/>
      <c r="X5" s="83"/>
      <c r="Y5" s="83"/>
      <c r="Z5" s="618">
        <f>J5-M5-P5-S5-V5</f>
        <v>-2260</v>
      </c>
    </row>
    <row r="6" spans="1:26" x14ac:dyDescent="0.3">
      <c r="A6" s="6">
        <v>2</v>
      </c>
      <c r="B6" s="8" t="s">
        <v>557</v>
      </c>
      <c r="C6" s="83" t="s">
        <v>2321</v>
      </c>
      <c r="D6" s="9" t="s">
        <v>2323</v>
      </c>
      <c r="E6" s="82" t="s">
        <v>2322</v>
      </c>
      <c r="F6" s="82" t="s">
        <v>558</v>
      </c>
      <c r="G6" s="82" t="s">
        <v>559</v>
      </c>
      <c r="H6" s="82" t="s">
        <v>461</v>
      </c>
      <c r="I6" s="8" t="s">
        <v>560</v>
      </c>
      <c r="J6" s="89">
        <v>8490</v>
      </c>
      <c r="K6" s="83" t="s">
        <v>2604</v>
      </c>
      <c r="L6" s="421">
        <v>5920</v>
      </c>
      <c r="M6" s="121">
        <v>5920</v>
      </c>
      <c r="N6" s="83" t="s">
        <v>2605</v>
      </c>
      <c r="O6" s="89">
        <v>2400</v>
      </c>
      <c r="P6" s="121">
        <v>2400</v>
      </c>
      <c r="Q6" s="83" t="s">
        <v>2606</v>
      </c>
      <c r="R6" s="89">
        <v>1500</v>
      </c>
      <c r="S6" s="121">
        <v>1500</v>
      </c>
      <c r="T6" s="83"/>
      <c r="U6" s="89"/>
      <c r="V6" s="121"/>
      <c r="W6" s="83"/>
      <c r="X6" s="83"/>
      <c r="Y6" s="83"/>
    </row>
    <row r="7" spans="1:26" x14ac:dyDescent="0.3">
      <c r="A7" s="82">
        <v>3</v>
      </c>
      <c r="B7" s="83" t="s">
        <v>1222</v>
      </c>
      <c r="C7" s="83" t="s">
        <v>2324</v>
      </c>
      <c r="D7" s="9" t="s">
        <v>2326</v>
      </c>
      <c r="E7" s="82" t="s">
        <v>2325</v>
      </c>
      <c r="F7" s="82" t="s">
        <v>1223</v>
      </c>
      <c r="G7" s="82" t="s">
        <v>399</v>
      </c>
      <c r="H7" s="82" t="s">
        <v>461</v>
      </c>
      <c r="I7" s="83" t="s">
        <v>1224</v>
      </c>
      <c r="J7" s="89"/>
      <c r="K7" s="83" t="s">
        <v>2607</v>
      </c>
      <c r="L7" s="421">
        <v>3670</v>
      </c>
      <c r="M7" s="121">
        <v>3670</v>
      </c>
      <c r="N7" s="83"/>
      <c r="O7" s="89"/>
      <c r="P7" s="121"/>
      <c r="Q7" s="83"/>
      <c r="R7" s="89"/>
      <c r="S7" s="121"/>
      <c r="T7" s="83"/>
      <c r="U7" s="89"/>
      <c r="V7" s="121"/>
      <c r="W7" s="83"/>
      <c r="X7" s="83"/>
      <c r="Y7" s="83"/>
    </row>
    <row r="10" spans="1:26" x14ac:dyDescent="0.3">
      <c r="B10" s="1" t="s">
        <v>1226</v>
      </c>
    </row>
    <row r="11" spans="1:26" x14ac:dyDescent="0.3">
      <c r="B11" s="1" t="s">
        <v>1227</v>
      </c>
    </row>
    <row r="13" spans="1:26" x14ac:dyDescent="0.3">
      <c r="B13" t="s">
        <v>2512</v>
      </c>
    </row>
    <row r="20" spans="2:2" x14ac:dyDescent="0.3">
      <c r="B20" s="420"/>
    </row>
    <row r="21" spans="2:2" x14ac:dyDescent="0.3">
      <c r="B21" s="420"/>
    </row>
    <row r="22" spans="2:2" x14ac:dyDescent="0.3">
      <c r="B22" s="420"/>
    </row>
    <row r="23" spans="2:2" x14ac:dyDescent="0.3">
      <c r="B23" s="420"/>
    </row>
    <row r="24" spans="2:2" x14ac:dyDescent="0.3">
      <c r="B24" s="420"/>
    </row>
    <row r="25" spans="2:2" x14ac:dyDescent="0.3">
      <c r="B25" s="420"/>
    </row>
    <row r="26" spans="2:2" x14ac:dyDescent="0.3">
      <c r="B26" s="420"/>
    </row>
    <row r="27" spans="2:2" x14ac:dyDescent="0.3">
      <c r="B27" s="420"/>
    </row>
  </sheetData>
  <mergeCells count="5">
    <mergeCell ref="K3:L3"/>
    <mergeCell ref="N3:O3"/>
    <mergeCell ref="Q3:R3"/>
    <mergeCell ref="T3:U3"/>
    <mergeCell ref="W3:X3"/>
  </mergeCells>
  <pageMargins left="0.7" right="0.7" top="0.75" bottom="0.75" header="0.3" footer="0.3"/>
  <pageSetup scale="52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view="pageBreakPreview" zoomScaleNormal="100" zoomScaleSheetLayoutView="100" workbookViewId="0">
      <selection activeCell="F3" sqref="F3"/>
    </sheetView>
  </sheetViews>
  <sheetFormatPr defaultRowHeight="15" x14ac:dyDescent="0.25"/>
  <cols>
    <col min="1" max="1" width="5.42578125" customWidth="1"/>
    <col min="2" max="2" width="35" customWidth="1"/>
    <col min="3" max="3" width="14.85546875" customWidth="1"/>
    <col min="4" max="4" width="14.28515625" bestFit="1" customWidth="1"/>
    <col min="5" max="5" width="14.28515625" customWidth="1"/>
    <col min="6" max="6" width="10.42578125" bestFit="1" customWidth="1"/>
    <col min="7" max="7" width="10.140625" bestFit="1" customWidth="1"/>
    <col min="8" max="8" width="14.85546875" bestFit="1" customWidth="1"/>
    <col min="11" max="11" width="10.140625" bestFit="1" customWidth="1"/>
  </cols>
  <sheetData>
    <row r="1" spans="1:9" ht="16.5" x14ac:dyDescent="0.3">
      <c r="A1" s="4" t="s">
        <v>0</v>
      </c>
      <c r="B1" s="1"/>
      <c r="C1" s="1"/>
      <c r="D1" s="1"/>
      <c r="E1" s="1"/>
      <c r="F1" s="1"/>
      <c r="G1" s="1"/>
      <c r="H1" s="1"/>
      <c r="I1" s="1"/>
    </row>
    <row r="2" spans="1:9" ht="16.5" x14ac:dyDescent="0.3">
      <c r="A2" s="4" t="s">
        <v>43</v>
      </c>
      <c r="B2" s="1"/>
      <c r="C2" s="1"/>
      <c r="D2" s="1"/>
      <c r="E2" s="1"/>
      <c r="F2" s="1"/>
      <c r="G2" s="1"/>
      <c r="H2" s="1"/>
      <c r="I2" s="1"/>
    </row>
    <row r="3" spans="1:9" ht="16.5" x14ac:dyDescent="0.3">
      <c r="A3" s="43" t="s">
        <v>739</v>
      </c>
      <c r="B3" s="1"/>
      <c r="C3" s="1"/>
      <c r="D3" s="15" t="s">
        <v>859</v>
      </c>
      <c r="E3" s="15"/>
      <c r="F3" s="1" t="s">
        <v>860</v>
      </c>
      <c r="G3" s="1"/>
      <c r="H3" s="1"/>
      <c r="I3" s="1"/>
    </row>
    <row r="4" spans="1:9" ht="16.5" x14ac:dyDescent="0.3">
      <c r="A4" s="2" t="s">
        <v>1</v>
      </c>
      <c r="B4" s="2" t="s">
        <v>2</v>
      </c>
      <c r="C4" s="68" t="s">
        <v>1502</v>
      </c>
      <c r="D4" s="3" t="s">
        <v>3</v>
      </c>
      <c r="E4" s="3" t="s">
        <v>1499</v>
      </c>
      <c r="F4" s="2" t="s">
        <v>5</v>
      </c>
      <c r="G4" s="7" t="s">
        <v>6</v>
      </c>
      <c r="H4" s="7" t="s">
        <v>335</v>
      </c>
    </row>
    <row r="5" spans="1:9" ht="16.5" x14ac:dyDescent="0.3">
      <c r="A5" s="82">
        <v>1</v>
      </c>
      <c r="B5" s="83" t="s">
        <v>740</v>
      </c>
      <c r="C5" s="47" t="s">
        <v>2136</v>
      </c>
      <c r="D5" s="9" t="s">
        <v>741</v>
      </c>
      <c r="E5" s="47" t="s">
        <v>743</v>
      </c>
      <c r="F5" s="82" t="s">
        <v>641</v>
      </c>
      <c r="G5" s="82" t="s">
        <v>742</v>
      </c>
      <c r="H5" s="143">
        <v>20100</v>
      </c>
    </row>
    <row r="10" spans="1:9" x14ac:dyDescent="0.25">
      <c r="F10" s="111"/>
    </row>
    <row r="11" spans="1:9" x14ac:dyDescent="0.25">
      <c r="F11" s="111"/>
    </row>
    <row r="12" spans="1:9" x14ac:dyDescent="0.25">
      <c r="F12" s="111"/>
    </row>
  </sheetData>
  <pageMargins left="0.7" right="0.7" top="0.75" bottom="0.75" header="0.3" footer="0.3"/>
  <pageSetup scale="75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view="pageBreakPreview" zoomScaleNormal="100" zoomScaleSheetLayoutView="100" workbookViewId="0">
      <selection activeCell="L12" sqref="L12"/>
    </sheetView>
  </sheetViews>
  <sheetFormatPr defaultRowHeight="16.5" x14ac:dyDescent="0.3"/>
  <cols>
    <col min="1" max="1" width="5.42578125" style="1" customWidth="1"/>
    <col min="2" max="2" width="35" style="1" customWidth="1"/>
    <col min="3" max="3" width="13.5703125" style="1" customWidth="1"/>
    <col min="4" max="4" width="14.28515625" style="280" bestFit="1" customWidth="1"/>
    <col min="5" max="5" width="14.28515625" style="280" customWidth="1"/>
    <col min="6" max="6" width="10.42578125" style="1" bestFit="1" customWidth="1"/>
    <col min="7" max="7" width="10.140625" style="1" bestFit="1" customWidth="1"/>
    <col min="8" max="8" width="11" style="1" bestFit="1" customWidth="1"/>
    <col min="9" max="9" width="13.140625" style="1" bestFit="1" customWidth="1"/>
    <col min="10" max="10" width="9.140625" style="1"/>
    <col min="11" max="11" width="10.140625" style="1" bestFit="1" customWidth="1"/>
    <col min="12" max="16384" width="9.140625" style="1"/>
  </cols>
  <sheetData>
    <row r="1" spans="1:11" x14ac:dyDescent="0.3">
      <c r="A1" s="4" t="s">
        <v>0</v>
      </c>
    </row>
    <row r="2" spans="1:11" x14ac:dyDescent="0.3">
      <c r="A2" s="4" t="s">
        <v>43</v>
      </c>
      <c r="E2" s="380" t="s">
        <v>2445</v>
      </c>
    </row>
    <row r="3" spans="1:11" x14ac:dyDescent="0.3">
      <c r="A3" s="43" t="s">
        <v>850</v>
      </c>
    </row>
    <row r="4" spans="1:11" x14ac:dyDescent="0.3">
      <c r="A4" s="2" t="s">
        <v>1</v>
      </c>
      <c r="B4" s="2" t="s">
        <v>2</v>
      </c>
      <c r="C4" s="2" t="s">
        <v>1502</v>
      </c>
      <c r="D4" s="169" t="s">
        <v>3</v>
      </c>
      <c r="E4" s="169" t="s">
        <v>1499</v>
      </c>
      <c r="F4" s="2" t="s">
        <v>5</v>
      </c>
      <c r="G4" s="7" t="s">
        <v>6</v>
      </c>
      <c r="H4" s="7" t="s">
        <v>335</v>
      </c>
      <c r="I4" s="489" t="s">
        <v>2724</v>
      </c>
      <c r="J4" s="489" t="s">
        <v>525</v>
      </c>
      <c r="K4" s="83"/>
    </row>
    <row r="5" spans="1:11" x14ac:dyDescent="0.3">
      <c r="A5" s="82">
        <v>1</v>
      </c>
      <c r="B5" s="83" t="s">
        <v>851</v>
      </c>
      <c r="C5" s="82" t="s">
        <v>2137</v>
      </c>
      <c r="D5" s="137" t="s">
        <v>852</v>
      </c>
      <c r="E5" s="47" t="s">
        <v>853</v>
      </c>
      <c r="F5" s="82"/>
      <c r="G5" s="82"/>
      <c r="H5" s="143"/>
      <c r="I5" s="492" t="s">
        <v>2723</v>
      </c>
      <c r="J5" s="89">
        <v>1250</v>
      </c>
      <c r="K5" s="83"/>
    </row>
    <row r="6" spans="1:11" x14ac:dyDescent="0.3">
      <c r="A6" s="83">
        <v>2</v>
      </c>
      <c r="B6" s="83" t="s">
        <v>1229</v>
      </c>
      <c r="C6" s="82" t="s">
        <v>2138</v>
      </c>
      <c r="D6" s="281" t="s">
        <v>1230</v>
      </c>
      <c r="E6" s="82" t="s">
        <v>1231</v>
      </c>
      <c r="F6" s="83"/>
      <c r="G6" s="83"/>
      <c r="H6" s="83"/>
      <c r="I6" s="83"/>
      <c r="J6" s="83"/>
      <c r="K6" s="83"/>
    </row>
    <row r="10" spans="1:11" x14ac:dyDescent="0.3">
      <c r="F10" s="279"/>
    </row>
    <row r="11" spans="1:11" x14ac:dyDescent="0.3">
      <c r="F11" s="279"/>
    </row>
    <row r="12" spans="1:11" x14ac:dyDescent="0.3">
      <c r="F12" s="279"/>
    </row>
  </sheetData>
  <pageMargins left="0.7" right="0.7" top="0.75" bottom="0.75" header="0.3" footer="0.3"/>
  <pageSetup scale="79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view="pageBreakPreview" topLeftCell="D1" zoomScaleNormal="100" zoomScaleSheetLayoutView="100" workbookViewId="0">
      <selection activeCell="O19" sqref="O19"/>
    </sheetView>
  </sheetViews>
  <sheetFormatPr defaultRowHeight="16.5" x14ac:dyDescent="0.3"/>
  <cols>
    <col min="1" max="1" width="5.42578125" style="15" customWidth="1"/>
    <col min="2" max="2" width="67.42578125" style="1" bestFit="1" customWidth="1"/>
    <col min="3" max="3" width="9.7109375" style="1" bestFit="1" customWidth="1"/>
    <col min="4" max="4" width="11.28515625" style="393" bestFit="1" customWidth="1"/>
    <col min="5" max="5" width="13.140625" style="1" bestFit="1" customWidth="1"/>
    <col min="6" max="6" width="22.42578125" style="1" bestFit="1" customWidth="1"/>
    <col min="7" max="7" width="7.42578125" style="1" bestFit="1" customWidth="1"/>
    <col min="8" max="8" width="10.42578125" style="1" bestFit="1" customWidth="1"/>
    <col min="9" max="9" width="8.7109375" style="1" bestFit="1" customWidth="1"/>
    <col min="10" max="11" width="9.140625" style="1"/>
    <col min="12" max="12" width="15" style="1" bestFit="1" customWidth="1"/>
    <col min="13" max="13" width="15.85546875" style="1" bestFit="1" customWidth="1"/>
    <col min="14" max="14" width="11.85546875" style="1" customWidth="1"/>
    <col min="15" max="15" width="18.42578125" style="1" customWidth="1"/>
    <col min="16" max="16" width="20.140625" style="1" customWidth="1"/>
    <col min="17" max="17" width="42.28515625" style="1" bestFit="1" customWidth="1"/>
    <col min="18" max="16384" width="9.140625" style="1"/>
  </cols>
  <sheetData>
    <row r="1" spans="1:17" s="21" customFormat="1" x14ac:dyDescent="0.3">
      <c r="A1" s="4" t="s">
        <v>0</v>
      </c>
      <c r="B1" s="394"/>
      <c r="C1" s="394"/>
      <c r="D1" s="395"/>
      <c r="O1" s="396"/>
    </row>
    <row r="2" spans="1:17" s="21" customFormat="1" x14ac:dyDescent="0.3">
      <c r="A2" s="4" t="s">
        <v>43</v>
      </c>
      <c r="B2" s="394"/>
      <c r="C2" s="394"/>
      <c r="D2" s="395"/>
      <c r="O2" s="396"/>
    </row>
    <row r="3" spans="1:17" s="21" customFormat="1" x14ac:dyDescent="0.3">
      <c r="A3" s="396" t="s">
        <v>1486</v>
      </c>
      <c r="D3" s="397"/>
      <c r="J3" s="646" t="s">
        <v>521</v>
      </c>
      <c r="K3" s="647"/>
      <c r="L3" s="389" t="s">
        <v>937</v>
      </c>
      <c r="M3" s="390" t="s">
        <v>523</v>
      </c>
      <c r="N3" s="680" t="s">
        <v>524</v>
      </c>
      <c r="O3" s="638" t="s">
        <v>944</v>
      </c>
      <c r="P3" s="635" t="s">
        <v>571</v>
      </c>
      <c r="Q3" s="15"/>
    </row>
    <row r="4" spans="1:17" x14ac:dyDescent="0.3">
      <c r="A4" s="2" t="s">
        <v>1</v>
      </c>
      <c r="B4" s="2" t="s">
        <v>2</v>
      </c>
      <c r="C4" s="2" t="s">
        <v>1502</v>
      </c>
      <c r="D4" s="7" t="s">
        <v>1499</v>
      </c>
      <c r="E4" s="3" t="s">
        <v>3</v>
      </c>
      <c r="F4" s="2" t="s">
        <v>4</v>
      </c>
      <c r="G4" s="2" t="s">
        <v>970</v>
      </c>
      <c r="H4" s="2" t="s">
        <v>5</v>
      </c>
      <c r="I4" s="7" t="s">
        <v>6</v>
      </c>
      <c r="J4" s="679">
        <v>2016</v>
      </c>
      <c r="K4" s="678"/>
      <c r="L4" s="238" t="s">
        <v>525</v>
      </c>
      <c r="M4" s="239" t="s">
        <v>525</v>
      </c>
      <c r="N4" s="681"/>
      <c r="O4" s="682"/>
      <c r="P4" s="692"/>
      <c r="Q4" s="15"/>
    </row>
    <row r="5" spans="1:17" x14ac:dyDescent="0.3">
      <c r="A5" s="82">
        <v>1</v>
      </c>
      <c r="B5" s="18" t="s">
        <v>1489</v>
      </c>
      <c r="C5" s="307" t="s">
        <v>2139</v>
      </c>
      <c r="D5" s="307" t="s">
        <v>1488</v>
      </c>
      <c r="E5" s="9" t="s">
        <v>1487</v>
      </c>
      <c r="F5" s="82" t="s">
        <v>1486</v>
      </c>
      <c r="G5" s="82" t="s">
        <v>640</v>
      </c>
      <c r="H5" s="82" t="s">
        <v>399</v>
      </c>
      <c r="I5" s="82">
        <v>2013</v>
      </c>
      <c r="J5" s="89"/>
      <c r="K5" s="89"/>
      <c r="L5" s="89"/>
      <c r="M5" s="89"/>
      <c r="N5" s="89"/>
      <c r="O5" s="121"/>
      <c r="P5" s="89"/>
      <c r="Q5" s="83"/>
    </row>
    <row r="6" spans="1:17" x14ac:dyDescent="0.3">
      <c r="A6" s="82">
        <v>2</v>
      </c>
      <c r="B6" s="83" t="s">
        <v>2510</v>
      </c>
      <c r="C6" s="82" t="s">
        <v>2511</v>
      </c>
      <c r="D6" s="392" t="s">
        <v>2508</v>
      </c>
      <c r="E6" s="9" t="s">
        <v>2509</v>
      </c>
      <c r="F6" s="82" t="s">
        <v>1486</v>
      </c>
      <c r="G6" s="82" t="s">
        <v>641</v>
      </c>
      <c r="H6" s="82" t="s">
        <v>2574</v>
      </c>
      <c r="I6" s="82"/>
      <c r="J6" s="83"/>
      <c r="K6" s="83"/>
      <c r="L6" s="83"/>
      <c r="M6" s="83"/>
      <c r="N6" s="83"/>
      <c r="O6" s="83"/>
      <c r="P6" s="83"/>
      <c r="Q6" s="83"/>
    </row>
    <row r="7" spans="1:17" x14ac:dyDescent="0.3">
      <c r="A7" s="24"/>
      <c r="B7" s="84"/>
      <c r="C7" s="24"/>
      <c r="D7" s="490"/>
      <c r="E7" s="491"/>
      <c r="F7" s="24"/>
      <c r="G7" s="24"/>
      <c r="H7" s="24"/>
      <c r="I7" s="24"/>
      <c r="J7" s="84"/>
      <c r="K7" s="84"/>
      <c r="L7" s="84"/>
      <c r="M7" s="84"/>
      <c r="N7" s="84"/>
      <c r="O7" s="84"/>
      <c r="P7" s="84"/>
      <c r="Q7" s="84"/>
    </row>
    <row r="8" spans="1:17" x14ac:dyDescent="0.3">
      <c r="A8" s="24"/>
      <c r="B8" s="84"/>
      <c r="C8" s="24"/>
      <c r="D8" s="490"/>
      <c r="E8" s="491"/>
      <c r="F8" s="24"/>
      <c r="G8" s="24"/>
      <c r="H8" s="24"/>
      <c r="I8" s="24"/>
      <c r="J8" s="84"/>
      <c r="K8" s="84"/>
      <c r="L8" s="84"/>
      <c r="M8" s="84"/>
      <c r="N8" s="84"/>
      <c r="O8" s="84"/>
      <c r="P8" s="84"/>
      <c r="Q8" s="84"/>
    </row>
    <row r="9" spans="1:17" x14ac:dyDescent="0.3">
      <c r="E9" s="391"/>
    </row>
    <row r="10" spans="1:17" x14ac:dyDescent="0.3">
      <c r="B10" s="1" t="s">
        <v>2507</v>
      </c>
    </row>
    <row r="11" spans="1:17" x14ac:dyDescent="0.3">
      <c r="B11" s="1" t="s">
        <v>2506</v>
      </c>
    </row>
    <row r="13" spans="1:17" x14ac:dyDescent="0.3">
      <c r="B13" s="1" t="s">
        <v>2568</v>
      </c>
    </row>
    <row r="14" spans="1:17" x14ac:dyDescent="0.3">
      <c r="B14" s="1" t="s">
        <v>2569</v>
      </c>
    </row>
    <row r="15" spans="1:17" x14ac:dyDescent="0.3">
      <c r="B15" s="1" t="s">
        <v>2570</v>
      </c>
    </row>
    <row r="16" spans="1:17" x14ac:dyDescent="0.3">
      <c r="B16" s="1" t="s">
        <v>2571</v>
      </c>
    </row>
    <row r="17" spans="2:2" x14ac:dyDescent="0.3">
      <c r="B17" s="1" t="s">
        <v>2572</v>
      </c>
    </row>
    <row r="18" spans="2:2" x14ac:dyDescent="0.3">
      <c r="B18" s="1" t="s">
        <v>2573</v>
      </c>
    </row>
  </sheetData>
  <mergeCells count="5">
    <mergeCell ref="O3:O4"/>
    <mergeCell ref="P3:P4"/>
    <mergeCell ref="J4:K4"/>
    <mergeCell ref="J3:K3"/>
    <mergeCell ref="N3:N4"/>
  </mergeCells>
  <pageMargins left="0.7" right="0.7" top="0.75" bottom="0.75" header="0.3" footer="0.3"/>
  <pageSetup scale="46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G13" sqref="G13"/>
    </sheetView>
  </sheetViews>
  <sheetFormatPr defaultRowHeight="16.5" x14ac:dyDescent="0.3"/>
  <cols>
    <col min="1" max="1" width="9.140625" style="1"/>
    <col min="2" max="2" width="31.7109375" style="1" bestFit="1" customWidth="1"/>
    <col min="3" max="3" width="9.42578125" style="15" bestFit="1" customWidth="1"/>
    <col min="4" max="4" width="11.28515625" style="15" bestFit="1" customWidth="1"/>
    <col min="5" max="5" width="14.28515625" style="15" bestFit="1" customWidth="1"/>
    <col min="6" max="6" width="4.7109375" style="1" bestFit="1" customWidth="1"/>
    <col min="7" max="7" width="39.85546875" style="15" bestFit="1" customWidth="1"/>
    <col min="8" max="8" width="40.5703125" style="15" bestFit="1" customWidth="1"/>
    <col min="9" max="9" width="8.5703125" style="1" bestFit="1" customWidth="1"/>
    <col min="10" max="10" width="13.85546875" style="1" bestFit="1" customWidth="1"/>
    <col min="11" max="16384" width="9.140625" style="1"/>
  </cols>
  <sheetData>
    <row r="1" spans="1:10" x14ac:dyDescent="0.3">
      <c r="A1" s="4" t="s">
        <v>0</v>
      </c>
    </row>
    <row r="2" spans="1:10" x14ac:dyDescent="0.3">
      <c r="A2" s="4" t="s">
        <v>43</v>
      </c>
    </row>
    <row r="3" spans="1:10" x14ac:dyDescent="0.3">
      <c r="A3" s="43" t="s">
        <v>433</v>
      </c>
    </row>
    <row r="4" spans="1:10" x14ac:dyDescent="0.3">
      <c r="A4" s="2" t="s">
        <v>1</v>
      </c>
      <c r="B4" s="2" t="s">
        <v>2</v>
      </c>
      <c r="C4" s="2" t="s">
        <v>1502</v>
      </c>
      <c r="D4" s="2" t="s">
        <v>1499</v>
      </c>
      <c r="E4" s="3" t="s">
        <v>3</v>
      </c>
      <c r="F4" s="3"/>
      <c r="G4" s="2" t="s">
        <v>5</v>
      </c>
      <c r="H4" s="7" t="s">
        <v>6</v>
      </c>
      <c r="I4" s="7" t="s">
        <v>335</v>
      </c>
      <c r="J4" s="45" t="s">
        <v>368</v>
      </c>
    </row>
    <row r="5" spans="1:10" x14ac:dyDescent="0.3">
      <c r="A5" s="6">
        <v>1</v>
      </c>
      <c r="B5" s="8" t="s">
        <v>434</v>
      </c>
      <c r="C5" s="82" t="s">
        <v>2122</v>
      </c>
      <c r="D5" s="82" t="s">
        <v>2123</v>
      </c>
      <c r="E5" s="9" t="s">
        <v>2124</v>
      </c>
      <c r="F5" s="9" t="s">
        <v>1168</v>
      </c>
      <c r="G5" s="82" t="s">
        <v>458</v>
      </c>
      <c r="H5" s="82" t="s">
        <v>2125</v>
      </c>
      <c r="I5" s="46"/>
      <c r="J5" s="356">
        <v>41638</v>
      </c>
    </row>
    <row r="6" spans="1:10" x14ac:dyDescent="0.3">
      <c r="A6" s="82">
        <v>2</v>
      </c>
      <c r="B6" s="83" t="s">
        <v>1221</v>
      </c>
      <c r="C6" s="82" t="s">
        <v>2126</v>
      </c>
      <c r="D6" s="82" t="s">
        <v>2128</v>
      </c>
      <c r="E6" s="82" t="s">
        <v>2127</v>
      </c>
      <c r="F6" s="83" t="s">
        <v>1168</v>
      </c>
      <c r="G6" s="82" t="s">
        <v>2129</v>
      </c>
      <c r="H6" s="82" t="s">
        <v>2125</v>
      </c>
      <c r="I6" s="83"/>
      <c r="J6" s="356">
        <v>41638</v>
      </c>
    </row>
    <row r="7" spans="1:10" x14ac:dyDescent="0.3">
      <c r="A7" s="82">
        <v>3</v>
      </c>
      <c r="B7" s="83" t="s">
        <v>2371</v>
      </c>
      <c r="C7" s="82" t="s">
        <v>2372</v>
      </c>
      <c r="D7" s="82" t="s">
        <v>2373</v>
      </c>
      <c r="E7" s="82" t="s">
        <v>2374</v>
      </c>
      <c r="F7" s="83" t="s">
        <v>1168</v>
      </c>
      <c r="G7" s="82" t="s">
        <v>2376</v>
      </c>
      <c r="H7" s="82" t="s">
        <v>2375</v>
      </c>
      <c r="I7" s="83"/>
      <c r="J7" s="356">
        <v>41928</v>
      </c>
    </row>
    <row r="10" spans="1:10" x14ac:dyDescent="0.3">
      <c r="B10" s="1" t="s">
        <v>2717</v>
      </c>
    </row>
    <row r="11" spans="1:10" x14ac:dyDescent="0.3">
      <c r="B11" s="1" t="s">
        <v>2387</v>
      </c>
    </row>
    <row r="12" spans="1:10" x14ac:dyDescent="0.3">
      <c r="B12" s="1" t="s">
        <v>2388</v>
      </c>
    </row>
    <row r="13" spans="1:10" x14ac:dyDescent="0.3">
      <c r="B13" s="1" t="s">
        <v>2389</v>
      </c>
    </row>
    <row r="14" spans="1:10" x14ac:dyDescent="0.3">
      <c r="B14" s="1" t="s">
        <v>2390</v>
      </c>
    </row>
    <row r="15" spans="1:10" x14ac:dyDescent="0.3">
      <c r="B15" s="1" t="s">
        <v>2391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41"/>
  <sheetViews>
    <sheetView view="pageBreakPreview" zoomScale="90" zoomScaleNormal="100" zoomScaleSheetLayoutView="90" workbookViewId="0">
      <pane ySplit="4" topLeftCell="A57" activePane="bottomLeft" state="frozen"/>
      <selection pane="bottomLeft" activeCell="B84" sqref="B84"/>
    </sheetView>
  </sheetViews>
  <sheetFormatPr defaultRowHeight="16.5" x14ac:dyDescent="0.3"/>
  <cols>
    <col min="1" max="1" width="7.140625" style="27" customWidth="1"/>
    <col min="2" max="2" width="55.28515625" style="88" customWidth="1"/>
    <col min="3" max="3" width="10.28515625" style="41" bestFit="1" customWidth="1"/>
    <col min="4" max="4" width="14.28515625" style="127" bestFit="1" customWidth="1"/>
    <col min="5" max="5" width="11.42578125" style="127" bestFit="1" customWidth="1"/>
    <col min="6" max="6" width="13.42578125" style="41" bestFit="1" customWidth="1"/>
    <col min="7" max="7" width="12" style="41" customWidth="1"/>
    <col min="8" max="8" width="35.85546875" style="88" customWidth="1"/>
    <col min="9" max="9" width="52.42578125" style="88" bestFit="1" customWidth="1"/>
    <col min="10" max="10" width="14.42578125" style="141" bestFit="1" customWidth="1"/>
    <col min="11" max="11" width="23.140625" style="140" bestFit="1" customWidth="1"/>
    <col min="12" max="12" width="14.42578125" style="140" customWidth="1"/>
    <col min="13" max="13" width="14.42578125" style="141" customWidth="1"/>
    <col min="14" max="14" width="25.85546875" style="140" bestFit="1" customWidth="1"/>
    <col min="15" max="15" width="10.140625" style="140" bestFit="1" customWidth="1"/>
    <col min="16" max="16" width="14" style="141" bestFit="1" customWidth="1"/>
    <col min="17" max="17" width="42.28515625" style="140" bestFit="1" customWidth="1"/>
    <col min="18" max="18" width="10.140625" style="140" bestFit="1" customWidth="1"/>
    <col min="19" max="19" width="14" style="141" bestFit="1" customWidth="1"/>
    <col min="20" max="20" width="40.85546875" style="140" bestFit="1" customWidth="1"/>
    <col min="21" max="21" width="10.85546875" style="140" customWidth="1"/>
    <col min="22" max="22" width="14" style="141" bestFit="1" customWidth="1"/>
    <col min="23" max="23" width="40.85546875" style="27" bestFit="1" customWidth="1"/>
    <col min="24" max="24" width="10.85546875" style="140" customWidth="1"/>
    <col min="25" max="25" width="15.140625" style="141" bestFit="1" customWidth="1"/>
    <col min="26" max="26" width="32.5703125" style="141" bestFit="1" customWidth="1"/>
    <col min="27" max="28" width="14" style="141" customWidth="1"/>
    <col min="29" max="29" width="15.85546875" style="101" bestFit="1" customWidth="1"/>
    <col min="30" max="30" width="18.7109375" style="142" bestFit="1" customWidth="1"/>
    <col min="31" max="31" width="18.7109375" style="101" customWidth="1"/>
    <col min="32" max="32" width="27.140625" style="50" bestFit="1" customWidth="1"/>
    <col min="33" max="33" width="21" style="50" customWidth="1"/>
    <col min="34" max="16384" width="9.140625" style="27"/>
  </cols>
  <sheetData>
    <row r="1" spans="1:34" x14ac:dyDescent="0.3">
      <c r="A1" s="36" t="s">
        <v>0</v>
      </c>
      <c r="B1" s="38"/>
      <c r="C1" s="316"/>
      <c r="F1" s="147" t="s">
        <v>570</v>
      </c>
      <c r="G1" s="146" t="s">
        <v>713</v>
      </c>
    </row>
    <row r="2" spans="1:34" x14ac:dyDescent="0.3">
      <c r="A2" s="36" t="s">
        <v>43</v>
      </c>
      <c r="B2" s="38"/>
      <c r="C2" s="316"/>
      <c r="D2" s="126"/>
      <c r="E2" s="126"/>
      <c r="F2" s="39"/>
      <c r="G2" s="39"/>
      <c r="H2" s="620" t="s">
        <v>3030</v>
      </c>
      <c r="I2" s="88" t="s">
        <v>2757</v>
      </c>
    </row>
    <row r="3" spans="1:34" s="50" customFormat="1" x14ac:dyDescent="0.3">
      <c r="A3" s="50" t="s">
        <v>492</v>
      </c>
      <c r="B3" s="411"/>
      <c r="C3" s="412"/>
      <c r="D3" s="413"/>
      <c r="E3" s="413"/>
      <c r="F3" s="412"/>
      <c r="G3" s="412"/>
      <c r="H3" s="411"/>
      <c r="I3" s="411"/>
      <c r="J3" s="259" t="s">
        <v>520</v>
      </c>
      <c r="K3" s="646" t="s">
        <v>521</v>
      </c>
      <c r="L3" s="647"/>
      <c r="M3" s="410" t="s">
        <v>522</v>
      </c>
      <c r="N3" s="646" t="s">
        <v>521</v>
      </c>
      <c r="O3" s="647"/>
      <c r="P3" s="410" t="s">
        <v>522</v>
      </c>
      <c r="Q3" s="646" t="s">
        <v>521</v>
      </c>
      <c r="R3" s="647"/>
      <c r="S3" s="410" t="s">
        <v>522</v>
      </c>
      <c r="T3" s="646" t="s">
        <v>521</v>
      </c>
      <c r="U3" s="647"/>
      <c r="V3" s="410" t="s">
        <v>522</v>
      </c>
      <c r="W3" s="646" t="s">
        <v>521</v>
      </c>
      <c r="X3" s="647"/>
      <c r="Y3" s="410" t="s">
        <v>522</v>
      </c>
      <c r="Z3" s="646" t="s">
        <v>521</v>
      </c>
      <c r="AA3" s="647"/>
      <c r="AB3" s="410" t="s">
        <v>522</v>
      </c>
      <c r="AC3" s="102" t="s">
        <v>523</v>
      </c>
      <c r="AD3" s="649" t="s">
        <v>524</v>
      </c>
      <c r="AE3" s="635" t="s">
        <v>755</v>
      </c>
      <c r="AF3" s="648" t="s">
        <v>571</v>
      </c>
      <c r="AG3" s="658" t="s">
        <v>1328</v>
      </c>
    </row>
    <row r="4" spans="1:34" s="50" customFormat="1" ht="16.5" customHeight="1" x14ac:dyDescent="0.3">
      <c r="A4" s="91" t="s">
        <v>1</v>
      </c>
      <c r="B4" s="54" t="s">
        <v>2</v>
      </c>
      <c r="C4" s="91" t="s">
        <v>1502</v>
      </c>
      <c r="D4" s="128" t="s">
        <v>3</v>
      </c>
      <c r="E4" s="128" t="s">
        <v>1499</v>
      </c>
      <c r="F4" s="91" t="s">
        <v>4</v>
      </c>
      <c r="G4" s="91" t="s">
        <v>5</v>
      </c>
      <c r="H4" s="91" t="s">
        <v>6</v>
      </c>
      <c r="I4" s="363" t="s">
        <v>415</v>
      </c>
      <c r="J4" s="259" t="s">
        <v>525</v>
      </c>
      <c r="K4" s="646">
        <v>2011</v>
      </c>
      <c r="L4" s="647"/>
      <c r="M4" s="410" t="s">
        <v>525</v>
      </c>
      <c r="N4" s="646">
        <v>2012</v>
      </c>
      <c r="O4" s="647"/>
      <c r="P4" s="410" t="s">
        <v>525</v>
      </c>
      <c r="Q4" s="646">
        <v>2013</v>
      </c>
      <c r="R4" s="647"/>
      <c r="S4" s="410" t="s">
        <v>525</v>
      </c>
      <c r="T4" s="646">
        <v>2014</v>
      </c>
      <c r="U4" s="647"/>
      <c r="V4" s="410" t="s">
        <v>525</v>
      </c>
      <c r="W4" s="646">
        <v>2015</v>
      </c>
      <c r="X4" s="647"/>
      <c r="Y4" s="410" t="s">
        <v>525</v>
      </c>
      <c r="Z4" s="646">
        <v>2016</v>
      </c>
      <c r="AA4" s="647"/>
      <c r="AB4" s="410" t="s">
        <v>525</v>
      </c>
      <c r="AC4" s="103" t="s">
        <v>525</v>
      </c>
      <c r="AD4" s="649"/>
      <c r="AE4" s="636"/>
      <c r="AF4" s="648"/>
      <c r="AG4" s="658"/>
    </row>
    <row r="5" spans="1:34" s="119" customFormat="1" x14ac:dyDescent="0.3">
      <c r="A5" s="11">
        <v>1</v>
      </c>
      <c r="B5" s="67" t="s">
        <v>56</v>
      </c>
      <c r="C5" s="66" t="s">
        <v>1817</v>
      </c>
      <c r="D5" s="150" t="s">
        <v>57</v>
      </c>
      <c r="E5" s="150" t="s">
        <v>1818</v>
      </c>
      <c r="F5" s="66" t="s">
        <v>113</v>
      </c>
      <c r="G5" s="66" t="s">
        <v>8</v>
      </c>
      <c r="H5" s="67" t="s">
        <v>58</v>
      </c>
      <c r="I5" s="67"/>
      <c r="J5" s="123">
        <v>2100</v>
      </c>
      <c r="K5" s="117"/>
      <c r="L5" s="117"/>
      <c r="M5" s="123"/>
      <c r="N5" s="117">
        <v>0</v>
      </c>
      <c r="O5" s="117">
        <v>0</v>
      </c>
      <c r="P5" s="123">
        <v>0</v>
      </c>
      <c r="Q5" s="117">
        <v>0</v>
      </c>
      <c r="R5" s="117">
        <v>0</v>
      </c>
      <c r="S5" s="123">
        <v>0</v>
      </c>
      <c r="T5" s="117" t="s">
        <v>886</v>
      </c>
      <c r="U5" s="117">
        <f>1050+1050</f>
        <v>2100</v>
      </c>
      <c r="V5" s="123">
        <f>1050+1050</f>
        <v>2100</v>
      </c>
      <c r="W5" s="116"/>
      <c r="X5" s="117"/>
      <c r="Y5" s="123"/>
      <c r="Z5" s="117"/>
      <c r="AA5" s="117"/>
      <c r="AB5" s="117"/>
      <c r="AC5" s="116">
        <f>J5-P5-S5-V5-Y5-AB5</f>
        <v>0</v>
      </c>
      <c r="AD5" s="116">
        <f>J5-O5-R5-U5-X5-AA5</f>
        <v>0</v>
      </c>
      <c r="AE5" s="115">
        <f>P5+S5+V5+Y5+AB5</f>
        <v>2100</v>
      </c>
      <c r="AF5" s="422" t="s">
        <v>570</v>
      </c>
      <c r="AG5" s="287"/>
      <c r="AH5" s="119" t="s">
        <v>738</v>
      </c>
    </row>
    <row r="6" spans="1:34" s="119" customFormat="1" x14ac:dyDescent="0.3">
      <c r="A6" s="11">
        <v>2</v>
      </c>
      <c r="B6" s="67" t="s">
        <v>59</v>
      </c>
      <c r="C6" s="66" t="s">
        <v>1819</v>
      </c>
      <c r="D6" s="150" t="s">
        <v>754</v>
      </c>
      <c r="E6" s="150" t="s">
        <v>1820</v>
      </c>
      <c r="F6" s="66" t="s">
        <v>113</v>
      </c>
      <c r="G6" s="66" t="s">
        <v>8</v>
      </c>
      <c r="H6" s="67" t="s">
        <v>394</v>
      </c>
      <c r="I6" s="67" t="s">
        <v>419</v>
      </c>
      <c r="J6" s="123">
        <v>10000</v>
      </c>
      <c r="K6" s="117">
        <v>0</v>
      </c>
      <c r="L6" s="117">
        <v>0</v>
      </c>
      <c r="M6" s="123">
        <v>0</v>
      </c>
      <c r="N6" s="117">
        <v>0</v>
      </c>
      <c r="O6" s="117">
        <v>0</v>
      </c>
      <c r="P6" s="123">
        <v>0</v>
      </c>
      <c r="Q6" s="117">
        <v>0</v>
      </c>
      <c r="R6" s="117">
        <v>0</v>
      </c>
      <c r="S6" s="123">
        <v>0</v>
      </c>
      <c r="T6" s="117" t="s">
        <v>757</v>
      </c>
      <c r="U6" s="117">
        <f>5720+2200</f>
        <v>7920</v>
      </c>
      <c r="V6" s="123">
        <f>5670+2200</f>
        <v>7870</v>
      </c>
      <c r="W6" s="116" t="s">
        <v>1072</v>
      </c>
      <c r="X6" s="117">
        <f>1250+880</f>
        <v>2130</v>
      </c>
      <c r="Y6" s="123">
        <f>1250+880</f>
        <v>2130</v>
      </c>
      <c r="Z6" s="117"/>
      <c r="AA6" s="117"/>
      <c r="AB6" s="117"/>
      <c r="AC6" s="116">
        <f>J6-P6-S6-V6-Y6-AB6</f>
        <v>0</v>
      </c>
      <c r="AD6" s="116">
        <f t="shared" ref="AD6:AD69" si="0">J6-O6-R6-U6-X6-AA6</f>
        <v>-50</v>
      </c>
      <c r="AE6" s="115">
        <f t="shared" ref="AE6:AE69" si="1">P6+S6+V6+Y6+AB6</f>
        <v>10000</v>
      </c>
      <c r="AF6" s="422" t="s">
        <v>570</v>
      </c>
      <c r="AG6" s="287">
        <f>10000-7870-2130</f>
        <v>0</v>
      </c>
    </row>
    <row r="7" spans="1:34" x14ac:dyDescent="0.3">
      <c r="A7" s="12">
        <v>3</v>
      </c>
      <c r="B7" s="86" t="s">
        <v>501</v>
      </c>
      <c r="C7" s="12" t="s">
        <v>1939</v>
      </c>
      <c r="D7" s="129" t="s">
        <v>502</v>
      </c>
      <c r="E7" s="129" t="s">
        <v>1940</v>
      </c>
      <c r="F7" s="12" t="s">
        <v>113</v>
      </c>
      <c r="G7" s="12" t="s">
        <v>8</v>
      </c>
      <c r="H7" s="86" t="s">
        <v>503</v>
      </c>
      <c r="I7" s="86" t="s">
        <v>504</v>
      </c>
      <c r="J7" s="122">
        <v>10000</v>
      </c>
      <c r="K7" s="75">
        <v>0</v>
      </c>
      <c r="L7" s="75">
        <v>0</v>
      </c>
      <c r="M7" s="122">
        <v>0</v>
      </c>
      <c r="N7" s="75">
        <v>0</v>
      </c>
      <c r="O7" s="75">
        <v>0</v>
      </c>
      <c r="P7" s="122">
        <v>0</v>
      </c>
      <c r="Q7" s="75">
        <v>0</v>
      </c>
      <c r="R7" s="75">
        <v>0</v>
      </c>
      <c r="S7" s="122">
        <v>0</v>
      </c>
      <c r="T7" s="75">
        <v>0</v>
      </c>
      <c r="U7" s="75">
        <v>0</v>
      </c>
      <c r="V7" s="122">
        <v>0</v>
      </c>
      <c r="W7" s="93" t="s">
        <v>924</v>
      </c>
      <c r="X7" s="75">
        <v>5870</v>
      </c>
      <c r="Y7" s="122">
        <v>5870</v>
      </c>
      <c r="Z7" s="75"/>
      <c r="AA7" s="75"/>
      <c r="AB7" s="75"/>
      <c r="AC7" s="116">
        <f>J7-P7-S7-V7-Y7-AB7</f>
        <v>4130</v>
      </c>
      <c r="AD7" s="116">
        <f t="shared" si="0"/>
        <v>4130</v>
      </c>
      <c r="AE7" s="115">
        <f t="shared" si="1"/>
        <v>5870</v>
      </c>
      <c r="AF7" s="76"/>
      <c r="AG7" s="286">
        <f>10000-5870</f>
        <v>4130</v>
      </c>
    </row>
    <row r="8" spans="1:34" x14ac:dyDescent="0.3">
      <c r="A8" s="12">
        <v>4</v>
      </c>
      <c r="B8" s="86" t="s">
        <v>714</v>
      </c>
      <c r="C8" s="12" t="s">
        <v>1962</v>
      </c>
      <c r="D8" s="131" t="s">
        <v>715</v>
      </c>
      <c r="E8" s="131" t="s">
        <v>1963</v>
      </c>
      <c r="F8" s="12" t="s">
        <v>113</v>
      </c>
      <c r="G8" s="12" t="s">
        <v>8</v>
      </c>
      <c r="H8" s="86" t="s">
        <v>322</v>
      </c>
      <c r="I8" s="86" t="s">
        <v>419</v>
      </c>
      <c r="J8" s="122">
        <v>2500</v>
      </c>
      <c r="K8" s="75">
        <v>0</v>
      </c>
      <c r="L8" s="75">
        <v>0</v>
      </c>
      <c r="M8" s="122">
        <v>0</v>
      </c>
      <c r="N8" s="75">
        <v>0</v>
      </c>
      <c r="O8" s="75">
        <v>0</v>
      </c>
      <c r="P8" s="122">
        <v>0</v>
      </c>
      <c r="Q8" s="75">
        <v>0</v>
      </c>
      <c r="R8" s="75">
        <v>0</v>
      </c>
      <c r="S8" s="122">
        <v>0</v>
      </c>
      <c r="T8" s="75" t="s">
        <v>716</v>
      </c>
      <c r="U8" s="75">
        <v>1300</v>
      </c>
      <c r="V8" s="122">
        <v>1250</v>
      </c>
      <c r="W8" s="40" t="s">
        <v>1417</v>
      </c>
      <c r="X8" s="75">
        <v>1250</v>
      </c>
      <c r="Y8" s="122"/>
      <c r="Z8" s="75"/>
      <c r="AA8" s="75"/>
      <c r="AB8" s="75"/>
      <c r="AC8" s="116">
        <f>J8-P8-S8-V8-Y8-AB8</f>
        <v>1250</v>
      </c>
      <c r="AD8" s="116">
        <f t="shared" si="0"/>
        <v>-50</v>
      </c>
      <c r="AE8" s="115">
        <f t="shared" si="1"/>
        <v>1250</v>
      </c>
      <c r="AF8" s="76" t="s">
        <v>570</v>
      </c>
      <c r="AG8" s="286">
        <f>2500-1250-1250</f>
        <v>0</v>
      </c>
      <c r="AH8" s="27" t="s">
        <v>738</v>
      </c>
    </row>
    <row r="9" spans="1:34" s="50" customFormat="1" x14ac:dyDescent="0.3">
      <c r="A9" s="11">
        <v>5</v>
      </c>
      <c r="B9" s="40" t="s">
        <v>1988</v>
      </c>
      <c r="C9" s="315" t="s">
        <v>1989</v>
      </c>
      <c r="D9" s="358">
        <v>880928115699</v>
      </c>
      <c r="E9" s="358" t="s">
        <v>1987</v>
      </c>
      <c r="F9" s="12" t="s">
        <v>7</v>
      </c>
      <c r="G9" s="12" t="s">
        <v>8</v>
      </c>
      <c r="H9" s="86" t="s">
        <v>1115</v>
      </c>
      <c r="I9" s="86" t="s">
        <v>1981</v>
      </c>
      <c r="J9" s="122">
        <v>7410</v>
      </c>
      <c r="K9" s="75"/>
      <c r="L9" s="75"/>
      <c r="M9" s="122"/>
      <c r="N9" s="75" t="s">
        <v>2064</v>
      </c>
      <c r="O9" s="75">
        <f>1495+1105</f>
        <v>2600</v>
      </c>
      <c r="P9" s="122">
        <f>1495+1495+1105+1105</f>
        <v>5200</v>
      </c>
      <c r="Q9" s="75" t="s">
        <v>2065</v>
      </c>
      <c r="R9" s="75">
        <f>1105+1105</f>
        <v>2210</v>
      </c>
      <c r="S9" s="122">
        <f>1105+1105</f>
        <v>2210</v>
      </c>
      <c r="T9" s="75"/>
      <c r="U9" s="75"/>
      <c r="V9" s="76"/>
      <c r="W9" s="40"/>
      <c r="X9" s="40"/>
      <c r="Y9" s="122"/>
      <c r="Z9" s="75"/>
      <c r="AA9" s="40"/>
      <c r="AB9" s="40"/>
      <c r="AC9" s="116">
        <f t="shared" ref="AC9:AC72" si="2">J9-P9-S9-V9-Y9-AB9</f>
        <v>0</v>
      </c>
      <c r="AD9" s="116">
        <f t="shared" si="0"/>
        <v>2600</v>
      </c>
      <c r="AE9" s="115">
        <f t="shared" si="1"/>
        <v>7410</v>
      </c>
      <c r="AF9" s="76"/>
      <c r="AG9" s="76"/>
    </row>
    <row r="10" spans="1:34" s="50" customFormat="1" x14ac:dyDescent="0.3">
      <c r="A10" s="11">
        <v>6</v>
      </c>
      <c r="B10" s="40" t="s">
        <v>1992</v>
      </c>
      <c r="C10" s="315" t="s">
        <v>1991</v>
      </c>
      <c r="D10" s="358">
        <v>890928035858</v>
      </c>
      <c r="E10" s="315" t="s">
        <v>1990</v>
      </c>
      <c r="F10" s="12" t="s">
        <v>7</v>
      </c>
      <c r="G10" s="82" t="s">
        <v>8</v>
      </c>
      <c r="H10" s="86" t="s">
        <v>1993</v>
      </c>
      <c r="I10" s="86" t="s">
        <v>419</v>
      </c>
      <c r="J10" s="122"/>
      <c r="K10" s="75"/>
      <c r="L10" s="75"/>
      <c r="M10" s="122"/>
      <c r="N10" s="75"/>
      <c r="O10" s="75"/>
      <c r="P10" s="122"/>
      <c r="Q10" s="75"/>
      <c r="R10" s="75"/>
      <c r="S10" s="122"/>
      <c r="T10" s="75"/>
      <c r="U10" s="75"/>
      <c r="V10" s="76"/>
      <c r="W10" s="40"/>
      <c r="X10" s="40"/>
      <c r="Y10" s="122"/>
      <c r="Z10" s="75"/>
      <c r="AA10" s="40"/>
      <c r="AB10" s="40"/>
      <c r="AC10" s="116">
        <f t="shared" si="2"/>
        <v>0</v>
      </c>
      <c r="AD10" s="116">
        <f t="shared" si="0"/>
        <v>0</v>
      </c>
      <c r="AE10" s="115">
        <f t="shared" si="1"/>
        <v>0</v>
      </c>
      <c r="AF10" s="76"/>
      <c r="AG10" s="76"/>
    </row>
    <row r="11" spans="1:34" s="50" customFormat="1" x14ac:dyDescent="0.3">
      <c r="A11" s="11">
        <v>7</v>
      </c>
      <c r="B11" s="40" t="s">
        <v>1996</v>
      </c>
      <c r="C11" s="315" t="s">
        <v>1995</v>
      </c>
      <c r="D11" s="358">
        <v>890109025322</v>
      </c>
      <c r="E11" s="358" t="s">
        <v>1994</v>
      </c>
      <c r="F11" s="12" t="s">
        <v>7</v>
      </c>
      <c r="G11" s="12" t="s">
        <v>8</v>
      </c>
      <c r="H11" s="86" t="s">
        <v>1115</v>
      </c>
      <c r="I11" s="86" t="s">
        <v>1981</v>
      </c>
      <c r="J11" s="122">
        <v>7410</v>
      </c>
      <c r="K11" s="75"/>
      <c r="L11" s="75"/>
      <c r="M11" s="122"/>
      <c r="N11" s="75" t="s">
        <v>2066</v>
      </c>
      <c r="O11" s="75">
        <f>1495+1105</f>
        <v>2600</v>
      </c>
      <c r="P11" s="122">
        <f>1495+1495+1105+1105</f>
        <v>5200</v>
      </c>
      <c r="Q11" s="75" t="s">
        <v>2067</v>
      </c>
      <c r="R11" s="75">
        <f>1105+1105</f>
        <v>2210</v>
      </c>
      <c r="S11" s="122">
        <f>1105+1105</f>
        <v>2210</v>
      </c>
      <c r="T11" s="75"/>
      <c r="U11" s="75"/>
      <c r="V11" s="76"/>
      <c r="W11" s="40"/>
      <c r="X11" s="40"/>
      <c r="Y11" s="122"/>
      <c r="Z11" s="75"/>
      <c r="AA11" s="40"/>
      <c r="AB11" s="40"/>
      <c r="AC11" s="116">
        <f t="shared" si="2"/>
        <v>0</v>
      </c>
      <c r="AD11" s="116">
        <f t="shared" si="0"/>
        <v>2600</v>
      </c>
      <c r="AE11" s="115">
        <f t="shared" si="1"/>
        <v>7410</v>
      </c>
      <c r="AF11" s="76"/>
      <c r="AG11" s="76"/>
    </row>
    <row r="12" spans="1:34" s="50" customFormat="1" x14ac:dyDescent="0.3">
      <c r="A12" s="12">
        <v>8</v>
      </c>
      <c r="B12" s="40" t="s">
        <v>1998</v>
      </c>
      <c r="C12" s="315" t="s">
        <v>1999</v>
      </c>
      <c r="D12" s="358">
        <v>851005036017</v>
      </c>
      <c r="E12" s="315" t="s">
        <v>1997</v>
      </c>
      <c r="F12" s="12" t="s">
        <v>7</v>
      </c>
      <c r="G12" s="12" t="s">
        <v>8</v>
      </c>
      <c r="H12" s="86" t="s">
        <v>770</v>
      </c>
      <c r="I12" s="86" t="s">
        <v>1981</v>
      </c>
      <c r="J12" s="122">
        <v>2210</v>
      </c>
      <c r="K12" s="75"/>
      <c r="L12" s="75"/>
      <c r="M12" s="122"/>
      <c r="N12" s="75" t="s">
        <v>2068</v>
      </c>
      <c r="O12" s="75">
        <v>1105</v>
      </c>
      <c r="P12" s="122">
        <v>1105</v>
      </c>
      <c r="Q12" s="75" t="s">
        <v>2069</v>
      </c>
      <c r="R12" s="75">
        <v>1105</v>
      </c>
      <c r="S12" s="122">
        <v>1105</v>
      </c>
      <c r="T12" s="75"/>
      <c r="U12" s="75"/>
      <c r="V12" s="76"/>
      <c r="W12" s="40"/>
      <c r="X12" s="40"/>
      <c r="Y12" s="122"/>
      <c r="Z12" s="75"/>
      <c r="AA12" s="40"/>
      <c r="AB12" s="40"/>
      <c r="AC12" s="116">
        <f t="shared" si="2"/>
        <v>0</v>
      </c>
      <c r="AD12" s="116">
        <f t="shared" si="0"/>
        <v>0</v>
      </c>
      <c r="AE12" s="115">
        <f t="shared" si="1"/>
        <v>2210</v>
      </c>
      <c r="AF12" s="76"/>
      <c r="AG12" s="76"/>
    </row>
    <row r="13" spans="1:34" s="362" customFormat="1" x14ac:dyDescent="0.3">
      <c r="A13" s="12">
        <v>9</v>
      </c>
      <c r="B13" s="275" t="s">
        <v>2002</v>
      </c>
      <c r="C13" s="359" t="s">
        <v>2001</v>
      </c>
      <c r="D13" s="360">
        <v>870816105331</v>
      </c>
      <c r="E13" s="359" t="s">
        <v>2000</v>
      </c>
      <c r="F13" s="64" t="s">
        <v>7</v>
      </c>
      <c r="G13" s="64" t="s">
        <v>8</v>
      </c>
      <c r="H13" s="273" t="s">
        <v>1115</v>
      </c>
      <c r="I13" s="273" t="s">
        <v>2003</v>
      </c>
      <c r="J13" s="277">
        <v>7410</v>
      </c>
      <c r="K13" s="276"/>
      <c r="L13" s="276"/>
      <c r="M13" s="277"/>
      <c r="N13" s="276" t="s">
        <v>2070</v>
      </c>
      <c r="O13" s="276">
        <f>1495+1105</f>
        <v>2600</v>
      </c>
      <c r="P13" s="277">
        <f>1495+1495+1105+1105</f>
        <v>5200</v>
      </c>
      <c r="Q13" s="276" t="s">
        <v>2071</v>
      </c>
      <c r="R13" s="276">
        <f>1105+1105</f>
        <v>2210</v>
      </c>
      <c r="S13" s="277">
        <f>1105+1105</f>
        <v>2210</v>
      </c>
      <c r="T13" s="276"/>
      <c r="U13" s="276"/>
      <c r="V13" s="361"/>
      <c r="W13" s="275"/>
      <c r="X13" s="275"/>
      <c r="Y13" s="277"/>
      <c r="Z13" s="276"/>
      <c r="AA13" s="275"/>
      <c r="AB13" s="275"/>
      <c r="AC13" s="116">
        <f t="shared" si="2"/>
        <v>0</v>
      </c>
      <c r="AD13" s="116">
        <f t="shared" si="0"/>
        <v>2600</v>
      </c>
      <c r="AE13" s="115">
        <f t="shared" si="1"/>
        <v>7410</v>
      </c>
      <c r="AF13" s="361"/>
      <c r="AG13" s="361"/>
      <c r="AH13" s="362" t="s">
        <v>2379</v>
      </c>
    </row>
    <row r="14" spans="1:34" x14ac:dyDescent="0.3">
      <c r="A14" s="11">
        <v>10</v>
      </c>
      <c r="B14" s="86" t="s">
        <v>193</v>
      </c>
      <c r="C14" s="12" t="s">
        <v>1821</v>
      </c>
      <c r="D14" s="129" t="s">
        <v>194</v>
      </c>
      <c r="E14" s="129" t="s">
        <v>1822</v>
      </c>
      <c r="F14" s="12" t="s">
        <v>7</v>
      </c>
      <c r="G14" s="12" t="s">
        <v>8</v>
      </c>
      <c r="H14" s="86" t="s">
        <v>291</v>
      </c>
      <c r="I14" s="86" t="s">
        <v>1979</v>
      </c>
      <c r="J14" s="122">
        <v>4220</v>
      </c>
      <c r="K14" s="75"/>
      <c r="L14" s="75"/>
      <c r="M14" s="122"/>
      <c r="N14" s="75" t="s">
        <v>1370</v>
      </c>
      <c r="O14" s="75">
        <v>905</v>
      </c>
      <c r="P14" s="122">
        <f>905+905</f>
        <v>1810</v>
      </c>
      <c r="Q14" s="75" t="s">
        <v>1371</v>
      </c>
      <c r="R14" s="75">
        <v>600</v>
      </c>
      <c r="S14" s="122">
        <v>600</v>
      </c>
      <c r="T14" s="75" t="s">
        <v>1372</v>
      </c>
      <c r="U14" s="75">
        <f>905+905</f>
        <v>1810</v>
      </c>
      <c r="V14" s="122">
        <f>905+905</f>
        <v>1810</v>
      </c>
      <c r="W14" s="93"/>
      <c r="X14" s="75"/>
      <c r="Y14" s="122"/>
      <c r="Z14" s="75"/>
      <c r="AA14" s="75"/>
      <c r="AB14" s="75"/>
      <c r="AC14" s="116">
        <f t="shared" si="2"/>
        <v>0</v>
      </c>
      <c r="AD14" s="116">
        <f t="shared" si="0"/>
        <v>905</v>
      </c>
      <c r="AE14" s="115">
        <f t="shared" si="1"/>
        <v>4220</v>
      </c>
      <c r="AF14" s="76"/>
      <c r="AG14" s="286">
        <f>4220-1810-600-1810</f>
        <v>0</v>
      </c>
      <c r="AH14" s="27" t="s">
        <v>1373</v>
      </c>
    </row>
    <row r="15" spans="1:34" x14ac:dyDescent="0.3">
      <c r="A15" s="11">
        <v>11</v>
      </c>
      <c r="B15" s="86" t="s">
        <v>61</v>
      </c>
      <c r="C15" s="12" t="s">
        <v>1823</v>
      </c>
      <c r="D15" s="129" t="s">
        <v>62</v>
      </c>
      <c r="E15" s="129" t="s">
        <v>1824</v>
      </c>
      <c r="F15" s="12" t="s">
        <v>113</v>
      </c>
      <c r="G15" s="12" t="s">
        <v>8</v>
      </c>
      <c r="H15" s="86" t="s">
        <v>437</v>
      </c>
      <c r="I15" s="86" t="s">
        <v>438</v>
      </c>
      <c r="J15" s="122">
        <v>6420</v>
      </c>
      <c r="K15" s="75">
        <v>0</v>
      </c>
      <c r="L15" s="75">
        <v>0</v>
      </c>
      <c r="M15" s="122">
        <v>0</v>
      </c>
      <c r="N15" s="75">
        <v>0</v>
      </c>
      <c r="O15" s="75">
        <v>0</v>
      </c>
      <c r="P15" s="122">
        <v>0</v>
      </c>
      <c r="Q15" s="75" t="s">
        <v>1141</v>
      </c>
      <c r="R15" s="75">
        <f>1520+1250</f>
        <v>2770</v>
      </c>
      <c r="S15" s="122">
        <f>1520+1250</f>
        <v>2770</v>
      </c>
      <c r="T15" s="75" t="s">
        <v>1142</v>
      </c>
      <c r="U15" s="75">
        <v>1250</v>
      </c>
      <c r="V15" s="122">
        <v>1250</v>
      </c>
      <c r="W15" s="93" t="s">
        <v>1374</v>
      </c>
      <c r="X15" s="75">
        <f>1200+1200</f>
        <v>2400</v>
      </c>
      <c r="Y15" s="122"/>
      <c r="Z15" s="75"/>
      <c r="AA15" s="75"/>
      <c r="AB15" s="75"/>
      <c r="AC15" s="116">
        <f t="shared" si="2"/>
        <v>2400</v>
      </c>
      <c r="AD15" s="116">
        <f t="shared" si="0"/>
        <v>0</v>
      </c>
      <c r="AE15" s="115">
        <f t="shared" si="1"/>
        <v>4020</v>
      </c>
      <c r="AF15" s="76"/>
      <c r="AG15" s="286">
        <f>6420-2770-1250-2400</f>
        <v>0</v>
      </c>
    </row>
    <row r="16" spans="1:34" x14ac:dyDescent="0.3">
      <c r="A16" s="11">
        <v>12</v>
      </c>
      <c r="B16" s="86" t="s">
        <v>63</v>
      </c>
      <c r="C16" s="12" t="s">
        <v>1825</v>
      </c>
      <c r="D16" s="129" t="s">
        <v>64</v>
      </c>
      <c r="E16" s="129" t="s">
        <v>1826</v>
      </c>
      <c r="F16" s="12" t="s">
        <v>113</v>
      </c>
      <c r="G16" s="12" t="s">
        <v>8</v>
      </c>
      <c r="H16" s="86" t="s">
        <v>17</v>
      </c>
      <c r="I16" s="86"/>
      <c r="J16" s="122">
        <v>5000</v>
      </c>
      <c r="K16" s="75">
        <v>0</v>
      </c>
      <c r="L16" s="75">
        <v>0</v>
      </c>
      <c r="M16" s="122">
        <v>0</v>
      </c>
      <c r="N16" s="75">
        <v>0</v>
      </c>
      <c r="O16" s="75">
        <v>0</v>
      </c>
      <c r="P16" s="122">
        <v>0</v>
      </c>
      <c r="Q16" s="75" t="s">
        <v>1375</v>
      </c>
      <c r="R16" s="75">
        <v>1250</v>
      </c>
      <c r="S16" s="122">
        <v>1250</v>
      </c>
      <c r="T16" s="75" t="s">
        <v>1376</v>
      </c>
      <c r="U16" s="75">
        <v>1250</v>
      </c>
      <c r="V16" s="122">
        <v>1250</v>
      </c>
      <c r="W16" s="93"/>
      <c r="X16" s="75"/>
      <c r="Y16" s="122"/>
      <c r="Z16" s="75"/>
      <c r="AA16" s="75"/>
      <c r="AB16" s="75"/>
      <c r="AC16" s="116">
        <f t="shared" si="2"/>
        <v>2500</v>
      </c>
      <c r="AD16" s="116">
        <f t="shared" si="0"/>
        <v>2500</v>
      </c>
      <c r="AE16" s="115">
        <f t="shared" si="1"/>
        <v>2500</v>
      </c>
      <c r="AF16" s="76"/>
      <c r="AG16" s="286">
        <f>5000-1250-1250</f>
        <v>2500</v>
      </c>
    </row>
    <row r="17" spans="1:34" ht="17.25" customHeight="1" x14ac:dyDescent="0.3">
      <c r="A17" s="12">
        <v>13</v>
      </c>
      <c r="B17" s="86" t="s">
        <v>65</v>
      </c>
      <c r="C17" s="12" t="s">
        <v>1827</v>
      </c>
      <c r="D17" s="129" t="s">
        <v>668</v>
      </c>
      <c r="E17" s="129" t="s">
        <v>1828</v>
      </c>
      <c r="F17" s="12" t="s">
        <v>113</v>
      </c>
      <c r="G17" s="12" t="s">
        <v>8</v>
      </c>
      <c r="H17" s="86" t="s">
        <v>328</v>
      </c>
      <c r="I17" s="86" t="s">
        <v>419</v>
      </c>
      <c r="J17" s="122">
        <v>10000</v>
      </c>
      <c r="K17" s="75">
        <v>0</v>
      </c>
      <c r="L17" s="75">
        <v>0</v>
      </c>
      <c r="M17" s="122">
        <v>0</v>
      </c>
      <c r="N17" s="75">
        <v>0</v>
      </c>
      <c r="O17" s="75">
        <v>0</v>
      </c>
      <c r="P17" s="122">
        <v>0</v>
      </c>
      <c r="Q17" s="75">
        <v>0</v>
      </c>
      <c r="R17" s="75">
        <v>0</v>
      </c>
      <c r="S17" s="122">
        <v>0</v>
      </c>
      <c r="T17" s="75" t="s">
        <v>667</v>
      </c>
      <c r="U17" s="75">
        <v>5720</v>
      </c>
      <c r="V17" s="122">
        <v>5720</v>
      </c>
      <c r="W17" s="93" t="s">
        <v>669</v>
      </c>
      <c r="X17" s="75">
        <v>2150</v>
      </c>
      <c r="Y17" s="122">
        <v>2100</v>
      </c>
      <c r="Z17" s="75"/>
      <c r="AA17" s="75"/>
      <c r="AB17" s="75"/>
      <c r="AC17" s="116">
        <f t="shared" si="2"/>
        <v>2180</v>
      </c>
      <c r="AD17" s="116">
        <f t="shared" si="0"/>
        <v>2130</v>
      </c>
      <c r="AE17" s="115">
        <f t="shared" si="1"/>
        <v>7820</v>
      </c>
      <c r="AF17" s="76"/>
      <c r="AG17" s="286">
        <f>10000-5720-2100</f>
        <v>2180</v>
      </c>
    </row>
    <row r="18" spans="1:34" x14ac:dyDescent="0.3">
      <c r="A18" s="12">
        <v>14</v>
      </c>
      <c r="B18" s="86" t="s">
        <v>187</v>
      </c>
      <c r="C18" s="12" t="s">
        <v>1829</v>
      </c>
      <c r="D18" s="129" t="s">
        <v>188</v>
      </c>
      <c r="E18" s="129" t="s">
        <v>1830</v>
      </c>
      <c r="F18" s="12" t="s">
        <v>7</v>
      </c>
      <c r="G18" s="12" t="s">
        <v>8</v>
      </c>
      <c r="H18" s="86" t="s">
        <v>292</v>
      </c>
      <c r="I18" s="86" t="s">
        <v>445</v>
      </c>
      <c r="J18" s="122">
        <v>6210</v>
      </c>
      <c r="K18" s="75"/>
      <c r="L18" s="75"/>
      <c r="M18" s="122"/>
      <c r="N18" s="75" t="s">
        <v>1377</v>
      </c>
      <c r="O18" s="75">
        <f>1295+905</f>
        <v>2200</v>
      </c>
      <c r="P18" s="122">
        <f>1295+1295+905+905</f>
        <v>4400</v>
      </c>
      <c r="Q18" s="75" t="s">
        <v>1378</v>
      </c>
      <c r="R18" s="75">
        <f>905+905</f>
        <v>1810</v>
      </c>
      <c r="S18" s="122">
        <f>905+905</f>
        <v>1810</v>
      </c>
      <c r="T18" s="75"/>
      <c r="U18" s="75"/>
      <c r="V18" s="122"/>
      <c r="W18" s="93"/>
      <c r="X18" s="75"/>
      <c r="Y18" s="122"/>
      <c r="Z18" s="75"/>
      <c r="AA18" s="75"/>
      <c r="AB18" s="75"/>
      <c r="AC18" s="116">
        <f t="shared" si="2"/>
        <v>0</v>
      </c>
      <c r="AD18" s="116">
        <f t="shared" si="0"/>
        <v>2200</v>
      </c>
      <c r="AE18" s="115">
        <f t="shared" si="1"/>
        <v>6210</v>
      </c>
      <c r="AF18" s="76"/>
      <c r="AG18" s="286">
        <f>6210-4400-1810</f>
        <v>0</v>
      </c>
      <c r="AH18" s="27" t="s">
        <v>1373</v>
      </c>
    </row>
    <row r="19" spans="1:34" s="119" customFormat="1" x14ac:dyDescent="0.3">
      <c r="A19" s="11">
        <v>15</v>
      </c>
      <c r="B19" s="67" t="s">
        <v>1379</v>
      </c>
      <c r="C19" s="66" t="s">
        <v>1831</v>
      </c>
      <c r="D19" s="150" t="s">
        <v>66</v>
      </c>
      <c r="E19" s="150" t="s">
        <v>1832</v>
      </c>
      <c r="F19" s="66" t="s">
        <v>113</v>
      </c>
      <c r="G19" s="66" t="s">
        <v>8</v>
      </c>
      <c r="H19" s="67" t="s">
        <v>589</v>
      </c>
      <c r="I19" s="67" t="s">
        <v>419</v>
      </c>
      <c r="J19" s="123">
        <v>4650</v>
      </c>
      <c r="K19" s="117">
        <v>0</v>
      </c>
      <c r="L19" s="117">
        <v>0</v>
      </c>
      <c r="M19" s="123">
        <v>0</v>
      </c>
      <c r="N19" s="117">
        <v>0</v>
      </c>
      <c r="O19" s="117">
        <v>0</v>
      </c>
      <c r="P19" s="123">
        <v>0</v>
      </c>
      <c r="Q19" s="117">
        <v>0</v>
      </c>
      <c r="R19" s="117">
        <v>0</v>
      </c>
      <c r="S19" s="123">
        <v>0</v>
      </c>
      <c r="T19" s="117" t="s">
        <v>717</v>
      </c>
      <c r="U19" s="117">
        <f>1300+2200</f>
        <v>3500</v>
      </c>
      <c r="V19" s="123">
        <f>1250+2150</f>
        <v>3400</v>
      </c>
      <c r="W19" s="116" t="s">
        <v>1228</v>
      </c>
      <c r="X19" s="117">
        <v>1250</v>
      </c>
      <c r="Y19" s="123">
        <v>1250</v>
      </c>
      <c r="Z19" s="117"/>
      <c r="AA19" s="117"/>
      <c r="AB19" s="117"/>
      <c r="AC19" s="116">
        <f t="shared" si="2"/>
        <v>0</v>
      </c>
      <c r="AD19" s="116">
        <f t="shared" si="0"/>
        <v>-100</v>
      </c>
      <c r="AE19" s="115">
        <f t="shared" si="1"/>
        <v>4650</v>
      </c>
      <c r="AF19" s="422" t="s">
        <v>570</v>
      </c>
      <c r="AG19" s="287">
        <f>4650-3400-1250</f>
        <v>0</v>
      </c>
      <c r="AH19" s="119" t="s">
        <v>738</v>
      </c>
    </row>
    <row r="20" spans="1:34" x14ac:dyDescent="0.3">
      <c r="A20" s="11">
        <v>16</v>
      </c>
      <c r="B20" s="86" t="s">
        <v>319</v>
      </c>
      <c r="C20" s="12" t="s">
        <v>1833</v>
      </c>
      <c r="D20" s="129" t="s">
        <v>2385</v>
      </c>
      <c r="E20" s="129" t="s">
        <v>1834</v>
      </c>
      <c r="F20" s="12" t="s">
        <v>113</v>
      </c>
      <c r="G20" s="12" t="s">
        <v>8</v>
      </c>
      <c r="H20" s="86" t="s">
        <v>393</v>
      </c>
      <c r="I20" s="86" t="s">
        <v>599</v>
      </c>
      <c r="J20" s="122">
        <v>10000</v>
      </c>
      <c r="K20" s="75">
        <v>0</v>
      </c>
      <c r="L20" s="75">
        <v>0</v>
      </c>
      <c r="M20" s="122">
        <v>0</v>
      </c>
      <c r="N20" s="75">
        <v>0</v>
      </c>
      <c r="O20" s="75">
        <v>0</v>
      </c>
      <c r="P20" s="122">
        <v>0</v>
      </c>
      <c r="Q20" s="75">
        <v>0</v>
      </c>
      <c r="R20" s="75">
        <v>0</v>
      </c>
      <c r="S20" s="122">
        <v>0</v>
      </c>
      <c r="T20" s="75">
        <v>0</v>
      </c>
      <c r="U20" s="75">
        <v>0</v>
      </c>
      <c r="V20" s="122">
        <v>0</v>
      </c>
      <c r="W20" s="93" t="s">
        <v>600</v>
      </c>
      <c r="X20" s="75">
        <v>5720</v>
      </c>
      <c r="Y20" s="122">
        <v>5670</v>
      </c>
      <c r="Z20" s="75"/>
      <c r="AA20" s="75"/>
      <c r="AB20" s="75"/>
      <c r="AC20" s="116">
        <f t="shared" si="2"/>
        <v>4330</v>
      </c>
      <c r="AD20" s="116">
        <f t="shared" si="0"/>
        <v>4280</v>
      </c>
      <c r="AE20" s="115">
        <f t="shared" si="1"/>
        <v>5670</v>
      </c>
      <c r="AF20" s="76"/>
      <c r="AG20" s="286">
        <f>10000-5670</f>
        <v>4330</v>
      </c>
    </row>
    <row r="21" spans="1:34" x14ac:dyDescent="0.3">
      <c r="A21" s="11">
        <v>17</v>
      </c>
      <c r="B21" s="86" t="s">
        <v>68</v>
      </c>
      <c r="C21" s="12" t="s">
        <v>1835</v>
      </c>
      <c r="D21" s="129" t="s">
        <v>69</v>
      </c>
      <c r="E21" s="129" t="s">
        <v>1836</v>
      </c>
      <c r="F21" s="12" t="s">
        <v>113</v>
      </c>
      <c r="G21" s="12" t="s">
        <v>8</v>
      </c>
      <c r="H21" s="86" t="s">
        <v>328</v>
      </c>
      <c r="I21" s="86" t="s">
        <v>430</v>
      </c>
      <c r="J21" s="122">
        <v>10000</v>
      </c>
      <c r="K21" s="75">
        <v>0</v>
      </c>
      <c r="L21" s="75">
        <v>0</v>
      </c>
      <c r="M21" s="122">
        <v>0</v>
      </c>
      <c r="N21" s="75">
        <v>0</v>
      </c>
      <c r="O21" s="75">
        <v>0</v>
      </c>
      <c r="P21" s="122">
        <v>0</v>
      </c>
      <c r="Q21" s="75">
        <v>0</v>
      </c>
      <c r="R21" s="75">
        <v>0</v>
      </c>
      <c r="S21" s="122">
        <v>0</v>
      </c>
      <c r="T21" s="75" t="s">
        <v>1380</v>
      </c>
      <c r="U21" s="75">
        <v>5520</v>
      </c>
      <c r="V21" s="122">
        <v>5520</v>
      </c>
      <c r="W21" s="93">
        <v>0</v>
      </c>
      <c r="X21" s="75">
        <v>0</v>
      </c>
      <c r="Y21" s="122">
        <v>0</v>
      </c>
      <c r="Z21" s="75"/>
      <c r="AA21" s="75"/>
      <c r="AB21" s="75"/>
      <c r="AC21" s="116">
        <f t="shared" si="2"/>
        <v>4480</v>
      </c>
      <c r="AD21" s="116">
        <f t="shared" si="0"/>
        <v>4480</v>
      </c>
      <c r="AE21" s="115">
        <f t="shared" si="1"/>
        <v>5520</v>
      </c>
      <c r="AF21" s="76"/>
      <c r="AG21" s="286">
        <f>10000-5520</f>
        <v>4480</v>
      </c>
    </row>
    <row r="22" spans="1:34" x14ac:dyDescent="0.3">
      <c r="A22" s="12">
        <v>18</v>
      </c>
      <c r="B22" s="86" t="s">
        <v>591</v>
      </c>
      <c r="C22" s="12" t="s">
        <v>1950</v>
      </c>
      <c r="D22" s="131" t="s">
        <v>2386</v>
      </c>
      <c r="E22" s="131" t="s">
        <v>1951</v>
      </c>
      <c r="F22" s="12" t="s">
        <v>113</v>
      </c>
      <c r="G22" s="12" t="s">
        <v>8</v>
      </c>
      <c r="H22" s="86" t="s">
        <v>387</v>
      </c>
      <c r="I22" s="86" t="s">
        <v>419</v>
      </c>
      <c r="J22" s="122">
        <v>10000</v>
      </c>
      <c r="K22" s="75">
        <v>0</v>
      </c>
      <c r="L22" s="75">
        <v>0</v>
      </c>
      <c r="M22" s="122">
        <v>0</v>
      </c>
      <c r="N22" s="75">
        <v>0</v>
      </c>
      <c r="O22" s="75">
        <v>0</v>
      </c>
      <c r="P22" s="122">
        <v>0</v>
      </c>
      <c r="Q22" s="75">
        <v>0</v>
      </c>
      <c r="R22" s="75">
        <v>0</v>
      </c>
      <c r="S22" s="122">
        <v>0</v>
      </c>
      <c r="T22" s="75">
        <v>0</v>
      </c>
      <c r="U22" s="75">
        <v>0</v>
      </c>
      <c r="V22" s="122">
        <v>0</v>
      </c>
      <c r="W22" s="93" t="s">
        <v>592</v>
      </c>
      <c r="X22" s="75">
        <v>5720</v>
      </c>
      <c r="Y22" s="122">
        <v>5670</v>
      </c>
      <c r="Z22" s="75"/>
      <c r="AA22" s="75"/>
      <c r="AB22" s="75"/>
      <c r="AC22" s="116">
        <f t="shared" si="2"/>
        <v>4330</v>
      </c>
      <c r="AD22" s="116">
        <f t="shared" si="0"/>
        <v>4280</v>
      </c>
      <c r="AE22" s="115">
        <f t="shared" si="1"/>
        <v>5670</v>
      </c>
      <c r="AF22" s="76"/>
      <c r="AG22" s="286">
        <f>10000-5670</f>
        <v>4330</v>
      </c>
    </row>
    <row r="23" spans="1:34" x14ac:dyDescent="0.3">
      <c r="A23" s="12">
        <v>19</v>
      </c>
      <c r="B23" s="86" t="s">
        <v>70</v>
      </c>
      <c r="C23" s="12" t="s">
        <v>1837</v>
      </c>
      <c r="D23" s="129" t="s">
        <v>71</v>
      </c>
      <c r="E23" s="129" t="s">
        <v>1838</v>
      </c>
      <c r="F23" s="12" t="s">
        <v>7</v>
      </c>
      <c r="G23" s="12" t="s">
        <v>8</v>
      </c>
      <c r="H23" s="86" t="s">
        <v>72</v>
      </c>
      <c r="I23" s="86"/>
      <c r="J23" s="122">
        <v>10000</v>
      </c>
      <c r="K23" s="75">
        <v>0</v>
      </c>
      <c r="L23" s="75">
        <v>0</v>
      </c>
      <c r="M23" s="122">
        <v>0</v>
      </c>
      <c r="N23" s="75">
        <v>0</v>
      </c>
      <c r="O23" s="75">
        <v>0</v>
      </c>
      <c r="P23" s="122">
        <v>0</v>
      </c>
      <c r="Q23" s="75" t="s">
        <v>1381</v>
      </c>
      <c r="R23" s="75">
        <f>750+750+750</f>
        <v>2250</v>
      </c>
      <c r="S23" s="122">
        <f>750+750+750</f>
        <v>2250</v>
      </c>
      <c r="T23" s="75" t="s">
        <v>1382</v>
      </c>
      <c r="U23" s="75">
        <v>750</v>
      </c>
      <c r="V23" s="122">
        <v>750</v>
      </c>
      <c r="W23" s="93"/>
      <c r="X23" s="75"/>
      <c r="Y23" s="122"/>
      <c r="Z23" s="75"/>
      <c r="AA23" s="75"/>
      <c r="AB23" s="75"/>
      <c r="AC23" s="116">
        <f t="shared" si="2"/>
        <v>7000</v>
      </c>
      <c r="AD23" s="116">
        <f t="shared" si="0"/>
        <v>7000</v>
      </c>
      <c r="AE23" s="115">
        <f t="shared" si="1"/>
        <v>3000</v>
      </c>
      <c r="AF23" s="76"/>
      <c r="AG23" s="286">
        <f>10000-2250-750</f>
        <v>7000</v>
      </c>
    </row>
    <row r="24" spans="1:34" x14ac:dyDescent="0.3">
      <c r="A24" s="11">
        <v>20</v>
      </c>
      <c r="B24" s="86" t="s">
        <v>197</v>
      </c>
      <c r="C24" s="12" t="s">
        <v>1839</v>
      </c>
      <c r="D24" s="129" t="s">
        <v>198</v>
      </c>
      <c r="E24" s="129" t="s">
        <v>1840</v>
      </c>
      <c r="F24" s="12" t="s">
        <v>7</v>
      </c>
      <c r="G24" s="12" t="s">
        <v>8</v>
      </c>
      <c r="H24" s="86" t="s">
        <v>291</v>
      </c>
      <c r="I24" s="86" t="s">
        <v>477</v>
      </c>
      <c r="J24" s="122">
        <v>2210</v>
      </c>
      <c r="K24" s="75"/>
      <c r="L24" s="75"/>
      <c r="M24" s="122"/>
      <c r="N24" s="75" t="s">
        <v>1383</v>
      </c>
      <c r="O24" s="75">
        <f>1105+1105</f>
        <v>2210</v>
      </c>
      <c r="P24" s="122">
        <f>1105+1105</f>
        <v>2210</v>
      </c>
      <c r="Q24" s="75"/>
      <c r="R24" s="75"/>
      <c r="S24" s="122"/>
      <c r="T24" s="75"/>
      <c r="U24" s="75"/>
      <c r="V24" s="122"/>
      <c r="W24" s="93"/>
      <c r="X24" s="75"/>
      <c r="Y24" s="122"/>
      <c r="Z24" s="75"/>
      <c r="AA24" s="75"/>
      <c r="AB24" s="75"/>
      <c r="AC24" s="116">
        <f t="shared" si="2"/>
        <v>0</v>
      </c>
      <c r="AD24" s="116">
        <f t="shared" si="0"/>
        <v>0</v>
      </c>
      <c r="AE24" s="115">
        <f t="shared" si="1"/>
        <v>2210</v>
      </c>
      <c r="AF24" s="76"/>
      <c r="AG24" s="286">
        <f>2210-2210</f>
        <v>0</v>
      </c>
    </row>
    <row r="25" spans="1:34" x14ac:dyDescent="0.3">
      <c r="A25" s="11">
        <v>21</v>
      </c>
      <c r="B25" s="86" t="s">
        <v>311</v>
      </c>
      <c r="C25" s="12" t="s">
        <v>1842</v>
      </c>
      <c r="D25" s="129" t="s">
        <v>882</v>
      </c>
      <c r="E25" s="129" t="s">
        <v>1841</v>
      </c>
      <c r="F25" s="12" t="s">
        <v>113</v>
      </c>
      <c r="G25" s="12" t="s">
        <v>8</v>
      </c>
      <c r="H25" s="86" t="s">
        <v>393</v>
      </c>
      <c r="I25" s="86" t="s">
        <v>419</v>
      </c>
      <c r="J25" s="122">
        <v>10000</v>
      </c>
      <c r="K25" s="75">
        <v>0</v>
      </c>
      <c r="L25" s="75">
        <v>0</v>
      </c>
      <c r="M25" s="122">
        <v>0</v>
      </c>
      <c r="N25" s="75">
        <v>0</v>
      </c>
      <c r="O25" s="75">
        <v>0</v>
      </c>
      <c r="P25" s="122">
        <v>0</v>
      </c>
      <c r="Q25" s="75">
        <v>0</v>
      </c>
      <c r="R25" s="75">
        <v>0</v>
      </c>
      <c r="S25" s="122">
        <v>0</v>
      </c>
      <c r="T25" s="75">
        <v>0</v>
      </c>
      <c r="U25" s="75">
        <v>0</v>
      </c>
      <c r="V25" s="122">
        <v>0</v>
      </c>
      <c r="W25" s="93" t="s">
        <v>1384</v>
      </c>
      <c r="X25" s="75">
        <f>5720+2150+1250</f>
        <v>9120</v>
      </c>
      <c r="Y25" s="122">
        <f>5670+2150+1250</f>
        <v>9070</v>
      </c>
      <c r="Z25" s="75"/>
      <c r="AA25" s="75"/>
      <c r="AB25" s="75"/>
      <c r="AC25" s="116">
        <f t="shared" si="2"/>
        <v>930</v>
      </c>
      <c r="AD25" s="116">
        <f t="shared" si="0"/>
        <v>880</v>
      </c>
      <c r="AE25" s="115">
        <f t="shared" si="1"/>
        <v>9070</v>
      </c>
      <c r="AF25" s="76"/>
      <c r="AG25" s="286">
        <f>10000-5670-2150-1250</f>
        <v>930</v>
      </c>
    </row>
    <row r="26" spans="1:34" x14ac:dyDescent="0.3">
      <c r="A26" s="11">
        <v>22</v>
      </c>
      <c r="B26" s="86" t="s">
        <v>73</v>
      </c>
      <c r="C26" s="12" t="s">
        <v>1843</v>
      </c>
      <c r="D26" s="129" t="s">
        <v>74</v>
      </c>
      <c r="E26" s="129" t="s">
        <v>1844</v>
      </c>
      <c r="F26" s="12" t="s">
        <v>113</v>
      </c>
      <c r="G26" s="12" t="s">
        <v>8</v>
      </c>
      <c r="H26" s="86" t="s">
        <v>67</v>
      </c>
      <c r="I26" s="86"/>
      <c r="J26" s="122">
        <v>3900</v>
      </c>
      <c r="K26" s="75"/>
      <c r="L26" s="75"/>
      <c r="M26" s="122"/>
      <c r="N26" s="75"/>
      <c r="O26" s="75"/>
      <c r="P26" s="122"/>
      <c r="Q26" s="75"/>
      <c r="R26" s="75"/>
      <c r="S26" s="122"/>
      <c r="T26" s="75" t="s">
        <v>1347</v>
      </c>
      <c r="U26" s="75">
        <v>1700</v>
      </c>
      <c r="V26" s="122">
        <v>1700</v>
      </c>
      <c r="W26" s="93"/>
      <c r="X26" s="75"/>
      <c r="Y26" s="122"/>
      <c r="Z26" s="75"/>
      <c r="AA26" s="75"/>
      <c r="AB26" s="75"/>
      <c r="AC26" s="116">
        <f t="shared" si="2"/>
        <v>2200</v>
      </c>
      <c r="AD26" s="116">
        <f t="shared" si="0"/>
        <v>2200</v>
      </c>
      <c r="AE26" s="115">
        <f t="shared" si="1"/>
        <v>1700</v>
      </c>
      <c r="AF26" s="76"/>
      <c r="AG26" s="286">
        <f>3900-1700</f>
        <v>2200</v>
      </c>
    </row>
    <row r="27" spans="1:34" x14ac:dyDescent="0.3">
      <c r="A27" s="12">
        <v>23</v>
      </c>
      <c r="B27" s="86" t="s">
        <v>75</v>
      </c>
      <c r="C27" s="12" t="s">
        <v>1845</v>
      </c>
      <c r="D27" s="129" t="s">
        <v>76</v>
      </c>
      <c r="E27" s="129" t="s">
        <v>1846</v>
      </c>
      <c r="F27" s="12" t="s">
        <v>113</v>
      </c>
      <c r="G27" s="12" t="s">
        <v>8</v>
      </c>
      <c r="H27" s="86" t="s">
        <v>328</v>
      </c>
      <c r="I27" s="86" t="s">
        <v>480</v>
      </c>
      <c r="J27" s="122">
        <v>10000</v>
      </c>
      <c r="K27" s="75"/>
      <c r="L27" s="75"/>
      <c r="M27" s="122"/>
      <c r="N27" s="75">
        <v>0</v>
      </c>
      <c r="O27" s="75">
        <v>0</v>
      </c>
      <c r="P27" s="122">
        <v>0</v>
      </c>
      <c r="Q27" s="75">
        <v>0</v>
      </c>
      <c r="R27" s="75">
        <v>0</v>
      </c>
      <c r="S27" s="122">
        <v>0</v>
      </c>
      <c r="T27" s="75" t="s">
        <v>1232</v>
      </c>
      <c r="U27" s="75">
        <v>5720</v>
      </c>
      <c r="V27" s="122">
        <v>5720</v>
      </c>
      <c r="W27" s="93" t="s">
        <v>1233</v>
      </c>
      <c r="X27" s="75">
        <v>2200</v>
      </c>
      <c r="Y27" s="122">
        <v>2150</v>
      </c>
      <c r="Z27" s="75"/>
      <c r="AA27" s="75"/>
      <c r="AB27" s="75"/>
      <c r="AC27" s="116">
        <f t="shared" si="2"/>
        <v>2130</v>
      </c>
      <c r="AD27" s="116">
        <f t="shared" si="0"/>
        <v>2080</v>
      </c>
      <c r="AE27" s="115">
        <f t="shared" si="1"/>
        <v>7870</v>
      </c>
      <c r="AF27" s="76"/>
      <c r="AG27" s="286">
        <f>10000-5720-2150</f>
        <v>2130</v>
      </c>
    </row>
    <row r="28" spans="1:34" x14ac:dyDescent="0.3">
      <c r="A28" s="12">
        <v>24</v>
      </c>
      <c r="B28" s="86" t="s">
        <v>395</v>
      </c>
      <c r="C28" s="12" t="s">
        <v>1908</v>
      </c>
      <c r="D28" s="129" t="s">
        <v>396</v>
      </c>
      <c r="E28" s="129" t="s">
        <v>1909</v>
      </c>
      <c r="F28" s="12" t="s">
        <v>113</v>
      </c>
      <c r="G28" s="12" t="s">
        <v>8</v>
      </c>
      <c r="H28" s="86" t="s">
        <v>350</v>
      </c>
      <c r="I28" s="86" t="s">
        <v>419</v>
      </c>
      <c r="J28" s="122">
        <v>10000</v>
      </c>
      <c r="K28" s="75"/>
      <c r="L28" s="75"/>
      <c r="M28" s="122"/>
      <c r="N28" s="75">
        <v>0</v>
      </c>
      <c r="O28" s="75">
        <v>0</v>
      </c>
      <c r="P28" s="122">
        <v>0</v>
      </c>
      <c r="Q28" s="75">
        <v>0</v>
      </c>
      <c r="R28" s="75">
        <v>0</v>
      </c>
      <c r="S28" s="122">
        <v>0</v>
      </c>
      <c r="T28" s="75">
        <v>0</v>
      </c>
      <c r="U28" s="75">
        <v>0</v>
      </c>
      <c r="V28" s="122">
        <v>0</v>
      </c>
      <c r="W28" s="93" t="s">
        <v>916</v>
      </c>
      <c r="X28" s="75">
        <v>2350</v>
      </c>
      <c r="Y28" s="122">
        <v>2350</v>
      </c>
      <c r="Z28" s="75"/>
      <c r="AA28" s="75"/>
      <c r="AB28" s="75"/>
      <c r="AC28" s="116">
        <f t="shared" si="2"/>
        <v>7650</v>
      </c>
      <c r="AD28" s="116">
        <f t="shared" si="0"/>
        <v>7650</v>
      </c>
      <c r="AE28" s="115">
        <f t="shared" si="1"/>
        <v>2350</v>
      </c>
      <c r="AF28" s="76"/>
      <c r="AG28" s="286">
        <f>10000-2350</f>
        <v>7650</v>
      </c>
    </row>
    <row r="29" spans="1:34" x14ac:dyDescent="0.3">
      <c r="A29" s="11">
        <v>25</v>
      </c>
      <c r="B29" s="86" t="s">
        <v>408</v>
      </c>
      <c r="C29" s="12" t="s">
        <v>1910</v>
      </c>
      <c r="D29" s="129" t="s">
        <v>907</v>
      </c>
      <c r="E29" s="129" t="s">
        <v>1911</v>
      </c>
      <c r="F29" s="12" t="s">
        <v>113</v>
      </c>
      <c r="G29" s="12" t="s">
        <v>8</v>
      </c>
      <c r="H29" s="86" t="s">
        <v>350</v>
      </c>
      <c r="I29" s="86" t="s">
        <v>419</v>
      </c>
      <c r="J29" s="122">
        <v>4650</v>
      </c>
      <c r="K29" s="75">
        <v>0</v>
      </c>
      <c r="L29" s="75">
        <v>0</v>
      </c>
      <c r="M29" s="122">
        <v>0</v>
      </c>
      <c r="N29" s="75">
        <v>0</v>
      </c>
      <c r="O29" s="75">
        <v>0</v>
      </c>
      <c r="P29" s="122">
        <v>0</v>
      </c>
      <c r="Q29" s="75">
        <v>0</v>
      </c>
      <c r="R29" s="75">
        <v>0</v>
      </c>
      <c r="S29" s="122">
        <v>0</v>
      </c>
      <c r="T29" s="75">
        <v>0</v>
      </c>
      <c r="U29" s="75">
        <v>0</v>
      </c>
      <c r="V29" s="122">
        <v>0</v>
      </c>
      <c r="W29" s="93" t="s">
        <v>625</v>
      </c>
      <c r="X29" s="75">
        <v>2150</v>
      </c>
      <c r="Y29" s="122">
        <v>2150</v>
      </c>
      <c r="Z29" s="75" t="s">
        <v>2648</v>
      </c>
      <c r="AA29" s="75">
        <f>1250+1250</f>
        <v>2500</v>
      </c>
      <c r="AB29" s="75"/>
      <c r="AC29" s="116">
        <f t="shared" si="2"/>
        <v>2500</v>
      </c>
      <c r="AD29" s="116">
        <f t="shared" si="0"/>
        <v>0</v>
      </c>
      <c r="AE29" s="115">
        <f t="shared" si="1"/>
        <v>2150</v>
      </c>
      <c r="AF29" s="76" t="s">
        <v>570</v>
      </c>
      <c r="AG29" s="286">
        <v>0</v>
      </c>
    </row>
    <row r="30" spans="1:34" x14ac:dyDescent="0.3">
      <c r="A30" s="11">
        <v>26</v>
      </c>
      <c r="B30" s="86" t="s">
        <v>417</v>
      </c>
      <c r="C30" s="12" t="s">
        <v>1917</v>
      </c>
      <c r="D30" s="129" t="s">
        <v>418</v>
      </c>
      <c r="E30" s="129" t="s">
        <v>1918</v>
      </c>
      <c r="F30" s="12" t="s">
        <v>113</v>
      </c>
      <c r="G30" s="12" t="s">
        <v>8</v>
      </c>
      <c r="H30" s="86" t="s">
        <v>324</v>
      </c>
      <c r="I30" s="86" t="s">
        <v>416</v>
      </c>
      <c r="J30" s="122">
        <v>4650</v>
      </c>
      <c r="K30" s="75"/>
      <c r="L30" s="75"/>
      <c r="M30" s="122"/>
      <c r="N30" s="75">
        <v>0</v>
      </c>
      <c r="O30" s="75">
        <v>0</v>
      </c>
      <c r="P30" s="122">
        <v>0</v>
      </c>
      <c r="Q30" s="75">
        <v>0</v>
      </c>
      <c r="R30" s="75">
        <v>0</v>
      </c>
      <c r="S30" s="122">
        <v>0</v>
      </c>
      <c r="T30" s="75">
        <v>0</v>
      </c>
      <c r="U30" s="75">
        <v>0</v>
      </c>
      <c r="V30" s="122">
        <v>0</v>
      </c>
      <c r="W30" s="93" t="s">
        <v>1407</v>
      </c>
      <c r="X30" s="75">
        <f>2150+1250+1250</f>
        <v>4650</v>
      </c>
      <c r="Y30" s="122"/>
      <c r="Z30" s="75"/>
      <c r="AA30" s="75"/>
      <c r="AB30" s="75"/>
      <c r="AC30" s="116">
        <f t="shared" si="2"/>
        <v>4650</v>
      </c>
      <c r="AD30" s="116">
        <f t="shared" si="0"/>
        <v>0</v>
      </c>
      <c r="AE30" s="115">
        <f t="shared" si="1"/>
        <v>0</v>
      </c>
      <c r="AF30" s="76"/>
      <c r="AG30" s="286">
        <f>4650-4650</f>
        <v>0</v>
      </c>
    </row>
    <row r="31" spans="1:34" x14ac:dyDescent="0.3">
      <c r="A31" s="11">
        <v>27</v>
      </c>
      <c r="B31" s="86" t="s">
        <v>443</v>
      </c>
      <c r="C31" s="12" t="s">
        <v>1927</v>
      </c>
      <c r="D31" s="129" t="s">
        <v>444</v>
      </c>
      <c r="E31" s="129" t="s">
        <v>1928</v>
      </c>
      <c r="F31" s="12" t="s">
        <v>113</v>
      </c>
      <c r="G31" s="12" t="s">
        <v>8</v>
      </c>
      <c r="H31" s="86" t="s">
        <v>387</v>
      </c>
      <c r="I31" s="86" t="s">
        <v>445</v>
      </c>
      <c r="J31" s="122">
        <v>10000</v>
      </c>
      <c r="K31" s="75"/>
      <c r="L31" s="75"/>
      <c r="M31" s="122"/>
      <c r="N31" s="75"/>
      <c r="O31" s="75"/>
      <c r="P31" s="122"/>
      <c r="Q31" s="75"/>
      <c r="R31" s="75"/>
      <c r="S31" s="122"/>
      <c r="T31" s="75"/>
      <c r="U31" s="75"/>
      <c r="V31" s="122"/>
      <c r="W31" s="93"/>
      <c r="X31" s="75"/>
      <c r="Y31" s="122"/>
      <c r="Z31" s="75"/>
      <c r="AA31" s="75"/>
      <c r="AB31" s="75"/>
      <c r="AC31" s="116">
        <f t="shared" si="2"/>
        <v>10000</v>
      </c>
      <c r="AD31" s="116">
        <f t="shared" si="0"/>
        <v>10000</v>
      </c>
      <c r="AE31" s="115">
        <f t="shared" si="1"/>
        <v>0</v>
      </c>
      <c r="AF31" s="76"/>
      <c r="AG31" s="286">
        <f>10000</f>
        <v>10000</v>
      </c>
    </row>
    <row r="32" spans="1:34" x14ac:dyDescent="0.3">
      <c r="A32" s="12">
        <v>28</v>
      </c>
      <c r="B32" s="86" t="s">
        <v>450</v>
      </c>
      <c r="C32" s="12" t="s">
        <v>1929</v>
      </c>
      <c r="D32" s="129" t="s">
        <v>451</v>
      </c>
      <c r="E32" s="129" t="s">
        <v>1930</v>
      </c>
      <c r="F32" s="12" t="s">
        <v>7</v>
      </c>
      <c r="G32" s="12" t="s">
        <v>8</v>
      </c>
      <c r="H32" s="86" t="s">
        <v>435</v>
      </c>
      <c r="I32" s="86" t="s">
        <v>452</v>
      </c>
      <c r="J32" s="122">
        <v>4470</v>
      </c>
      <c r="K32" s="75"/>
      <c r="L32" s="75"/>
      <c r="M32" s="122"/>
      <c r="N32" s="75"/>
      <c r="O32" s="75"/>
      <c r="P32" s="122"/>
      <c r="Q32" s="75" t="s">
        <v>1344</v>
      </c>
      <c r="R32" s="75">
        <f>1320+1050+1050+1050</f>
        <v>4470</v>
      </c>
      <c r="S32" s="122">
        <f>1320+1050+1050+1050</f>
        <v>4470</v>
      </c>
      <c r="T32" s="75"/>
      <c r="U32" s="75"/>
      <c r="V32" s="122"/>
      <c r="W32" s="93"/>
      <c r="X32" s="75"/>
      <c r="Y32" s="122"/>
      <c r="Z32" s="75"/>
      <c r="AA32" s="75"/>
      <c r="AB32" s="75"/>
      <c r="AC32" s="116">
        <f t="shared" si="2"/>
        <v>0</v>
      </c>
      <c r="AD32" s="116">
        <f t="shared" si="0"/>
        <v>0</v>
      </c>
      <c r="AE32" s="115">
        <f t="shared" si="1"/>
        <v>4470</v>
      </c>
      <c r="AF32" s="76"/>
      <c r="AG32" s="286">
        <f>4470-4470</f>
        <v>0</v>
      </c>
    </row>
    <row r="33" spans="1:34" x14ac:dyDescent="0.3">
      <c r="A33" s="12">
        <v>29</v>
      </c>
      <c r="B33" s="86" t="s">
        <v>481</v>
      </c>
      <c r="C33" s="12" t="s">
        <v>1937</v>
      </c>
      <c r="D33" s="129" t="s">
        <v>482</v>
      </c>
      <c r="E33" s="129" t="s">
        <v>1938</v>
      </c>
      <c r="F33" s="12" t="s">
        <v>113</v>
      </c>
      <c r="G33" s="12" t="s">
        <v>8</v>
      </c>
      <c r="H33" s="86" t="s">
        <v>328</v>
      </c>
      <c r="I33" s="86" t="s">
        <v>483</v>
      </c>
      <c r="J33" s="122">
        <v>10000</v>
      </c>
      <c r="K33" s="75">
        <v>0</v>
      </c>
      <c r="L33" s="75">
        <v>0</v>
      </c>
      <c r="M33" s="122">
        <v>0</v>
      </c>
      <c r="N33" s="75">
        <v>0</v>
      </c>
      <c r="O33" s="75">
        <v>0</v>
      </c>
      <c r="P33" s="122">
        <v>0</v>
      </c>
      <c r="Q33" s="75">
        <v>0</v>
      </c>
      <c r="R33" s="75">
        <v>0</v>
      </c>
      <c r="S33" s="122">
        <v>0</v>
      </c>
      <c r="T33" s="75">
        <v>0</v>
      </c>
      <c r="U33" s="75">
        <v>0</v>
      </c>
      <c r="V33" s="122">
        <v>0</v>
      </c>
      <c r="W33" s="93"/>
      <c r="X33" s="75"/>
      <c r="Y33" s="122"/>
      <c r="Z33" s="75"/>
      <c r="AA33" s="75"/>
      <c r="AB33" s="75"/>
      <c r="AC33" s="116">
        <f t="shared" si="2"/>
        <v>10000</v>
      </c>
      <c r="AD33" s="116">
        <f t="shared" si="0"/>
        <v>10000</v>
      </c>
      <c r="AE33" s="115">
        <f t="shared" si="1"/>
        <v>0</v>
      </c>
      <c r="AF33" s="76"/>
      <c r="AG33" s="286">
        <f>10000</f>
        <v>10000</v>
      </c>
    </row>
    <row r="34" spans="1:34" x14ac:dyDescent="0.3">
      <c r="A34" s="11">
        <v>30</v>
      </c>
      <c r="B34" s="86" t="s">
        <v>751</v>
      </c>
      <c r="C34" s="12" t="s">
        <v>1970</v>
      </c>
      <c r="D34" s="131" t="s">
        <v>752</v>
      </c>
      <c r="E34" s="131" t="s">
        <v>1971</v>
      </c>
      <c r="F34" s="12" t="s">
        <v>7</v>
      </c>
      <c r="G34" s="12" t="s">
        <v>8</v>
      </c>
      <c r="H34" s="86" t="s">
        <v>324</v>
      </c>
      <c r="I34" s="86" t="s">
        <v>753</v>
      </c>
      <c r="J34" s="122">
        <v>4650</v>
      </c>
      <c r="K34" s="75"/>
      <c r="L34" s="75"/>
      <c r="M34" s="122"/>
      <c r="N34" s="75">
        <v>0</v>
      </c>
      <c r="O34" s="75">
        <v>0</v>
      </c>
      <c r="P34" s="122">
        <v>0</v>
      </c>
      <c r="Q34" s="75">
        <v>0</v>
      </c>
      <c r="R34" s="75">
        <v>0</v>
      </c>
      <c r="S34" s="122">
        <v>0</v>
      </c>
      <c r="T34" s="75">
        <v>0</v>
      </c>
      <c r="U34" s="75">
        <v>0</v>
      </c>
      <c r="V34" s="122">
        <v>0</v>
      </c>
      <c r="W34" s="40" t="s">
        <v>1418</v>
      </c>
      <c r="X34" s="75">
        <f>2150+1250+1250</f>
        <v>4650</v>
      </c>
      <c r="Y34" s="122">
        <f>2150+1250+1250</f>
        <v>4650</v>
      </c>
      <c r="Z34" s="75"/>
      <c r="AA34" s="75"/>
      <c r="AB34" s="75"/>
      <c r="AC34" s="116">
        <f t="shared" si="2"/>
        <v>0</v>
      </c>
      <c r="AD34" s="116">
        <f t="shared" si="0"/>
        <v>0</v>
      </c>
      <c r="AE34" s="115">
        <f t="shared" si="1"/>
        <v>4650</v>
      </c>
      <c r="AF34" s="76"/>
      <c r="AG34" s="286">
        <f>5950-4650</f>
        <v>1300</v>
      </c>
    </row>
    <row r="35" spans="1:34" x14ac:dyDescent="0.3">
      <c r="A35" s="11">
        <v>31</v>
      </c>
      <c r="B35" s="86" t="s">
        <v>409</v>
      </c>
      <c r="C35" s="12" t="s">
        <v>1913</v>
      </c>
      <c r="D35" s="129" t="s">
        <v>855</v>
      </c>
      <c r="E35" s="129" t="s">
        <v>1914</v>
      </c>
      <c r="F35" s="12" t="s">
        <v>113</v>
      </c>
      <c r="G35" s="12" t="s">
        <v>8</v>
      </c>
      <c r="H35" s="86" t="s">
        <v>328</v>
      </c>
      <c r="I35" s="86" t="s">
        <v>419</v>
      </c>
      <c r="J35" s="122">
        <v>10000</v>
      </c>
      <c r="K35" s="75">
        <v>0</v>
      </c>
      <c r="L35" s="75">
        <v>0</v>
      </c>
      <c r="M35" s="122">
        <v>0</v>
      </c>
      <c r="N35" s="75">
        <v>0</v>
      </c>
      <c r="O35" s="75">
        <v>0</v>
      </c>
      <c r="P35" s="122">
        <v>0</v>
      </c>
      <c r="Q35" s="75">
        <v>0</v>
      </c>
      <c r="R35" s="75">
        <v>0</v>
      </c>
      <c r="S35" s="122">
        <v>0</v>
      </c>
      <c r="T35" s="75">
        <v>0</v>
      </c>
      <c r="U35" s="75">
        <v>0</v>
      </c>
      <c r="V35" s="122">
        <v>0</v>
      </c>
      <c r="W35" s="93" t="s">
        <v>1406</v>
      </c>
      <c r="X35" s="75">
        <f>5670+2150+1250+930</f>
        <v>10000</v>
      </c>
      <c r="Y35" s="122">
        <f>5670+2150+1250</f>
        <v>9070</v>
      </c>
      <c r="Z35" s="75"/>
      <c r="AA35" s="75"/>
      <c r="AB35" s="75"/>
      <c r="AC35" s="116">
        <f t="shared" si="2"/>
        <v>930</v>
      </c>
      <c r="AD35" s="116">
        <f t="shared" si="0"/>
        <v>0</v>
      </c>
      <c r="AE35" s="115">
        <f t="shared" si="1"/>
        <v>9070</v>
      </c>
      <c r="AF35" s="76" t="s">
        <v>570</v>
      </c>
      <c r="AG35" s="286">
        <f>10000-10000</f>
        <v>0</v>
      </c>
    </row>
    <row r="36" spans="1:34" x14ac:dyDescent="0.3">
      <c r="A36" s="11">
        <v>32</v>
      </c>
      <c r="B36" s="40" t="s">
        <v>327</v>
      </c>
      <c r="C36" s="12" t="s">
        <v>1915</v>
      </c>
      <c r="D36" s="129" t="s">
        <v>2727</v>
      </c>
      <c r="E36" s="129" t="s">
        <v>1916</v>
      </c>
      <c r="F36" s="12" t="s">
        <v>113</v>
      </c>
      <c r="G36" s="12" t="s">
        <v>8</v>
      </c>
      <c r="H36" s="86" t="s">
        <v>328</v>
      </c>
      <c r="I36" s="86" t="s">
        <v>416</v>
      </c>
      <c r="J36" s="122">
        <v>10000</v>
      </c>
      <c r="K36" s="75"/>
      <c r="L36" s="75"/>
      <c r="M36" s="122"/>
      <c r="N36" s="75"/>
      <c r="O36" s="75"/>
      <c r="P36" s="122"/>
      <c r="Q36" s="75"/>
      <c r="R36" s="75"/>
      <c r="S36" s="122"/>
      <c r="T36" s="75"/>
      <c r="U36" s="75"/>
      <c r="V36" s="122"/>
      <c r="W36" s="93" t="s">
        <v>620</v>
      </c>
      <c r="X36" s="75">
        <f>5670+2150</f>
        <v>7820</v>
      </c>
      <c r="Y36" s="122">
        <f>5620+2100</f>
        <v>7720</v>
      </c>
      <c r="Z36" s="75"/>
      <c r="AA36" s="75"/>
      <c r="AB36" s="75"/>
      <c r="AC36" s="116">
        <f t="shared" si="2"/>
        <v>2280</v>
      </c>
      <c r="AD36" s="116">
        <f t="shared" si="0"/>
        <v>2180</v>
      </c>
      <c r="AE36" s="115">
        <f t="shared" si="1"/>
        <v>7720</v>
      </c>
      <c r="AF36" s="76"/>
      <c r="AG36" s="286">
        <f>10000-7720</f>
        <v>2280</v>
      </c>
    </row>
    <row r="37" spans="1:34" x14ac:dyDescent="0.3">
      <c r="A37" s="12">
        <v>33</v>
      </c>
      <c r="B37" s="86" t="s">
        <v>77</v>
      </c>
      <c r="C37" s="12" t="s">
        <v>1847</v>
      </c>
      <c r="D37" s="129" t="s">
        <v>666</v>
      </c>
      <c r="E37" s="129" t="s">
        <v>1848</v>
      </c>
      <c r="F37" s="12" t="s">
        <v>113</v>
      </c>
      <c r="G37" s="12" t="s">
        <v>8</v>
      </c>
      <c r="H37" s="86" t="s">
        <v>328</v>
      </c>
      <c r="I37" s="86" t="s">
        <v>419</v>
      </c>
      <c r="J37" s="122">
        <v>10000</v>
      </c>
      <c r="K37" s="75">
        <v>0</v>
      </c>
      <c r="L37" s="75">
        <v>0</v>
      </c>
      <c r="M37" s="122">
        <v>0</v>
      </c>
      <c r="N37" s="75">
        <v>0</v>
      </c>
      <c r="O37" s="75">
        <v>0</v>
      </c>
      <c r="P37" s="122">
        <v>0</v>
      </c>
      <c r="Q37" s="75">
        <v>0</v>
      </c>
      <c r="R37" s="75">
        <v>0</v>
      </c>
      <c r="S37" s="122">
        <v>0</v>
      </c>
      <c r="T37" s="75" t="s">
        <v>665</v>
      </c>
      <c r="U37" s="75">
        <v>5720</v>
      </c>
      <c r="V37" s="122">
        <v>5720</v>
      </c>
      <c r="W37" s="93" t="s">
        <v>664</v>
      </c>
      <c r="X37" s="75">
        <v>2150</v>
      </c>
      <c r="Y37" s="122">
        <v>2100</v>
      </c>
      <c r="Z37" s="75"/>
      <c r="AA37" s="75"/>
      <c r="AB37" s="75"/>
      <c r="AC37" s="116">
        <f t="shared" si="2"/>
        <v>2180</v>
      </c>
      <c r="AD37" s="116">
        <f t="shared" si="0"/>
        <v>2130</v>
      </c>
      <c r="AE37" s="115">
        <f t="shared" si="1"/>
        <v>7820</v>
      </c>
      <c r="AF37" s="76"/>
      <c r="AG37" s="286">
        <f>10000-5720-2100</f>
        <v>2180</v>
      </c>
    </row>
    <row r="38" spans="1:34" x14ac:dyDescent="0.3">
      <c r="A38" s="12">
        <v>34</v>
      </c>
      <c r="B38" s="86" t="s">
        <v>195</v>
      </c>
      <c r="C38" s="12" t="s">
        <v>1849</v>
      </c>
      <c r="D38" s="129" t="s">
        <v>196</v>
      </c>
      <c r="E38" s="129" t="s">
        <v>1850</v>
      </c>
      <c r="F38" s="12" t="s">
        <v>7</v>
      </c>
      <c r="G38" s="12" t="s">
        <v>8</v>
      </c>
      <c r="H38" s="86" t="s">
        <v>292</v>
      </c>
      <c r="I38" s="86" t="s">
        <v>1980</v>
      </c>
      <c r="J38" s="122">
        <v>7410</v>
      </c>
      <c r="K38" s="75"/>
      <c r="L38" s="75"/>
      <c r="M38" s="122"/>
      <c r="N38" s="75" t="s">
        <v>1385</v>
      </c>
      <c r="O38" s="75">
        <f>1495+1105</f>
        <v>2600</v>
      </c>
      <c r="P38" s="122">
        <f>1495+1495+1105+1105</f>
        <v>5200</v>
      </c>
      <c r="Q38" s="75" t="s">
        <v>1386</v>
      </c>
      <c r="R38" s="75">
        <f>1105+1105</f>
        <v>2210</v>
      </c>
      <c r="S38" s="122">
        <f>1105+1105</f>
        <v>2210</v>
      </c>
      <c r="T38" s="75"/>
      <c r="U38" s="75"/>
      <c r="V38" s="122"/>
      <c r="W38" s="93"/>
      <c r="X38" s="75"/>
      <c r="Y38" s="122"/>
      <c r="Z38" s="75"/>
      <c r="AA38" s="75"/>
      <c r="AB38" s="75"/>
      <c r="AC38" s="116">
        <f t="shared" si="2"/>
        <v>0</v>
      </c>
      <c r="AD38" s="116">
        <f t="shared" si="0"/>
        <v>2600</v>
      </c>
      <c r="AE38" s="115">
        <f t="shared" si="1"/>
        <v>7410</v>
      </c>
      <c r="AF38" s="76" t="s">
        <v>570</v>
      </c>
      <c r="AG38" s="286">
        <f>7410-5200-2210</f>
        <v>0</v>
      </c>
      <c r="AH38" s="27" t="s">
        <v>1373</v>
      </c>
    </row>
    <row r="39" spans="1:34" x14ac:dyDescent="0.3">
      <c r="A39" s="11">
        <v>35</v>
      </c>
      <c r="B39" s="86" t="s">
        <v>78</v>
      </c>
      <c r="C39" s="12" t="s">
        <v>1851</v>
      </c>
      <c r="D39" s="129" t="s">
        <v>79</v>
      </c>
      <c r="E39" s="129" t="s">
        <v>1852</v>
      </c>
      <c r="F39" s="12" t="s">
        <v>113</v>
      </c>
      <c r="G39" s="12" t="s">
        <v>8</v>
      </c>
      <c r="H39" s="86" t="s">
        <v>394</v>
      </c>
      <c r="I39" s="86" t="s">
        <v>445</v>
      </c>
      <c r="J39" s="122">
        <v>9570</v>
      </c>
      <c r="K39" s="75">
        <v>0</v>
      </c>
      <c r="L39" s="75">
        <v>0</v>
      </c>
      <c r="M39" s="122">
        <v>0</v>
      </c>
      <c r="N39" s="75">
        <v>0</v>
      </c>
      <c r="O39" s="75">
        <v>0</v>
      </c>
      <c r="P39" s="122">
        <v>0</v>
      </c>
      <c r="Q39" s="75" t="s">
        <v>1073</v>
      </c>
      <c r="R39" s="75">
        <v>5520</v>
      </c>
      <c r="S39" s="122">
        <v>5470</v>
      </c>
      <c r="T39" s="75" t="s">
        <v>1074</v>
      </c>
      <c r="U39" s="75">
        <v>2000</v>
      </c>
      <c r="V39" s="122">
        <v>2000</v>
      </c>
      <c r="W39" s="93">
        <v>0</v>
      </c>
      <c r="X39" s="75">
        <v>0</v>
      </c>
      <c r="Y39" s="122">
        <v>0</v>
      </c>
      <c r="Z39" s="75" t="s">
        <v>2759</v>
      </c>
      <c r="AA39" s="75">
        <f>1050+1050</f>
        <v>2100</v>
      </c>
      <c r="AB39" s="75"/>
      <c r="AC39" s="116">
        <f>J39-P39-S39-V39-Y39-AB39</f>
        <v>2100</v>
      </c>
      <c r="AD39" s="116">
        <f>J39-O39-R39-U39-X39-AA39</f>
        <v>-50</v>
      </c>
      <c r="AE39" s="115">
        <f>P39+S39+V39+Y39+AB39</f>
        <v>7470</v>
      </c>
      <c r="AF39" s="76" t="s">
        <v>570</v>
      </c>
      <c r="AG39" s="286">
        <v>0</v>
      </c>
    </row>
    <row r="40" spans="1:34" x14ac:dyDescent="0.3">
      <c r="A40" s="11">
        <v>36</v>
      </c>
      <c r="B40" s="86" t="s">
        <v>80</v>
      </c>
      <c r="C40" s="12" t="s">
        <v>1853</v>
      </c>
      <c r="D40" s="129" t="s">
        <v>81</v>
      </c>
      <c r="E40" s="129" t="s">
        <v>1854</v>
      </c>
      <c r="F40" s="12" t="s">
        <v>113</v>
      </c>
      <c r="G40" s="12" t="s">
        <v>8</v>
      </c>
      <c r="H40" s="86" t="s">
        <v>17</v>
      </c>
      <c r="I40" s="86"/>
      <c r="J40" s="122">
        <v>5800</v>
      </c>
      <c r="K40" s="75"/>
      <c r="L40" s="75"/>
      <c r="M40" s="122"/>
      <c r="N40" s="75">
        <v>0</v>
      </c>
      <c r="O40" s="75">
        <v>0</v>
      </c>
      <c r="P40" s="122">
        <v>0</v>
      </c>
      <c r="Q40" s="75" t="s">
        <v>1043</v>
      </c>
      <c r="R40" s="75">
        <v>1450</v>
      </c>
      <c r="S40" s="122">
        <v>1450</v>
      </c>
      <c r="T40" s="75" t="s">
        <v>1044</v>
      </c>
      <c r="U40" s="75">
        <v>1450</v>
      </c>
      <c r="V40" s="122">
        <v>1450</v>
      </c>
      <c r="W40" s="93"/>
      <c r="X40" s="75"/>
      <c r="Y40" s="122"/>
      <c r="Z40" s="75"/>
      <c r="AA40" s="75"/>
      <c r="AB40" s="75"/>
      <c r="AC40" s="116">
        <f t="shared" si="2"/>
        <v>2900</v>
      </c>
      <c r="AD40" s="116">
        <f t="shared" si="0"/>
        <v>2900</v>
      </c>
      <c r="AE40" s="115">
        <f t="shared" si="1"/>
        <v>2900</v>
      </c>
      <c r="AF40" s="76"/>
      <c r="AG40" s="286">
        <f>5800-1450-1450</f>
        <v>2900</v>
      </c>
    </row>
    <row r="41" spans="1:34" x14ac:dyDescent="0.3">
      <c r="A41" s="11">
        <v>37</v>
      </c>
      <c r="B41" s="86" t="s">
        <v>82</v>
      </c>
      <c r="C41" s="12" t="s">
        <v>1855</v>
      </c>
      <c r="D41" s="129" t="s">
        <v>83</v>
      </c>
      <c r="E41" s="129" t="s">
        <v>1856</v>
      </c>
      <c r="F41" s="12" t="s">
        <v>113</v>
      </c>
      <c r="G41" s="12" t="s">
        <v>8</v>
      </c>
      <c r="H41" s="86" t="s">
        <v>25</v>
      </c>
      <c r="I41" s="86"/>
      <c r="J41" s="122">
        <v>10000</v>
      </c>
      <c r="K41" s="75"/>
      <c r="L41" s="75"/>
      <c r="M41" s="122"/>
      <c r="N41" s="75"/>
      <c r="O41" s="75"/>
      <c r="P41" s="122"/>
      <c r="Q41" s="75"/>
      <c r="R41" s="75"/>
      <c r="S41" s="122"/>
      <c r="T41" s="75" t="s">
        <v>1348</v>
      </c>
      <c r="U41" s="75">
        <v>5520</v>
      </c>
      <c r="V41" s="122">
        <v>5520</v>
      </c>
      <c r="W41" s="93"/>
      <c r="X41" s="75"/>
      <c r="Y41" s="122"/>
      <c r="Z41" s="75"/>
      <c r="AA41" s="75"/>
      <c r="AB41" s="75"/>
      <c r="AC41" s="116">
        <f t="shared" si="2"/>
        <v>4480</v>
      </c>
      <c r="AD41" s="116">
        <f t="shared" si="0"/>
        <v>4480</v>
      </c>
      <c r="AE41" s="115">
        <f t="shared" si="1"/>
        <v>5520</v>
      </c>
      <c r="AF41" s="76"/>
      <c r="AG41" s="286">
        <f>10000-5520</f>
        <v>4480</v>
      </c>
    </row>
    <row r="42" spans="1:34" s="119" customFormat="1" x14ac:dyDescent="0.3">
      <c r="A42" s="12">
        <v>38</v>
      </c>
      <c r="B42" s="67" t="s">
        <v>459</v>
      </c>
      <c r="C42" s="66" t="s">
        <v>1933</v>
      </c>
      <c r="D42" s="150" t="s">
        <v>460</v>
      </c>
      <c r="E42" s="150" t="s">
        <v>1934</v>
      </c>
      <c r="F42" s="66" t="s">
        <v>7</v>
      </c>
      <c r="G42" s="66" t="s">
        <v>8</v>
      </c>
      <c r="H42" s="67" t="s">
        <v>440</v>
      </c>
      <c r="I42" s="67" t="s">
        <v>461</v>
      </c>
      <c r="J42" s="123">
        <v>4350</v>
      </c>
      <c r="K42" s="117">
        <v>0</v>
      </c>
      <c r="L42" s="117">
        <v>0</v>
      </c>
      <c r="M42" s="123">
        <v>0</v>
      </c>
      <c r="N42" s="117">
        <v>0</v>
      </c>
      <c r="O42" s="117">
        <v>0</v>
      </c>
      <c r="P42" s="123">
        <v>0</v>
      </c>
      <c r="Q42" s="117" t="s">
        <v>857</v>
      </c>
      <c r="R42" s="117">
        <f>1450+1450</f>
        <v>2900</v>
      </c>
      <c r="S42" s="123">
        <f>1450+1450</f>
        <v>2900</v>
      </c>
      <c r="T42" s="117" t="s">
        <v>858</v>
      </c>
      <c r="U42" s="117">
        <v>1450</v>
      </c>
      <c r="V42" s="123">
        <v>1450</v>
      </c>
      <c r="W42" s="116">
        <v>0</v>
      </c>
      <c r="X42" s="117">
        <v>0</v>
      </c>
      <c r="Y42" s="123">
        <v>0</v>
      </c>
      <c r="Z42" s="117"/>
      <c r="AA42" s="117"/>
      <c r="AB42" s="117"/>
      <c r="AC42" s="116">
        <f t="shared" si="2"/>
        <v>0</v>
      </c>
      <c r="AD42" s="116">
        <f t="shared" si="0"/>
        <v>0</v>
      </c>
      <c r="AE42" s="115">
        <f t="shared" si="1"/>
        <v>4350</v>
      </c>
      <c r="AF42" s="422" t="s">
        <v>570</v>
      </c>
      <c r="AG42" s="287">
        <f>4350-2900-1450</f>
        <v>0</v>
      </c>
      <c r="AH42" s="119" t="s">
        <v>738</v>
      </c>
    </row>
    <row r="43" spans="1:34" x14ac:dyDescent="0.3">
      <c r="A43" s="12">
        <v>39</v>
      </c>
      <c r="B43" s="86" t="s">
        <v>2007</v>
      </c>
      <c r="C43" s="12" t="s">
        <v>2006</v>
      </c>
      <c r="D43" s="129" t="s">
        <v>2005</v>
      </c>
      <c r="E43" s="129" t="s">
        <v>2004</v>
      </c>
      <c r="F43" s="12" t="s">
        <v>7</v>
      </c>
      <c r="G43" s="12" t="s">
        <v>8</v>
      </c>
      <c r="H43" s="86" t="s">
        <v>2008</v>
      </c>
      <c r="I43" s="86" t="s">
        <v>504</v>
      </c>
      <c r="J43" s="122">
        <v>3315</v>
      </c>
      <c r="K43" s="75"/>
      <c r="L43" s="75"/>
      <c r="M43" s="122"/>
      <c r="N43" s="75"/>
      <c r="O43" s="75"/>
      <c r="P43" s="122"/>
      <c r="Q43" s="75" t="s">
        <v>2072</v>
      </c>
      <c r="R43" s="75">
        <f>1105+1105+1105</f>
        <v>3315</v>
      </c>
      <c r="S43" s="122">
        <f>1105+1105+1105</f>
        <v>3315</v>
      </c>
      <c r="T43" s="75"/>
      <c r="U43" s="75"/>
      <c r="V43" s="122"/>
      <c r="W43" s="93"/>
      <c r="X43" s="75"/>
      <c r="Y43" s="122"/>
      <c r="Z43" s="75"/>
      <c r="AA43" s="75"/>
      <c r="AB43" s="75"/>
      <c r="AC43" s="116">
        <f t="shared" si="2"/>
        <v>0</v>
      </c>
      <c r="AD43" s="116">
        <f t="shared" si="0"/>
        <v>0</v>
      </c>
      <c r="AE43" s="115">
        <f t="shared" si="1"/>
        <v>3315</v>
      </c>
      <c r="AF43" s="76"/>
      <c r="AG43" s="286"/>
    </row>
    <row r="44" spans="1:34" x14ac:dyDescent="0.3">
      <c r="A44" s="11">
        <v>40</v>
      </c>
      <c r="B44" s="86" t="s">
        <v>2073</v>
      </c>
      <c r="C44" s="12" t="s">
        <v>2010</v>
      </c>
      <c r="D44" s="129" t="s">
        <v>2009</v>
      </c>
      <c r="E44" s="12" t="s">
        <v>2074</v>
      </c>
      <c r="F44" s="12" t="s">
        <v>7</v>
      </c>
      <c r="G44" s="12" t="s">
        <v>8</v>
      </c>
      <c r="H44" s="86" t="s">
        <v>2011</v>
      </c>
      <c r="I44" s="86"/>
      <c r="J44" s="122">
        <v>1810</v>
      </c>
      <c r="K44" s="75"/>
      <c r="L44" s="75"/>
      <c r="M44" s="122"/>
      <c r="N44" s="75" t="s">
        <v>2075</v>
      </c>
      <c r="O44" s="75">
        <v>905</v>
      </c>
      <c r="P44" s="122">
        <f>905+905</f>
        <v>1810</v>
      </c>
      <c r="Q44" s="75"/>
      <c r="R44" s="75"/>
      <c r="S44" s="122"/>
      <c r="T44" s="75"/>
      <c r="U44" s="75"/>
      <c r="V44" s="122"/>
      <c r="W44" s="93"/>
      <c r="X44" s="75"/>
      <c r="Y44" s="122"/>
      <c r="Z44" s="75"/>
      <c r="AA44" s="75"/>
      <c r="AB44" s="75"/>
      <c r="AC44" s="116">
        <f t="shared" si="2"/>
        <v>0</v>
      </c>
      <c r="AD44" s="116">
        <f t="shared" si="0"/>
        <v>905</v>
      </c>
      <c r="AE44" s="115">
        <f t="shared" si="1"/>
        <v>1810</v>
      </c>
      <c r="AF44" s="76"/>
      <c r="AG44" s="286"/>
    </row>
    <row r="45" spans="1:34" x14ac:dyDescent="0.3">
      <c r="A45" s="11">
        <v>41</v>
      </c>
      <c r="B45" s="86" t="s">
        <v>84</v>
      </c>
      <c r="C45" s="12" t="s">
        <v>1857</v>
      </c>
      <c r="D45" s="129" t="s">
        <v>85</v>
      </c>
      <c r="E45" s="129" t="s">
        <v>1858</v>
      </c>
      <c r="F45" s="12" t="s">
        <v>113</v>
      </c>
      <c r="G45" s="12" t="s">
        <v>8</v>
      </c>
      <c r="H45" s="86" t="s">
        <v>60</v>
      </c>
      <c r="I45" s="86"/>
      <c r="J45" s="122">
        <v>10000</v>
      </c>
      <c r="K45" s="75"/>
      <c r="L45" s="75"/>
      <c r="M45" s="122"/>
      <c r="N45" s="75">
        <v>0</v>
      </c>
      <c r="O45" s="75">
        <v>0</v>
      </c>
      <c r="P45" s="122">
        <v>0</v>
      </c>
      <c r="Q45" s="75">
        <v>0</v>
      </c>
      <c r="R45" s="75">
        <v>0</v>
      </c>
      <c r="S45" s="122">
        <v>0</v>
      </c>
      <c r="T45" s="75" t="s">
        <v>1075</v>
      </c>
      <c r="U45" s="75">
        <f>5720+2200</f>
        <v>7920</v>
      </c>
      <c r="V45" s="122">
        <f>5670+2200</f>
        <v>7870</v>
      </c>
      <c r="W45" s="93"/>
      <c r="X45" s="75"/>
      <c r="Y45" s="122"/>
      <c r="Z45" s="75"/>
      <c r="AA45" s="75"/>
      <c r="AB45" s="75"/>
      <c r="AC45" s="116">
        <f t="shared" si="2"/>
        <v>2130</v>
      </c>
      <c r="AD45" s="116">
        <f t="shared" si="0"/>
        <v>2080</v>
      </c>
      <c r="AE45" s="115">
        <f t="shared" si="1"/>
        <v>7870</v>
      </c>
      <c r="AF45" s="76" t="s">
        <v>1047</v>
      </c>
      <c r="AG45" s="286">
        <f>10000-7870</f>
        <v>2130</v>
      </c>
    </row>
    <row r="46" spans="1:34" x14ac:dyDescent="0.3">
      <c r="A46" s="11">
        <v>42</v>
      </c>
      <c r="B46" s="86" t="s">
        <v>126</v>
      </c>
      <c r="C46" s="12" t="s">
        <v>1859</v>
      </c>
      <c r="D46" s="129" t="s">
        <v>2726</v>
      </c>
      <c r="E46" s="129" t="s">
        <v>1860</v>
      </c>
      <c r="F46" s="12" t="s">
        <v>113</v>
      </c>
      <c r="G46" s="12" t="s">
        <v>8</v>
      </c>
      <c r="H46" s="86" t="s">
        <v>381</v>
      </c>
      <c r="I46" s="86" t="s">
        <v>593</v>
      </c>
      <c r="J46" s="122">
        <v>10000</v>
      </c>
      <c r="K46" s="75">
        <v>0</v>
      </c>
      <c r="L46" s="75">
        <v>0</v>
      </c>
      <c r="M46" s="122">
        <v>0</v>
      </c>
      <c r="N46" s="75">
        <v>0</v>
      </c>
      <c r="O46" s="75">
        <v>0</v>
      </c>
      <c r="P46" s="122">
        <v>0</v>
      </c>
      <c r="Q46" s="75">
        <v>0</v>
      </c>
      <c r="R46" s="75">
        <v>0</v>
      </c>
      <c r="S46" s="122">
        <v>0</v>
      </c>
      <c r="T46" s="75">
        <v>0</v>
      </c>
      <c r="U46" s="75">
        <v>0</v>
      </c>
      <c r="V46" s="122">
        <v>0</v>
      </c>
      <c r="W46" s="93" t="s">
        <v>594</v>
      </c>
      <c r="X46" s="75">
        <v>5520</v>
      </c>
      <c r="Y46" s="122">
        <v>5470</v>
      </c>
      <c r="Z46" s="75" t="s">
        <v>2760</v>
      </c>
      <c r="AA46" s="75">
        <f>1950+1050+1050</f>
        <v>4050</v>
      </c>
      <c r="AB46" s="75"/>
      <c r="AC46" s="116">
        <f t="shared" si="2"/>
        <v>4530</v>
      </c>
      <c r="AD46" s="116">
        <f t="shared" si="0"/>
        <v>430</v>
      </c>
      <c r="AE46" s="115">
        <f t="shared" si="1"/>
        <v>5470</v>
      </c>
      <c r="AF46" s="76" t="s">
        <v>2761</v>
      </c>
      <c r="AG46" s="286">
        <f>10000-5470</f>
        <v>4530</v>
      </c>
    </row>
    <row r="47" spans="1:34" x14ac:dyDescent="0.3">
      <c r="A47" s="12">
        <v>43</v>
      </c>
      <c r="B47" s="86" t="s">
        <v>86</v>
      </c>
      <c r="C47" s="12" t="s">
        <v>1861</v>
      </c>
      <c r="D47" s="129" t="s">
        <v>87</v>
      </c>
      <c r="E47" s="129" t="s">
        <v>1862</v>
      </c>
      <c r="F47" s="12" t="s">
        <v>7</v>
      </c>
      <c r="G47" s="12" t="s">
        <v>8</v>
      </c>
      <c r="H47" s="86" t="s">
        <v>453</v>
      </c>
      <c r="I47" s="86" t="s">
        <v>454</v>
      </c>
      <c r="J47" s="122">
        <v>4470</v>
      </c>
      <c r="K47" s="75">
        <v>0</v>
      </c>
      <c r="L47" s="75">
        <v>0</v>
      </c>
      <c r="M47" s="122">
        <v>0</v>
      </c>
      <c r="N47" s="75" t="s">
        <v>1387</v>
      </c>
      <c r="O47" s="75">
        <v>1320</v>
      </c>
      <c r="P47" s="122">
        <v>1320</v>
      </c>
      <c r="Q47" s="75" t="s">
        <v>1388</v>
      </c>
      <c r="R47" s="75">
        <f>1050+1050</f>
        <v>2100</v>
      </c>
      <c r="S47" s="122">
        <f>1050+1050</f>
        <v>2100</v>
      </c>
      <c r="T47" s="75" t="s">
        <v>1389</v>
      </c>
      <c r="U47" s="75">
        <v>1050</v>
      </c>
      <c r="V47" s="122">
        <v>1050</v>
      </c>
      <c r="W47" s="93">
        <v>0</v>
      </c>
      <c r="X47" s="75">
        <v>0</v>
      </c>
      <c r="Y47" s="122">
        <v>0</v>
      </c>
      <c r="Z47" s="75">
        <v>0</v>
      </c>
      <c r="AA47" s="75">
        <v>0</v>
      </c>
      <c r="AB47" s="75">
        <v>0</v>
      </c>
      <c r="AC47" s="116">
        <f t="shared" si="2"/>
        <v>0</v>
      </c>
      <c r="AD47" s="116">
        <f t="shared" si="0"/>
        <v>0</v>
      </c>
      <c r="AE47" s="115">
        <f t="shared" si="1"/>
        <v>4470</v>
      </c>
      <c r="AF47" s="76" t="s">
        <v>570</v>
      </c>
      <c r="AG47" s="286">
        <f>4470-1320-2100-1050</f>
        <v>0</v>
      </c>
    </row>
    <row r="48" spans="1:34" ht="18" customHeight="1" x14ac:dyDescent="0.3">
      <c r="A48" s="12">
        <v>44</v>
      </c>
      <c r="B48" s="86" t="s">
        <v>206</v>
      </c>
      <c r="C48" s="12" t="s">
        <v>1863</v>
      </c>
      <c r="D48" s="129" t="s">
        <v>2611</v>
      </c>
      <c r="E48" s="129" t="s">
        <v>1864</v>
      </c>
      <c r="F48" s="12" t="s">
        <v>113</v>
      </c>
      <c r="G48" s="12" t="s">
        <v>8</v>
      </c>
      <c r="H48" s="86" t="s">
        <v>393</v>
      </c>
      <c r="I48" s="86" t="s">
        <v>419</v>
      </c>
      <c r="J48" s="122">
        <v>10000</v>
      </c>
      <c r="K48" s="75">
        <v>0</v>
      </c>
      <c r="L48" s="75">
        <v>0</v>
      </c>
      <c r="M48" s="122">
        <v>0</v>
      </c>
      <c r="N48" s="75">
        <v>0</v>
      </c>
      <c r="O48" s="75">
        <v>0</v>
      </c>
      <c r="P48" s="122">
        <v>0</v>
      </c>
      <c r="Q48" s="75">
        <v>0</v>
      </c>
      <c r="R48" s="75">
        <v>0</v>
      </c>
      <c r="S48" s="122">
        <v>0</v>
      </c>
      <c r="T48" s="75">
        <v>0</v>
      </c>
      <c r="U48" s="75">
        <v>0</v>
      </c>
      <c r="V48" s="122">
        <v>0</v>
      </c>
      <c r="W48" s="93" t="s">
        <v>598</v>
      </c>
      <c r="X48" s="75">
        <v>5720</v>
      </c>
      <c r="Y48" s="122">
        <v>5670</v>
      </c>
      <c r="Z48" s="75" t="s">
        <v>2762</v>
      </c>
      <c r="AA48" s="75">
        <f>2150+1250</f>
        <v>3400</v>
      </c>
      <c r="AB48" s="75"/>
      <c r="AC48" s="116">
        <f t="shared" si="2"/>
        <v>4330</v>
      </c>
      <c r="AD48" s="116">
        <f t="shared" si="0"/>
        <v>880</v>
      </c>
      <c r="AE48" s="115">
        <f t="shared" si="1"/>
        <v>5670</v>
      </c>
      <c r="AF48" s="76"/>
      <c r="AG48" s="286">
        <f>10000-5670</f>
        <v>4330</v>
      </c>
    </row>
    <row r="49" spans="1:34" x14ac:dyDescent="0.3">
      <c r="A49" s="11">
        <v>45</v>
      </c>
      <c r="B49" s="86" t="s">
        <v>349</v>
      </c>
      <c r="C49" s="12" t="s">
        <v>1905</v>
      </c>
      <c r="D49" s="129" t="s">
        <v>397</v>
      </c>
      <c r="E49" s="129" t="s">
        <v>1905</v>
      </c>
      <c r="F49" s="12" t="s">
        <v>113</v>
      </c>
      <c r="G49" s="12" t="s">
        <v>8</v>
      </c>
      <c r="H49" s="86" t="s">
        <v>350</v>
      </c>
      <c r="I49" s="86" t="s">
        <v>430</v>
      </c>
      <c r="J49" s="122">
        <v>10000</v>
      </c>
      <c r="K49" s="75"/>
      <c r="L49" s="75"/>
      <c r="M49" s="122"/>
      <c r="N49" s="75"/>
      <c r="O49" s="75"/>
      <c r="P49" s="122"/>
      <c r="Q49" s="75"/>
      <c r="R49" s="75"/>
      <c r="S49" s="122"/>
      <c r="T49" s="75"/>
      <c r="U49" s="75"/>
      <c r="V49" s="122"/>
      <c r="W49" s="93"/>
      <c r="X49" s="75"/>
      <c r="Y49" s="122"/>
      <c r="Z49" s="75"/>
      <c r="AA49" s="75"/>
      <c r="AB49" s="75"/>
      <c r="AC49" s="116">
        <f t="shared" si="2"/>
        <v>10000</v>
      </c>
      <c r="AD49" s="116">
        <f t="shared" si="0"/>
        <v>10000</v>
      </c>
      <c r="AE49" s="115">
        <f t="shared" si="1"/>
        <v>0</v>
      </c>
      <c r="AF49" s="76"/>
      <c r="AG49" s="286">
        <f>10000</f>
        <v>10000</v>
      </c>
    </row>
    <row r="50" spans="1:34" x14ac:dyDescent="0.3">
      <c r="A50" s="11">
        <v>46</v>
      </c>
      <c r="B50" s="86" t="s">
        <v>363</v>
      </c>
      <c r="C50" s="12" t="s">
        <v>1906</v>
      </c>
      <c r="D50" s="129" t="s">
        <v>2725</v>
      </c>
      <c r="E50" s="129" t="s">
        <v>1907</v>
      </c>
      <c r="F50" s="12" t="s">
        <v>113</v>
      </c>
      <c r="G50" s="12" t="s">
        <v>8</v>
      </c>
      <c r="H50" s="86" t="s">
        <v>381</v>
      </c>
      <c r="I50" s="86" t="s">
        <v>419</v>
      </c>
      <c r="J50" s="122">
        <v>10000</v>
      </c>
      <c r="K50" s="75">
        <v>0</v>
      </c>
      <c r="L50" s="75">
        <v>0</v>
      </c>
      <c r="M50" s="122">
        <v>0</v>
      </c>
      <c r="N50" s="75">
        <v>0</v>
      </c>
      <c r="O50" s="75">
        <v>0</v>
      </c>
      <c r="P50" s="122">
        <v>0</v>
      </c>
      <c r="Q50" s="75">
        <v>0</v>
      </c>
      <c r="R50" s="75">
        <v>0</v>
      </c>
      <c r="S50" s="122">
        <v>0</v>
      </c>
      <c r="T50" s="75">
        <v>0</v>
      </c>
      <c r="U50" s="75">
        <v>0</v>
      </c>
      <c r="V50" s="122">
        <v>0</v>
      </c>
      <c r="W50" s="93" t="s">
        <v>595</v>
      </c>
      <c r="X50" s="75">
        <v>5720</v>
      </c>
      <c r="Y50" s="122">
        <v>5670</v>
      </c>
      <c r="Z50" s="75" t="s">
        <v>2739</v>
      </c>
      <c r="AA50" s="75">
        <f>2150+1250+930</f>
        <v>4330</v>
      </c>
      <c r="AB50" s="75"/>
      <c r="AC50" s="116">
        <f>J50-P50-S50-V50-Y50-AB50</f>
        <v>4330</v>
      </c>
      <c r="AD50" s="116">
        <f t="shared" si="0"/>
        <v>-50</v>
      </c>
      <c r="AE50" s="115">
        <f t="shared" si="1"/>
        <v>5670</v>
      </c>
      <c r="AF50" s="76" t="s">
        <v>570</v>
      </c>
      <c r="AG50" s="286">
        <f>10000-5670</f>
        <v>4330</v>
      </c>
    </row>
    <row r="51" spans="1:34" x14ac:dyDescent="0.3">
      <c r="A51" s="11">
        <v>47</v>
      </c>
      <c r="B51" s="86" t="s">
        <v>3038</v>
      </c>
      <c r="C51" s="12" t="s">
        <v>1923</v>
      </c>
      <c r="D51" s="129" t="s">
        <v>439</v>
      </c>
      <c r="E51" s="129" t="s">
        <v>1924</v>
      </c>
      <c r="F51" s="12" t="s">
        <v>7</v>
      </c>
      <c r="G51" s="12" t="s">
        <v>8</v>
      </c>
      <c r="H51" s="86" t="s">
        <v>440</v>
      </c>
      <c r="I51" s="86" t="s">
        <v>419</v>
      </c>
      <c r="J51" s="122">
        <v>3600</v>
      </c>
      <c r="K51" s="75">
        <v>0</v>
      </c>
      <c r="L51" s="75">
        <v>0</v>
      </c>
      <c r="M51" s="122">
        <v>0</v>
      </c>
      <c r="N51" s="75">
        <v>0</v>
      </c>
      <c r="O51" s="75">
        <v>0</v>
      </c>
      <c r="P51" s="122">
        <v>0</v>
      </c>
      <c r="Q51" s="75">
        <v>0</v>
      </c>
      <c r="R51" s="75">
        <v>0</v>
      </c>
      <c r="S51" s="122">
        <v>0</v>
      </c>
      <c r="T51" s="75">
        <v>0</v>
      </c>
      <c r="U51" s="75">
        <v>0</v>
      </c>
      <c r="V51" s="122">
        <v>0</v>
      </c>
      <c r="W51" s="93">
        <v>0</v>
      </c>
      <c r="X51" s="75">
        <v>0</v>
      </c>
      <c r="Y51" s="122">
        <v>0</v>
      </c>
      <c r="Z51" s="75" t="s">
        <v>2615</v>
      </c>
      <c r="AA51" s="75">
        <f>1200+1200+1200</f>
        <v>3600</v>
      </c>
      <c r="AB51" s="75"/>
      <c r="AC51" s="116">
        <f t="shared" si="2"/>
        <v>3600</v>
      </c>
      <c r="AD51" s="116">
        <f t="shared" si="0"/>
        <v>0</v>
      </c>
      <c r="AE51" s="115">
        <f t="shared" si="1"/>
        <v>0</v>
      </c>
      <c r="AF51" s="76" t="s">
        <v>570</v>
      </c>
      <c r="AG51" s="286"/>
    </row>
    <row r="52" spans="1:34" s="526" customFormat="1" ht="33" x14ac:dyDescent="0.3">
      <c r="A52" s="12">
        <v>48</v>
      </c>
      <c r="B52" s="518" t="s">
        <v>552</v>
      </c>
      <c r="C52" s="519" t="s">
        <v>1945</v>
      </c>
      <c r="D52" s="520" t="s">
        <v>553</v>
      </c>
      <c r="E52" s="520" t="s">
        <v>1946</v>
      </c>
      <c r="F52" s="519" t="s">
        <v>113</v>
      </c>
      <c r="G52" s="519" t="s">
        <v>8</v>
      </c>
      <c r="H52" s="521" t="s">
        <v>1912</v>
      </c>
      <c r="I52" s="518" t="s">
        <v>554</v>
      </c>
      <c r="J52" s="522">
        <v>3700</v>
      </c>
      <c r="K52" s="523">
        <v>0</v>
      </c>
      <c r="L52" s="523">
        <v>0</v>
      </c>
      <c r="M52" s="522">
        <v>0</v>
      </c>
      <c r="N52" s="523">
        <v>0</v>
      </c>
      <c r="O52" s="523">
        <v>0</v>
      </c>
      <c r="P52" s="522">
        <v>0</v>
      </c>
      <c r="Q52" s="523" t="s">
        <v>884</v>
      </c>
      <c r="R52" s="523">
        <v>1250</v>
      </c>
      <c r="S52" s="522">
        <v>1250</v>
      </c>
      <c r="T52" s="523" t="s">
        <v>885</v>
      </c>
      <c r="U52" s="523">
        <v>1250</v>
      </c>
      <c r="V52" s="522">
        <v>1250</v>
      </c>
      <c r="W52" s="524" t="s">
        <v>1416</v>
      </c>
      <c r="X52" s="523">
        <v>1200</v>
      </c>
      <c r="Y52" s="522">
        <v>1200</v>
      </c>
      <c r="Z52" s="523"/>
      <c r="AA52" s="523"/>
      <c r="AB52" s="523"/>
      <c r="AC52" s="116">
        <f t="shared" si="2"/>
        <v>0</v>
      </c>
      <c r="AD52" s="116">
        <f t="shared" si="0"/>
        <v>0</v>
      </c>
      <c r="AE52" s="115">
        <f t="shared" si="1"/>
        <v>3700</v>
      </c>
      <c r="AF52" s="525" t="s">
        <v>570</v>
      </c>
      <c r="AG52" s="287">
        <f>3700-1250-1250-1200</f>
        <v>0</v>
      </c>
    </row>
    <row r="53" spans="1:34" x14ac:dyDescent="0.3">
      <c r="A53" s="12">
        <v>49</v>
      </c>
      <c r="B53" s="86" t="s">
        <v>456</v>
      </c>
      <c r="C53" s="12" t="s">
        <v>1931</v>
      </c>
      <c r="D53" s="129" t="s">
        <v>457</v>
      </c>
      <c r="E53" s="129" t="s">
        <v>1932</v>
      </c>
      <c r="F53" s="12" t="s">
        <v>7</v>
      </c>
      <c r="G53" s="12" t="s">
        <v>8</v>
      </c>
      <c r="H53" s="86" t="s">
        <v>440</v>
      </c>
      <c r="I53" s="86" t="s">
        <v>458</v>
      </c>
      <c r="J53" s="122">
        <v>3150</v>
      </c>
      <c r="K53" s="75">
        <v>0</v>
      </c>
      <c r="L53" s="75">
        <v>0</v>
      </c>
      <c r="M53" s="122">
        <v>0</v>
      </c>
      <c r="N53" s="75">
        <v>0</v>
      </c>
      <c r="O53" s="75">
        <v>0</v>
      </c>
      <c r="P53" s="122">
        <v>0</v>
      </c>
      <c r="Q53" s="75" t="s">
        <v>1412</v>
      </c>
      <c r="R53" s="75">
        <f>1050+1050</f>
        <v>2100</v>
      </c>
      <c r="S53" s="122">
        <f>1050+1050</f>
        <v>2100</v>
      </c>
      <c r="T53" s="75" t="s">
        <v>1413</v>
      </c>
      <c r="U53" s="75">
        <v>1050</v>
      </c>
      <c r="V53" s="122">
        <v>1050</v>
      </c>
      <c r="W53" s="93">
        <v>0</v>
      </c>
      <c r="X53" s="75">
        <v>0</v>
      </c>
      <c r="Y53" s="122">
        <v>0</v>
      </c>
      <c r="Z53" s="75">
        <v>0</v>
      </c>
      <c r="AA53" s="75">
        <v>0</v>
      </c>
      <c r="AB53" s="75">
        <v>0</v>
      </c>
      <c r="AC53" s="116">
        <f t="shared" si="2"/>
        <v>0</v>
      </c>
      <c r="AD53" s="116">
        <f t="shared" si="0"/>
        <v>0</v>
      </c>
      <c r="AE53" s="115">
        <f t="shared" si="1"/>
        <v>3150</v>
      </c>
      <c r="AF53" s="76" t="s">
        <v>570</v>
      </c>
      <c r="AG53" s="286">
        <f>3150-2100-1050</f>
        <v>0</v>
      </c>
    </row>
    <row r="54" spans="1:34" x14ac:dyDescent="0.3">
      <c r="A54" s="11">
        <v>50</v>
      </c>
      <c r="B54" s="86" t="s">
        <v>735</v>
      </c>
      <c r="C54" s="12" t="s">
        <v>1968</v>
      </c>
      <c r="D54" s="131" t="s">
        <v>736</v>
      </c>
      <c r="E54" s="131" t="s">
        <v>1969</v>
      </c>
      <c r="F54" s="12" t="s">
        <v>7</v>
      </c>
      <c r="G54" s="12" t="s">
        <v>8</v>
      </c>
      <c r="H54" s="86" t="s">
        <v>503</v>
      </c>
      <c r="I54" s="86" t="s">
        <v>419</v>
      </c>
      <c r="J54" s="122">
        <v>10000</v>
      </c>
      <c r="K54" s="75"/>
      <c r="L54" s="75"/>
      <c r="M54" s="122"/>
      <c r="N54" s="75">
        <v>0</v>
      </c>
      <c r="O54" s="75">
        <v>0</v>
      </c>
      <c r="P54" s="122">
        <v>0</v>
      </c>
      <c r="Q54" s="75">
        <v>0</v>
      </c>
      <c r="R54" s="75">
        <v>0</v>
      </c>
      <c r="S54" s="122">
        <v>0</v>
      </c>
      <c r="T54" s="75">
        <v>0</v>
      </c>
      <c r="U54" s="75">
        <v>0</v>
      </c>
      <c r="V54" s="122">
        <v>0</v>
      </c>
      <c r="W54" s="40" t="s">
        <v>903</v>
      </c>
      <c r="X54" s="75">
        <v>5670</v>
      </c>
      <c r="Y54" s="122"/>
      <c r="Z54" s="75"/>
      <c r="AA54" s="75"/>
      <c r="AB54" s="75"/>
      <c r="AC54" s="116">
        <f t="shared" si="2"/>
        <v>10000</v>
      </c>
      <c r="AD54" s="116">
        <f t="shared" si="0"/>
        <v>4330</v>
      </c>
      <c r="AE54" s="115">
        <f t="shared" si="1"/>
        <v>0</v>
      </c>
      <c r="AF54" s="76"/>
      <c r="AG54" s="286">
        <f>10000-5670</f>
        <v>4330</v>
      </c>
    </row>
    <row r="55" spans="1:34" x14ac:dyDescent="0.3">
      <c r="A55" s="11">
        <v>51</v>
      </c>
      <c r="B55" s="86" t="s">
        <v>2014</v>
      </c>
      <c r="C55" s="12" t="s">
        <v>2015</v>
      </c>
      <c r="D55" s="131" t="s">
        <v>2013</v>
      </c>
      <c r="E55" s="131" t="s">
        <v>2012</v>
      </c>
      <c r="F55" s="12" t="s">
        <v>7</v>
      </c>
      <c r="G55" s="12" t="s">
        <v>8</v>
      </c>
      <c r="H55" s="86" t="s">
        <v>2011</v>
      </c>
      <c r="I55" s="86" t="s">
        <v>430</v>
      </c>
      <c r="J55" s="122">
        <v>2715</v>
      </c>
      <c r="K55" s="75"/>
      <c r="L55" s="75"/>
      <c r="M55" s="122"/>
      <c r="N55" s="75" t="s">
        <v>2076</v>
      </c>
      <c r="O55" s="75">
        <f>905+905</f>
        <v>1810</v>
      </c>
      <c r="P55" s="122">
        <f>905+905+905</f>
        <v>2715</v>
      </c>
      <c r="Q55" s="75"/>
      <c r="R55" s="75"/>
      <c r="S55" s="122"/>
      <c r="T55" s="75"/>
      <c r="U55" s="75"/>
      <c r="V55" s="122"/>
      <c r="W55" s="40"/>
      <c r="X55" s="75"/>
      <c r="Y55" s="122"/>
      <c r="Z55" s="75"/>
      <c r="AA55" s="75"/>
      <c r="AB55" s="75"/>
      <c r="AC55" s="116">
        <f t="shared" si="2"/>
        <v>0</v>
      </c>
      <c r="AD55" s="116">
        <f t="shared" si="0"/>
        <v>905</v>
      </c>
      <c r="AE55" s="115">
        <f t="shared" si="1"/>
        <v>2715</v>
      </c>
      <c r="AF55" s="76"/>
      <c r="AG55" s="286"/>
    </row>
    <row r="56" spans="1:34" x14ac:dyDescent="0.3">
      <c r="A56" s="11">
        <v>52</v>
      </c>
      <c r="B56" s="86" t="s">
        <v>2018</v>
      </c>
      <c r="C56" s="12" t="s">
        <v>2019</v>
      </c>
      <c r="D56" s="131" t="s">
        <v>2017</v>
      </c>
      <c r="E56" s="131" t="s">
        <v>2016</v>
      </c>
      <c r="F56" s="12" t="s">
        <v>7</v>
      </c>
      <c r="G56" s="12" t="s">
        <v>8</v>
      </c>
      <c r="H56" s="86" t="s">
        <v>2020</v>
      </c>
      <c r="I56" s="86" t="s">
        <v>430</v>
      </c>
      <c r="J56" s="122">
        <v>3620</v>
      </c>
      <c r="K56" s="75"/>
      <c r="L56" s="75"/>
      <c r="M56" s="122"/>
      <c r="N56" s="75" t="s">
        <v>2077</v>
      </c>
      <c r="O56" s="75">
        <f>905+905</f>
        <v>1810</v>
      </c>
      <c r="P56" s="122">
        <f>905+905+905+905</f>
        <v>3620</v>
      </c>
      <c r="Q56" s="75"/>
      <c r="R56" s="75"/>
      <c r="S56" s="122"/>
      <c r="T56" s="75"/>
      <c r="U56" s="75"/>
      <c r="V56" s="122"/>
      <c r="W56" s="40"/>
      <c r="X56" s="75"/>
      <c r="Y56" s="122"/>
      <c r="Z56" s="75"/>
      <c r="AA56" s="75"/>
      <c r="AB56" s="75"/>
      <c r="AC56" s="116">
        <f t="shared" si="2"/>
        <v>0</v>
      </c>
      <c r="AD56" s="116">
        <f t="shared" si="0"/>
        <v>1810</v>
      </c>
      <c r="AE56" s="115">
        <f t="shared" si="1"/>
        <v>3620</v>
      </c>
      <c r="AF56" s="76"/>
      <c r="AG56" s="286"/>
    </row>
    <row r="57" spans="1:34" x14ac:dyDescent="0.3">
      <c r="A57" s="12">
        <v>53</v>
      </c>
      <c r="B57" s="86" t="s">
        <v>2024</v>
      </c>
      <c r="C57" s="12" t="s">
        <v>2023</v>
      </c>
      <c r="D57" s="131" t="s">
        <v>2022</v>
      </c>
      <c r="E57" s="131" t="s">
        <v>2021</v>
      </c>
      <c r="F57" s="12" t="s">
        <v>7</v>
      </c>
      <c r="G57" s="58" t="s">
        <v>8</v>
      </c>
      <c r="H57" s="86" t="s">
        <v>2008</v>
      </c>
      <c r="I57" s="86"/>
      <c r="J57" s="122">
        <v>4420</v>
      </c>
      <c r="K57" s="75"/>
      <c r="L57" s="75"/>
      <c r="M57" s="122"/>
      <c r="N57" s="75" t="s">
        <v>2078</v>
      </c>
      <c r="O57" s="75">
        <f>1105+1105</f>
        <v>2210</v>
      </c>
      <c r="P57" s="122">
        <f>1105+1105+1105</f>
        <v>3315</v>
      </c>
      <c r="Q57" s="75" t="s">
        <v>2079</v>
      </c>
      <c r="R57" s="75">
        <v>1105</v>
      </c>
      <c r="S57" s="122">
        <v>1105</v>
      </c>
      <c r="T57" s="75"/>
      <c r="U57" s="75"/>
      <c r="V57" s="122"/>
      <c r="W57" s="40"/>
      <c r="X57" s="75"/>
      <c r="Y57" s="122"/>
      <c r="Z57" s="75"/>
      <c r="AA57" s="75"/>
      <c r="AB57" s="75"/>
      <c r="AC57" s="116">
        <f t="shared" si="2"/>
        <v>0</v>
      </c>
      <c r="AD57" s="116">
        <f t="shared" si="0"/>
        <v>1105</v>
      </c>
      <c r="AE57" s="115">
        <f t="shared" si="1"/>
        <v>4420</v>
      </c>
      <c r="AF57" s="76"/>
      <c r="AG57" s="286"/>
    </row>
    <row r="58" spans="1:34" x14ac:dyDescent="0.3">
      <c r="A58" s="12">
        <v>54</v>
      </c>
      <c r="B58" s="86" t="s">
        <v>2028</v>
      </c>
      <c r="C58" s="12" t="s">
        <v>2027</v>
      </c>
      <c r="D58" s="131" t="s">
        <v>2026</v>
      </c>
      <c r="E58" s="131" t="s">
        <v>2025</v>
      </c>
      <c r="F58" s="12" t="s">
        <v>7</v>
      </c>
      <c r="G58" s="12" t="s">
        <v>8</v>
      </c>
      <c r="H58" s="86" t="s">
        <v>2029</v>
      </c>
      <c r="I58" s="86"/>
      <c r="J58" s="122">
        <v>4420</v>
      </c>
      <c r="K58" s="75"/>
      <c r="L58" s="75"/>
      <c r="M58" s="122"/>
      <c r="N58" s="75" t="s">
        <v>2080</v>
      </c>
      <c r="O58" s="75">
        <f>1105+1105</f>
        <v>2210</v>
      </c>
      <c r="P58" s="122">
        <f>1105+1105+1105</f>
        <v>3315</v>
      </c>
      <c r="Q58" s="75" t="s">
        <v>2081</v>
      </c>
      <c r="R58" s="75">
        <v>1105</v>
      </c>
      <c r="S58" s="122">
        <v>1105</v>
      </c>
      <c r="T58" s="75"/>
      <c r="U58" s="75"/>
      <c r="V58" s="122"/>
      <c r="W58" s="40"/>
      <c r="X58" s="75"/>
      <c r="Y58" s="122"/>
      <c r="Z58" s="75"/>
      <c r="AA58" s="75"/>
      <c r="AB58" s="75"/>
      <c r="AC58" s="116">
        <f t="shared" si="2"/>
        <v>0</v>
      </c>
      <c r="AD58" s="116">
        <f t="shared" si="0"/>
        <v>1105</v>
      </c>
      <c r="AE58" s="115">
        <f t="shared" si="1"/>
        <v>4420</v>
      </c>
      <c r="AF58" s="76"/>
      <c r="AG58" s="286"/>
    </row>
    <row r="59" spans="1:34" x14ac:dyDescent="0.3">
      <c r="A59" s="11">
        <v>55</v>
      </c>
      <c r="B59" s="86" t="s">
        <v>2032</v>
      </c>
      <c r="C59" s="12" t="s">
        <v>2031</v>
      </c>
      <c r="D59" s="131" t="s">
        <v>2030</v>
      </c>
      <c r="E59" s="12" t="s">
        <v>2766</v>
      </c>
      <c r="F59" s="12" t="s">
        <v>7</v>
      </c>
      <c r="G59" s="12" t="s">
        <v>8</v>
      </c>
      <c r="H59" s="86" t="s">
        <v>770</v>
      </c>
      <c r="I59" s="86" t="s">
        <v>477</v>
      </c>
      <c r="J59" s="122">
        <v>2210</v>
      </c>
      <c r="K59" s="75"/>
      <c r="L59" s="75"/>
      <c r="M59" s="122"/>
      <c r="N59" s="75" t="s">
        <v>2082</v>
      </c>
      <c r="O59" s="75">
        <v>1105</v>
      </c>
      <c r="P59" s="122">
        <v>1105</v>
      </c>
      <c r="Q59" s="75" t="s">
        <v>2083</v>
      </c>
      <c r="R59" s="75">
        <v>1105</v>
      </c>
      <c r="S59" s="122">
        <v>1105</v>
      </c>
      <c r="T59" s="75"/>
      <c r="U59" s="75"/>
      <c r="V59" s="122"/>
      <c r="W59" s="40"/>
      <c r="X59" s="75"/>
      <c r="Y59" s="122"/>
      <c r="Z59" s="75"/>
      <c r="AA59" s="75"/>
      <c r="AB59" s="75"/>
      <c r="AC59" s="116">
        <f t="shared" si="2"/>
        <v>0</v>
      </c>
      <c r="AD59" s="116">
        <f t="shared" si="0"/>
        <v>0</v>
      </c>
      <c r="AE59" s="115">
        <f t="shared" si="1"/>
        <v>2210</v>
      </c>
      <c r="AF59" s="76"/>
      <c r="AG59" s="286"/>
    </row>
    <row r="60" spans="1:34" x14ac:dyDescent="0.3">
      <c r="A60" s="11">
        <v>56</v>
      </c>
      <c r="B60" s="86" t="s">
        <v>89</v>
      </c>
      <c r="C60" s="12" t="s">
        <v>1865</v>
      </c>
      <c r="D60" s="129" t="s">
        <v>90</v>
      </c>
      <c r="E60" s="129" t="s">
        <v>1866</v>
      </c>
      <c r="F60" s="12" t="s">
        <v>113</v>
      </c>
      <c r="G60" s="12" t="s">
        <v>8</v>
      </c>
      <c r="H60" s="86" t="s">
        <v>437</v>
      </c>
      <c r="I60" s="86" t="s">
        <v>455</v>
      </c>
      <c r="J60" s="122">
        <v>5420</v>
      </c>
      <c r="K60" s="75">
        <v>0</v>
      </c>
      <c r="L60" s="75">
        <v>0</v>
      </c>
      <c r="M60" s="122">
        <v>0</v>
      </c>
      <c r="N60" s="75">
        <v>0</v>
      </c>
      <c r="O60" s="75">
        <v>0</v>
      </c>
      <c r="P60" s="122">
        <v>0</v>
      </c>
      <c r="Q60" s="75" t="s">
        <v>877</v>
      </c>
      <c r="R60" s="75">
        <f>1320+1050</f>
        <v>2370</v>
      </c>
      <c r="S60" s="122">
        <f>1320+1050</f>
        <v>2370</v>
      </c>
      <c r="T60" s="75" t="s">
        <v>878</v>
      </c>
      <c r="U60" s="75">
        <v>1050</v>
      </c>
      <c r="V60" s="122">
        <v>1050</v>
      </c>
      <c r="W60" s="93" t="s">
        <v>1433</v>
      </c>
      <c r="X60" s="75">
        <f>1000+1000</f>
        <v>2000</v>
      </c>
      <c r="Y60" s="122">
        <f>1000+1000</f>
        <v>2000</v>
      </c>
      <c r="Z60" s="75"/>
      <c r="AA60" s="75"/>
      <c r="AB60" s="75"/>
      <c r="AC60" s="116">
        <f t="shared" si="2"/>
        <v>0</v>
      </c>
      <c r="AD60" s="116">
        <f t="shared" si="0"/>
        <v>0</v>
      </c>
      <c r="AE60" s="115">
        <f t="shared" si="1"/>
        <v>5420</v>
      </c>
      <c r="AF60" s="76" t="s">
        <v>570</v>
      </c>
      <c r="AG60" s="286">
        <f>5420-2370-1050-2000</f>
        <v>0</v>
      </c>
    </row>
    <row r="61" spans="1:34" x14ac:dyDescent="0.3">
      <c r="A61" s="11">
        <v>57</v>
      </c>
      <c r="B61" s="86" t="s">
        <v>91</v>
      </c>
      <c r="C61" s="12" t="s">
        <v>1546</v>
      </c>
      <c r="D61" s="129" t="s">
        <v>92</v>
      </c>
      <c r="E61" s="129" t="s">
        <v>1867</v>
      </c>
      <c r="F61" s="12" t="s">
        <v>7</v>
      </c>
      <c r="G61" s="12" t="s">
        <v>8</v>
      </c>
      <c r="H61" s="86" t="s">
        <v>88</v>
      </c>
      <c r="I61" s="86"/>
      <c r="J61" s="122">
        <v>4470</v>
      </c>
      <c r="K61" s="75"/>
      <c r="L61" s="75"/>
      <c r="M61" s="122"/>
      <c r="N61" s="75" t="s">
        <v>1390</v>
      </c>
      <c r="O61" s="75">
        <v>1320</v>
      </c>
      <c r="P61" s="122">
        <v>1320</v>
      </c>
      <c r="Q61" s="75" t="s">
        <v>1391</v>
      </c>
      <c r="R61" s="75">
        <f>1050+1050</f>
        <v>2100</v>
      </c>
      <c r="S61" s="122">
        <f>1050+1050</f>
        <v>2100</v>
      </c>
      <c r="T61" s="75" t="s">
        <v>1392</v>
      </c>
      <c r="U61" s="75">
        <v>1050</v>
      </c>
      <c r="V61" s="122">
        <v>1050</v>
      </c>
      <c r="W61" s="93"/>
      <c r="X61" s="75"/>
      <c r="Y61" s="122"/>
      <c r="Z61" s="75"/>
      <c r="AA61" s="75"/>
      <c r="AB61" s="75"/>
      <c r="AC61" s="116">
        <f t="shared" si="2"/>
        <v>0</v>
      </c>
      <c r="AD61" s="116">
        <f t="shared" si="0"/>
        <v>0</v>
      </c>
      <c r="AE61" s="115">
        <f t="shared" si="1"/>
        <v>4470</v>
      </c>
      <c r="AF61" s="76" t="s">
        <v>570</v>
      </c>
      <c r="AG61" s="286">
        <f>4470-1320-2100-1050</f>
        <v>0</v>
      </c>
    </row>
    <row r="62" spans="1:34" s="119" customFormat="1" x14ac:dyDescent="0.3">
      <c r="A62" s="12">
        <v>58</v>
      </c>
      <c r="B62" s="67" t="s">
        <v>93</v>
      </c>
      <c r="C62" s="66" t="s">
        <v>1868</v>
      </c>
      <c r="D62" s="150" t="s">
        <v>94</v>
      </c>
      <c r="E62" s="150" t="s">
        <v>1869</v>
      </c>
      <c r="F62" s="66" t="s">
        <v>113</v>
      </c>
      <c r="G62" s="66" t="s">
        <v>8</v>
      </c>
      <c r="H62" s="67" t="s">
        <v>379</v>
      </c>
      <c r="I62" s="67" t="s">
        <v>430</v>
      </c>
      <c r="J62" s="123">
        <v>3800</v>
      </c>
      <c r="K62" s="117">
        <v>0</v>
      </c>
      <c r="L62" s="117">
        <v>0</v>
      </c>
      <c r="M62" s="123">
        <v>0</v>
      </c>
      <c r="N62" s="117">
        <v>0</v>
      </c>
      <c r="O62" s="117">
        <v>0</v>
      </c>
      <c r="P62" s="123">
        <v>0</v>
      </c>
      <c r="Q62" s="117">
        <v>0</v>
      </c>
      <c r="R62" s="117">
        <v>0</v>
      </c>
      <c r="S62" s="123">
        <v>0</v>
      </c>
      <c r="T62" s="117" t="s">
        <v>876</v>
      </c>
      <c r="U62" s="117">
        <f>1050+1050</f>
        <v>2100</v>
      </c>
      <c r="V62" s="123">
        <f>1050+1050</f>
        <v>2100</v>
      </c>
      <c r="W62" s="116" t="s">
        <v>1393</v>
      </c>
      <c r="X62" s="117">
        <f>1000+700</f>
        <v>1700</v>
      </c>
      <c r="Y62" s="123">
        <f>1000+700</f>
        <v>1700</v>
      </c>
      <c r="Z62" s="117"/>
      <c r="AA62" s="117"/>
      <c r="AB62" s="117"/>
      <c r="AC62" s="116">
        <f t="shared" si="2"/>
        <v>0</v>
      </c>
      <c r="AD62" s="116">
        <f t="shared" si="0"/>
        <v>0</v>
      </c>
      <c r="AE62" s="115">
        <f t="shared" si="1"/>
        <v>3800</v>
      </c>
      <c r="AF62" s="422" t="s">
        <v>570</v>
      </c>
      <c r="AG62" s="287">
        <f>3800-2100-1700</f>
        <v>0</v>
      </c>
    </row>
    <row r="63" spans="1:34" x14ac:dyDescent="0.3">
      <c r="A63" s="12">
        <v>59</v>
      </c>
      <c r="B63" s="86" t="s">
        <v>95</v>
      </c>
      <c r="C63" s="12" t="s">
        <v>1870</v>
      </c>
      <c r="D63" s="129" t="s">
        <v>96</v>
      </c>
      <c r="E63" s="129" t="s">
        <v>1871</v>
      </c>
      <c r="F63" s="12" t="s">
        <v>113</v>
      </c>
      <c r="G63" s="12" t="s">
        <v>8</v>
      </c>
      <c r="H63" s="86" t="s">
        <v>437</v>
      </c>
      <c r="I63" s="86" t="s">
        <v>478</v>
      </c>
      <c r="J63" s="122">
        <v>6420</v>
      </c>
      <c r="K63" s="75"/>
      <c r="L63" s="75"/>
      <c r="M63" s="122"/>
      <c r="N63" s="75">
        <v>0</v>
      </c>
      <c r="O63" s="75">
        <v>0</v>
      </c>
      <c r="P63" s="122">
        <v>0</v>
      </c>
      <c r="Q63" s="75" t="s">
        <v>749</v>
      </c>
      <c r="R63" s="75">
        <f>1520+1250</f>
        <v>2770</v>
      </c>
      <c r="S63" s="122">
        <f>1520+1250</f>
        <v>2770</v>
      </c>
      <c r="T63" s="75" t="s">
        <v>750</v>
      </c>
      <c r="U63" s="75">
        <v>1250</v>
      </c>
      <c r="V63" s="122">
        <v>1250</v>
      </c>
      <c r="W63" s="93" t="s">
        <v>1394</v>
      </c>
      <c r="X63" s="75">
        <f>1200+1200</f>
        <v>2400</v>
      </c>
      <c r="Y63" s="122"/>
      <c r="Z63" s="75"/>
      <c r="AA63" s="75"/>
      <c r="AB63" s="75"/>
      <c r="AC63" s="116">
        <f t="shared" si="2"/>
        <v>2400</v>
      </c>
      <c r="AD63" s="116">
        <f t="shared" si="0"/>
        <v>0</v>
      </c>
      <c r="AE63" s="115">
        <f t="shared" si="1"/>
        <v>4020</v>
      </c>
      <c r="AF63" s="76"/>
      <c r="AG63" s="286">
        <f>6420-2770-1250-2400</f>
        <v>0</v>
      </c>
    </row>
    <row r="64" spans="1:34" x14ac:dyDescent="0.3">
      <c r="A64" s="11">
        <v>60</v>
      </c>
      <c r="B64" s="86" t="s">
        <v>185</v>
      </c>
      <c r="C64" s="12" t="s">
        <v>1872</v>
      </c>
      <c r="D64" s="129" t="s">
        <v>186</v>
      </c>
      <c r="E64" s="129" t="s">
        <v>1873</v>
      </c>
      <c r="F64" s="12" t="s">
        <v>7</v>
      </c>
      <c r="G64" s="12" t="s">
        <v>8</v>
      </c>
      <c r="H64" s="86" t="s">
        <v>293</v>
      </c>
      <c r="I64" s="86" t="s">
        <v>419</v>
      </c>
      <c r="J64" s="122">
        <v>4420</v>
      </c>
      <c r="K64" s="75"/>
      <c r="L64" s="75"/>
      <c r="M64" s="122"/>
      <c r="N64" s="75" t="s">
        <v>1395</v>
      </c>
      <c r="O64" s="75">
        <f>1105+1105</f>
        <v>2210</v>
      </c>
      <c r="P64" s="122">
        <f>1105+1105+1105+1105</f>
        <v>4420</v>
      </c>
      <c r="Q64" s="75"/>
      <c r="R64" s="75"/>
      <c r="S64" s="122"/>
      <c r="T64" s="75"/>
      <c r="U64" s="75"/>
      <c r="V64" s="122"/>
      <c r="W64" s="93"/>
      <c r="X64" s="75"/>
      <c r="Y64" s="122"/>
      <c r="Z64" s="75"/>
      <c r="AA64" s="75"/>
      <c r="AB64" s="75"/>
      <c r="AC64" s="116">
        <f t="shared" si="2"/>
        <v>0</v>
      </c>
      <c r="AD64" s="116">
        <f t="shared" si="0"/>
        <v>2210</v>
      </c>
      <c r="AE64" s="115">
        <f t="shared" si="1"/>
        <v>4420</v>
      </c>
      <c r="AF64" s="76"/>
      <c r="AG64" s="286">
        <f>4420-4420</f>
        <v>0</v>
      </c>
      <c r="AH64" s="27" t="s">
        <v>1373</v>
      </c>
    </row>
    <row r="65" spans="1:34" x14ac:dyDescent="0.3">
      <c r="A65" s="11">
        <v>61</v>
      </c>
      <c r="B65" s="86" t="s">
        <v>97</v>
      </c>
      <c r="C65" s="12" t="s">
        <v>1874</v>
      </c>
      <c r="D65" s="129" t="s">
        <v>98</v>
      </c>
      <c r="E65" s="129" t="s">
        <v>1875</v>
      </c>
      <c r="F65" s="12" t="s">
        <v>7</v>
      </c>
      <c r="G65" s="12" t="s">
        <v>8</v>
      </c>
      <c r="H65" s="86" t="s">
        <v>453</v>
      </c>
      <c r="I65" s="86" t="s">
        <v>484</v>
      </c>
      <c r="J65" s="122">
        <v>10000</v>
      </c>
      <c r="K65" s="75"/>
      <c r="L65" s="75"/>
      <c r="M65" s="122"/>
      <c r="N65" s="75"/>
      <c r="O65" s="75"/>
      <c r="P65" s="122"/>
      <c r="Q65" s="75"/>
      <c r="R65" s="75"/>
      <c r="S65" s="122"/>
      <c r="T65" s="75" t="s">
        <v>1396</v>
      </c>
      <c r="U65" s="75">
        <f>1320+1050+1050+1050</f>
        <v>4470</v>
      </c>
      <c r="V65" s="122">
        <f>1270+1000+1000+1050</f>
        <v>4320</v>
      </c>
      <c r="W65" s="93"/>
      <c r="X65" s="75"/>
      <c r="Y65" s="122"/>
      <c r="Z65" s="75"/>
      <c r="AA65" s="75"/>
      <c r="AB65" s="75"/>
      <c r="AC65" s="116">
        <f t="shared" si="2"/>
        <v>5680</v>
      </c>
      <c r="AD65" s="116">
        <f t="shared" si="0"/>
        <v>5530</v>
      </c>
      <c r="AE65" s="115">
        <f t="shared" si="1"/>
        <v>4320</v>
      </c>
      <c r="AF65" s="76"/>
      <c r="AG65" s="286">
        <f>10000-4320</f>
        <v>5680</v>
      </c>
    </row>
    <row r="66" spans="1:34" x14ac:dyDescent="0.3">
      <c r="A66" s="11">
        <v>62</v>
      </c>
      <c r="B66" s="86" t="s">
        <v>423</v>
      </c>
      <c r="C66" s="12" t="s">
        <v>1919</v>
      </c>
      <c r="D66" s="129" t="s">
        <v>424</v>
      </c>
      <c r="E66" s="129" t="s">
        <v>1920</v>
      </c>
      <c r="F66" s="12" t="s">
        <v>113</v>
      </c>
      <c r="G66" s="12" t="s">
        <v>8</v>
      </c>
      <c r="H66" s="86" t="s">
        <v>328</v>
      </c>
      <c r="I66" s="86" t="s">
        <v>419</v>
      </c>
      <c r="J66" s="122">
        <v>10000</v>
      </c>
      <c r="K66" s="75">
        <v>0</v>
      </c>
      <c r="L66" s="75">
        <v>0</v>
      </c>
      <c r="M66" s="122">
        <v>0</v>
      </c>
      <c r="N66" s="75">
        <v>0</v>
      </c>
      <c r="O66" s="75">
        <v>0</v>
      </c>
      <c r="P66" s="122">
        <v>0</v>
      </c>
      <c r="Q66" s="75">
        <v>0</v>
      </c>
      <c r="R66" s="75">
        <v>0</v>
      </c>
      <c r="S66" s="122">
        <v>0</v>
      </c>
      <c r="T66" s="75">
        <v>0</v>
      </c>
      <c r="U66" s="75">
        <v>0</v>
      </c>
      <c r="V66" s="122">
        <v>0</v>
      </c>
      <c r="W66" s="93" t="s">
        <v>1408</v>
      </c>
      <c r="X66" s="75">
        <f>5670+2150+1250+930</f>
        <v>10000</v>
      </c>
      <c r="Y66" s="122">
        <f>5670+2150+1250+930</f>
        <v>10000</v>
      </c>
      <c r="Z66" s="75"/>
      <c r="AA66" s="75"/>
      <c r="AB66" s="75"/>
      <c r="AC66" s="116">
        <f t="shared" si="2"/>
        <v>0</v>
      </c>
      <c r="AD66" s="116">
        <f t="shared" si="0"/>
        <v>0</v>
      </c>
      <c r="AE66" s="115">
        <f t="shared" si="1"/>
        <v>10000</v>
      </c>
      <c r="AF66" s="76" t="s">
        <v>570</v>
      </c>
      <c r="AG66" s="286">
        <f>10000-10000</f>
        <v>0</v>
      </c>
    </row>
    <row r="67" spans="1:34" s="119" customFormat="1" x14ac:dyDescent="0.3">
      <c r="A67" s="12">
        <v>63</v>
      </c>
      <c r="B67" s="67" t="s">
        <v>312</v>
      </c>
      <c r="C67" s="66" t="s">
        <v>1876</v>
      </c>
      <c r="D67" s="150" t="s">
        <v>881</v>
      </c>
      <c r="E67" s="150" t="s">
        <v>1877</v>
      </c>
      <c r="F67" s="66" t="s">
        <v>113</v>
      </c>
      <c r="G67" s="66" t="s">
        <v>8</v>
      </c>
      <c r="H67" s="67" t="s">
        <v>387</v>
      </c>
      <c r="I67" s="67" t="s">
        <v>419</v>
      </c>
      <c r="J67" s="123">
        <v>10000</v>
      </c>
      <c r="K67" s="117">
        <v>0</v>
      </c>
      <c r="L67" s="117">
        <v>0</v>
      </c>
      <c r="M67" s="123">
        <v>0</v>
      </c>
      <c r="N67" s="117">
        <v>0</v>
      </c>
      <c r="O67" s="117">
        <v>0</v>
      </c>
      <c r="P67" s="123">
        <v>0</v>
      </c>
      <c r="Q67" s="117">
        <v>0</v>
      </c>
      <c r="R67" s="117">
        <v>0</v>
      </c>
      <c r="S67" s="123">
        <v>0</v>
      </c>
      <c r="T67" s="117">
        <v>0</v>
      </c>
      <c r="U67" s="117">
        <v>0</v>
      </c>
      <c r="V67" s="123">
        <v>0</v>
      </c>
      <c r="W67" s="116" t="s">
        <v>1094</v>
      </c>
      <c r="X67" s="117">
        <f>5720+2150+1250</f>
        <v>9120</v>
      </c>
      <c r="Y67" s="123">
        <f>5670+2150+1250</f>
        <v>9070</v>
      </c>
      <c r="Z67" s="117" t="s">
        <v>2779</v>
      </c>
      <c r="AA67" s="117">
        <v>930</v>
      </c>
      <c r="AB67" s="117"/>
      <c r="AC67" s="116">
        <f t="shared" si="2"/>
        <v>930</v>
      </c>
      <c r="AD67" s="116">
        <f t="shared" si="0"/>
        <v>-50</v>
      </c>
      <c r="AE67" s="115">
        <f t="shared" si="1"/>
        <v>9070</v>
      </c>
      <c r="AF67" s="422" t="s">
        <v>570</v>
      </c>
      <c r="AG67" s="287">
        <f>10000-5670-2150-1250</f>
        <v>930</v>
      </c>
    </row>
    <row r="68" spans="1:34" x14ac:dyDescent="0.3">
      <c r="A68" s="12">
        <v>64</v>
      </c>
      <c r="B68" s="86" t="s">
        <v>99</v>
      </c>
      <c r="C68" s="12" t="s">
        <v>1878</v>
      </c>
      <c r="D68" s="129" t="s">
        <v>100</v>
      </c>
      <c r="E68" s="129" t="s">
        <v>1879</v>
      </c>
      <c r="F68" s="12" t="s">
        <v>113</v>
      </c>
      <c r="G68" s="12" t="s">
        <v>8</v>
      </c>
      <c r="H68" s="86" t="s">
        <v>379</v>
      </c>
      <c r="I68" s="86" t="s">
        <v>498</v>
      </c>
      <c r="J68" s="122">
        <v>4900</v>
      </c>
      <c r="K68" s="75">
        <v>0</v>
      </c>
      <c r="L68" s="75">
        <v>0</v>
      </c>
      <c r="M68" s="122">
        <v>0</v>
      </c>
      <c r="N68" s="75">
        <v>0</v>
      </c>
      <c r="O68" s="75">
        <v>0</v>
      </c>
      <c r="P68" s="122">
        <v>0</v>
      </c>
      <c r="Q68" s="75" t="s">
        <v>861</v>
      </c>
      <c r="R68" s="75">
        <v>1250</v>
      </c>
      <c r="S68" s="122">
        <v>1250</v>
      </c>
      <c r="T68" s="75" t="s">
        <v>862</v>
      </c>
      <c r="U68" s="75">
        <v>1250</v>
      </c>
      <c r="V68" s="122">
        <v>1250</v>
      </c>
      <c r="W68" s="93" t="s">
        <v>1096</v>
      </c>
      <c r="X68" s="75">
        <f>1200+1200</f>
        <v>2400</v>
      </c>
      <c r="Y68" s="122"/>
      <c r="Z68" s="75"/>
      <c r="AA68" s="75"/>
      <c r="AB68" s="75"/>
      <c r="AC68" s="116">
        <f t="shared" si="2"/>
        <v>2400</v>
      </c>
      <c r="AD68" s="116">
        <f t="shared" si="0"/>
        <v>0</v>
      </c>
      <c r="AE68" s="115">
        <f t="shared" si="1"/>
        <v>2500</v>
      </c>
      <c r="AF68" s="76" t="s">
        <v>570</v>
      </c>
      <c r="AG68" s="286">
        <f>4900-1250-1250-2400</f>
        <v>0</v>
      </c>
    </row>
    <row r="69" spans="1:34" s="119" customFormat="1" x14ac:dyDescent="0.3">
      <c r="A69" s="11">
        <v>65</v>
      </c>
      <c r="B69" s="67" t="s">
        <v>191</v>
      </c>
      <c r="C69" s="66" t="s">
        <v>1880</v>
      </c>
      <c r="D69" s="150" t="s">
        <v>192</v>
      </c>
      <c r="E69" s="150" t="s">
        <v>1881</v>
      </c>
      <c r="F69" s="66" t="s">
        <v>7</v>
      </c>
      <c r="G69" s="66" t="s">
        <v>8</v>
      </c>
      <c r="H69" s="67" t="s">
        <v>435</v>
      </c>
      <c r="I69" s="67" t="s">
        <v>436</v>
      </c>
      <c r="J69" s="123">
        <v>4420</v>
      </c>
      <c r="K69" s="117"/>
      <c r="L69" s="117"/>
      <c r="M69" s="123"/>
      <c r="N69" s="117" t="s">
        <v>758</v>
      </c>
      <c r="O69" s="117">
        <f>1105+1105</f>
        <v>2210</v>
      </c>
      <c r="P69" s="123">
        <f>1105+1105</f>
        <v>2210</v>
      </c>
      <c r="Q69" s="117" t="s">
        <v>759</v>
      </c>
      <c r="R69" s="117">
        <f>1105+1105</f>
        <v>2210</v>
      </c>
      <c r="S69" s="123">
        <f>1105+1105</f>
        <v>2210</v>
      </c>
      <c r="T69" s="117">
        <v>0</v>
      </c>
      <c r="U69" s="117">
        <v>0</v>
      </c>
      <c r="V69" s="123">
        <v>0</v>
      </c>
      <c r="W69" s="116">
        <v>0</v>
      </c>
      <c r="X69" s="117">
        <v>0</v>
      </c>
      <c r="Y69" s="123">
        <v>0</v>
      </c>
      <c r="Z69" s="117"/>
      <c r="AA69" s="117"/>
      <c r="AB69" s="117"/>
      <c r="AC69" s="116">
        <f t="shared" si="2"/>
        <v>0</v>
      </c>
      <c r="AD69" s="116">
        <f t="shared" si="0"/>
        <v>0</v>
      </c>
      <c r="AE69" s="115">
        <f t="shared" si="1"/>
        <v>4420</v>
      </c>
      <c r="AF69" s="422" t="s">
        <v>570</v>
      </c>
      <c r="AG69" s="287">
        <f>4420-2210-2210</f>
        <v>0</v>
      </c>
      <c r="AH69" s="119" t="s">
        <v>738</v>
      </c>
    </row>
    <row r="70" spans="1:34" x14ac:dyDescent="0.3">
      <c r="A70" s="11">
        <v>66</v>
      </c>
      <c r="B70" s="86" t="s">
        <v>290</v>
      </c>
      <c r="C70" s="12" t="s">
        <v>1882</v>
      </c>
      <c r="D70" s="129" t="s">
        <v>2763</v>
      </c>
      <c r="E70" s="129" t="s">
        <v>1883</v>
      </c>
      <c r="F70" s="12" t="s">
        <v>113</v>
      </c>
      <c r="G70" s="12" t="s">
        <v>8</v>
      </c>
      <c r="H70" s="86" t="s">
        <v>387</v>
      </c>
      <c r="I70" s="86" t="s">
        <v>419</v>
      </c>
      <c r="J70" s="122">
        <v>10000</v>
      </c>
      <c r="K70" s="75">
        <v>0</v>
      </c>
      <c r="L70" s="75">
        <v>0</v>
      </c>
      <c r="M70" s="122">
        <v>0</v>
      </c>
      <c r="N70" s="75">
        <v>0</v>
      </c>
      <c r="O70" s="75">
        <v>0</v>
      </c>
      <c r="P70" s="122">
        <v>0</v>
      </c>
      <c r="Q70" s="75">
        <v>0</v>
      </c>
      <c r="R70" s="75">
        <v>0</v>
      </c>
      <c r="S70" s="122">
        <v>0</v>
      </c>
      <c r="T70" s="75">
        <v>0</v>
      </c>
      <c r="U70" s="75">
        <v>0</v>
      </c>
      <c r="V70" s="122">
        <v>0</v>
      </c>
      <c r="W70" s="93" t="s">
        <v>596</v>
      </c>
      <c r="X70" s="75">
        <v>5720</v>
      </c>
      <c r="Y70" s="122">
        <v>5670</v>
      </c>
      <c r="Z70" s="75"/>
      <c r="AA70" s="75"/>
      <c r="AB70" s="75"/>
      <c r="AC70" s="116">
        <f t="shared" si="2"/>
        <v>4330</v>
      </c>
      <c r="AD70" s="116">
        <f t="shared" ref="AD70:AD108" si="3">J70-O70-R70-U70-X70-AA70</f>
        <v>4280</v>
      </c>
      <c r="AE70" s="115">
        <f t="shared" ref="AE70:AE108" si="4">P70+S70+V70+Y70+AB70</f>
        <v>5670</v>
      </c>
      <c r="AF70" s="76"/>
      <c r="AG70" s="286">
        <f>10000-5670</f>
        <v>4330</v>
      </c>
    </row>
    <row r="71" spans="1:34" x14ac:dyDescent="0.3">
      <c r="A71" s="11">
        <v>67</v>
      </c>
      <c r="B71" s="86" t="s">
        <v>441</v>
      </c>
      <c r="C71" s="12" t="s">
        <v>1925</v>
      </c>
      <c r="D71" s="129" t="s">
        <v>442</v>
      </c>
      <c r="E71" s="129" t="s">
        <v>1926</v>
      </c>
      <c r="F71" s="12" t="s">
        <v>7</v>
      </c>
      <c r="G71" s="12" t="s">
        <v>8</v>
      </c>
      <c r="H71" s="86" t="s">
        <v>440</v>
      </c>
      <c r="I71" s="86" t="s">
        <v>419</v>
      </c>
      <c r="J71" s="122">
        <v>10000</v>
      </c>
      <c r="K71" s="75"/>
      <c r="L71" s="75"/>
      <c r="M71" s="122"/>
      <c r="N71" s="75"/>
      <c r="O71" s="75"/>
      <c r="P71" s="122"/>
      <c r="Q71" s="75" t="s">
        <v>1410</v>
      </c>
      <c r="R71" s="75">
        <f>1250+1250</f>
        <v>2500</v>
      </c>
      <c r="S71" s="122">
        <f>1250+1250</f>
        <v>2500</v>
      </c>
      <c r="T71" s="75" t="s">
        <v>1411</v>
      </c>
      <c r="U71" s="75">
        <v>1250</v>
      </c>
      <c r="V71" s="122">
        <v>1250</v>
      </c>
      <c r="W71" s="93"/>
      <c r="X71" s="75"/>
      <c r="Y71" s="122"/>
      <c r="Z71" s="75"/>
      <c r="AA71" s="75"/>
      <c r="AB71" s="75"/>
      <c r="AC71" s="116">
        <f t="shared" si="2"/>
        <v>6250</v>
      </c>
      <c r="AD71" s="116">
        <f t="shared" si="3"/>
        <v>6250</v>
      </c>
      <c r="AE71" s="115">
        <f t="shared" si="4"/>
        <v>3750</v>
      </c>
      <c r="AF71" s="76"/>
      <c r="AG71" s="286">
        <f>10000-2500-1250</f>
        <v>6250</v>
      </c>
    </row>
    <row r="72" spans="1:34" x14ac:dyDescent="0.3">
      <c r="A72" s="12">
        <v>68</v>
      </c>
      <c r="B72" s="86" t="s">
        <v>611</v>
      </c>
      <c r="C72" s="12" t="s">
        <v>1952</v>
      </c>
      <c r="D72" s="131" t="s">
        <v>934</v>
      </c>
      <c r="E72" s="131" t="s">
        <v>1953</v>
      </c>
      <c r="F72" s="12" t="s">
        <v>113</v>
      </c>
      <c r="G72" s="12" t="s">
        <v>8</v>
      </c>
      <c r="H72" s="86" t="s">
        <v>503</v>
      </c>
      <c r="I72" s="86" t="s">
        <v>430</v>
      </c>
      <c r="J72" s="122">
        <v>10000</v>
      </c>
      <c r="K72" s="75">
        <v>0</v>
      </c>
      <c r="L72" s="75">
        <v>0</v>
      </c>
      <c r="M72" s="122">
        <v>0</v>
      </c>
      <c r="N72" s="75">
        <v>0</v>
      </c>
      <c r="O72" s="75">
        <v>0</v>
      </c>
      <c r="P72" s="122">
        <v>0</v>
      </c>
      <c r="Q72" s="75">
        <v>0</v>
      </c>
      <c r="R72" s="75">
        <v>0</v>
      </c>
      <c r="S72" s="122">
        <v>0</v>
      </c>
      <c r="T72" s="75">
        <v>0</v>
      </c>
      <c r="U72" s="75">
        <v>0</v>
      </c>
      <c r="V72" s="122">
        <v>0</v>
      </c>
      <c r="W72" s="40" t="s">
        <v>909</v>
      </c>
      <c r="X72" s="75">
        <v>5470</v>
      </c>
      <c r="Y72" s="122">
        <v>5470</v>
      </c>
      <c r="Z72" s="75"/>
      <c r="AA72" s="75"/>
      <c r="AB72" s="75"/>
      <c r="AC72" s="116">
        <f t="shared" si="2"/>
        <v>4530</v>
      </c>
      <c r="AD72" s="116">
        <f t="shared" si="3"/>
        <v>4530</v>
      </c>
      <c r="AE72" s="115">
        <f t="shared" si="4"/>
        <v>5470</v>
      </c>
      <c r="AF72" s="76"/>
      <c r="AG72" s="286">
        <f>10000-5470</f>
        <v>4530</v>
      </c>
    </row>
    <row r="73" spans="1:34" x14ac:dyDescent="0.3">
      <c r="A73" s="12">
        <v>69</v>
      </c>
      <c r="B73" s="86" t="s">
        <v>612</v>
      </c>
      <c r="C73" s="12" t="s">
        <v>1954</v>
      </c>
      <c r="D73" s="131" t="s">
        <v>935</v>
      </c>
      <c r="E73" s="131" t="s">
        <v>1955</v>
      </c>
      <c r="F73" s="12" t="s">
        <v>113</v>
      </c>
      <c r="G73" s="12" t="s">
        <v>8</v>
      </c>
      <c r="H73" s="86" t="s">
        <v>503</v>
      </c>
      <c r="I73" s="86" t="s">
        <v>430</v>
      </c>
      <c r="J73" s="122">
        <v>10000</v>
      </c>
      <c r="K73" s="75"/>
      <c r="L73" s="75"/>
      <c r="M73" s="122"/>
      <c r="N73" s="75">
        <v>0</v>
      </c>
      <c r="O73" s="75">
        <v>0</v>
      </c>
      <c r="P73" s="122">
        <v>0</v>
      </c>
      <c r="Q73" s="75">
        <v>0</v>
      </c>
      <c r="R73" s="75">
        <v>0</v>
      </c>
      <c r="S73" s="122">
        <v>0</v>
      </c>
      <c r="T73" s="75">
        <v>0</v>
      </c>
      <c r="U73" s="75">
        <v>0</v>
      </c>
      <c r="V73" s="122">
        <v>0</v>
      </c>
      <c r="W73" s="40" t="s">
        <v>908</v>
      </c>
      <c r="X73" s="75">
        <v>5470</v>
      </c>
      <c r="Y73" s="122">
        <v>5470</v>
      </c>
      <c r="Z73" s="75"/>
      <c r="AA73" s="75"/>
      <c r="AB73" s="75"/>
      <c r="AC73" s="116">
        <f t="shared" ref="AC73:AC108" si="5">J73-P73-S73-V73-Y73-AB73</f>
        <v>4530</v>
      </c>
      <c r="AD73" s="116">
        <f t="shared" si="3"/>
        <v>4530</v>
      </c>
      <c r="AE73" s="115">
        <f t="shared" si="4"/>
        <v>5470</v>
      </c>
      <c r="AF73" s="76"/>
      <c r="AG73" s="286">
        <f>10000-5470</f>
        <v>4530</v>
      </c>
      <c r="AH73" s="27" t="s">
        <v>2880</v>
      </c>
    </row>
    <row r="74" spans="1:34" x14ac:dyDescent="0.3">
      <c r="A74" s="11">
        <v>70</v>
      </c>
      <c r="B74" s="86" t="s">
        <v>613</v>
      </c>
      <c r="C74" s="12" t="s">
        <v>1956</v>
      </c>
      <c r="D74" s="131" t="s">
        <v>933</v>
      </c>
      <c r="E74" s="131" t="s">
        <v>1957</v>
      </c>
      <c r="F74" s="12" t="s">
        <v>113</v>
      </c>
      <c r="G74" s="12" t="s">
        <v>8</v>
      </c>
      <c r="H74" s="86" t="s">
        <v>503</v>
      </c>
      <c r="I74" s="86" t="s">
        <v>614</v>
      </c>
      <c r="J74" s="122">
        <v>10000</v>
      </c>
      <c r="K74" s="75"/>
      <c r="L74" s="75"/>
      <c r="M74" s="122"/>
      <c r="N74" s="75">
        <v>0</v>
      </c>
      <c r="O74" s="75">
        <v>0</v>
      </c>
      <c r="P74" s="122">
        <v>0</v>
      </c>
      <c r="Q74" s="75">
        <v>0</v>
      </c>
      <c r="R74" s="75">
        <v>0</v>
      </c>
      <c r="S74" s="122">
        <v>0</v>
      </c>
      <c r="T74" s="75">
        <v>0</v>
      </c>
      <c r="U74" s="75">
        <v>0</v>
      </c>
      <c r="V74" s="122">
        <v>0</v>
      </c>
      <c r="W74" s="40" t="s">
        <v>911</v>
      </c>
      <c r="X74" s="75">
        <v>5470</v>
      </c>
      <c r="Y74" s="122">
        <v>5470</v>
      </c>
      <c r="Z74" s="75"/>
      <c r="AA74" s="75"/>
      <c r="AB74" s="75"/>
      <c r="AC74" s="116">
        <f t="shared" si="5"/>
        <v>4530</v>
      </c>
      <c r="AD74" s="116">
        <f t="shared" si="3"/>
        <v>4530</v>
      </c>
      <c r="AE74" s="115">
        <f t="shared" si="4"/>
        <v>5470</v>
      </c>
      <c r="AF74" s="76"/>
      <c r="AG74" s="286">
        <f>10000-5470</f>
        <v>4530</v>
      </c>
    </row>
    <row r="75" spans="1:34" x14ac:dyDescent="0.3">
      <c r="A75" s="11">
        <v>71</v>
      </c>
      <c r="B75" s="86" t="s">
        <v>505</v>
      </c>
      <c r="C75" s="12" t="s">
        <v>1941</v>
      </c>
      <c r="D75" s="129" t="s">
        <v>506</v>
      </c>
      <c r="E75" s="129" t="s">
        <v>1942</v>
      </c>
      <c r="F75" s="12" t="s">
        <v>113</v>
      </c>
      <c r="G75" s="12" t="s">
        <v>8</v>
      </c>
      <c r="H75" s="86" t="s">
        <v>350</v>
      </c>
      <c r="I75" s="86" t="s">
        <v>419</v>
      </c>
      <c r="J75" s="122">
        <v>10000</v>
      </c>
      <c r="K75" s="75"/>
      <c r="L75" s="75"/>
      <c r="M75" s="122"/>
      <c r="N75" s="75">
        <v>0</v>
      </c>
      <c r="O75" s="75">
        <v>0</v>
      </c>
      <c r="P75" s="122">
        <v>0</v>
      </c>
      <c r="Q75" s="75">
        <v>0</v>
      </c>
      <c r="R75" s="75">
        <v>0</v>
      </c>
      <c r="S75" s="122">
        <v>0</v>
      </c>
      <c r="T75" s="75">
        <v>0</v>
      </c>
      <c r="U75" s="75">
        <v>0</v>
      </c>
      <c r="V75" s="122">
        <v>0</v>
      </c>
      <c r="W75" s="93" t="s">
        <v>925</v>
      </c>
      <c r="X75" s="75">
        <v>2350</v>
      </c>
      <c r="Y75" s="122">
        <v>2350</v>
      </c>
      <c r="Z75" s="75"/>
      <c r="AA75" s="75"/>
      <c r="AB75" s="75"/>
      <c r="AC75" s="116">
        <f t="shared" si="5"/>
        <v>7650</v>
      </c>
      <c r="AD75" s="116">
        <f t="shared" si="3"/>
        <v>7650</v>
      </c>
      <c r="AE75" s="115">
        <f t="shared" si="4"/>
        <v>2350</v>
      </c>
      <c r="AF75" s="76"/>
      <c r="AG75" s="286">
        <f>10000-2350</f>
        <v>7650</v>
      </c>
    </row>
    <row r="76" spans="1:34" x14ac:dyDescent="0.3">
      <c r="A76" s="11">
        <v>72</v>
      </c>
      <c r="B76" s="86" t="s">
        <v>651</v>
      </c>
      <c r="C76" s="12" t="s">
        <v>1960</v>
      </c>
      <c r="D76" s="131" t="s">
        <v>737</v>
      </c>
      <c r="E76" s="131" t="s">
        <v>1961</v>
      </c>
      <c r="F76" s="12" t="s">
        <v>113</v>
      </c>
      <c r="G76" s="12" t="s">
        <v>8</v>
      </c>
      <c r="H76" s="86" t="s">
        <v>503</v>
      </c>
      <c r="I76" s="86" t="s">
        <v>419</v>
      </c>
      <c r="J76" s="122">
        <v>10000</v>
      </c>
      <c r="K76" s="75"/>
      <c r="L76" s="75"/>
      <c r="M76" s="122"/>
      <c r="N76" s="75">
        <v>0</v>
      </c>
      <c r="O76" s="75">
        <v>0</v>
      </c>
      <c r="P76" s="122">
        <v>0</v>
      </c>
      <c r="Q76" s="75">
        <v>0</v>
      </c>
      <c r="R76" s="75">
        <v>0</v>
      </c>
      <c r="S76" s="122">
        <v>0</v>
      </c>
      <c r="T76" s="75">
        <v>0</v>
      </c>
      <c r="U76" s="75">
        <v>0</v>
      </c>
      <c r="V76" s="122">
        <v>0</v>
      </c>
      <c r="W76" s="40" t="s">
        <v>915</v>
      </c>
      <c r="X76" s="75">
        <v>5670</v>
      </c>
      <c r="Y76" s="122">
        <v>5670</v>
      </c>
      <c r="Z76" s="75"/>
      <c r="AA76" s="75"/>
      <c r="AB76" s="75"/>
      <c r="AC76" s="116">
        <f t="shared" si="5"/>
        <v>4330</v>
      </c>
      <c r="AD76" s="116">
        <f t="shared" si="3"/>
        <v>4330</v>
      </c>
      <c r="AE76" s="115">
        <f t="shared" si="4"/>
        <v>5670</v>
      </c>
      <c r="AF76" s="76"/>
      <c r="AG76" s="286">
        <f>10000-5670</f>
        <v>4330</v>
      </c>
    </row>
    <row r="77" spans="1:34" x14ac:dyDescent="0.3">
      <c r="A77" s="12">
        <v>73</v>
      </c>
      <c r="B77" s="86" t="s">
        <v>725</v>
      </c>
      <c r="C77" s="12" t="s">
        <v>1964</v>
      </c>
      <c r="D77" s="131" t="s">
        <v>726</v>
      </c>
      <c r="E77" s="131" t="s">
        <v>1965</v>
      </c>
      <c r="F77" s="12" t="s">
        <v>113</v>
      </c>
      <c r="G77" s="12" t="s">
        <v>8</v>
      </c>
      <c r="H77" s="86" t="s">
        <v>503</v>
      </c>
      <c r="I77" s="86" t="s">
        <v>445</v>
      </c>
      <c r="J77" s="122">
        <v>10000</v>
      </c>
      <c r="K77" s="75">
        <v>0</v>
      </c>
      <c r="L77" s="75">
        <v>0</v>
      </c>
      <c r="M77" s="122">
        <v>0</v>
      </c>
      <c r="N77" s="75">
        <v>0</v>
      </c>
      <c r="O77" s="75">
        <v>0</v>
      </c>
      <c r="P77" s="122">
        <v>0</v>
      </c>
      <c r="Q77" s="75">
        <v>0</v>
      </c>
      <c r="R77" s="75">
        <v>0</v>
      </c>
      <c r="S77" s="122">
        <v>0</v>
      </c>
      <c r="T77" s="75">
        <v>0</v>
      </c>
      <c r="U77" s="75">
        <v>0</v>
      </c>
      <c r="V77" s="122">
        <v>0</v>
      </c>
      <c r="W77" s="40" t="s">
        <v>919</v>
      </c>
      <c r="X77" s="75">
        <v>5470</v>
      </c>
      <c r="Y77" s="122">
        <v>5470</v>
      </c>
      <c r="Z77" s="75"/>
      <c r="AA77" s="75"/>
      <c r="AB77" s="75"/>
      <c r="AC77" s="116">
        <f t="shared" si="5"/>
        <v>4530</v>
      </c>
      <c r="AD77" s="116">
        <f t="shared" si="3"/>
        <v>4530</v>
      </c>
      <c r="AE77" s="115">
        <f t="shared" si="4"/>
        <v>5470</v>
      </c>
      <c r="AF77" s="76"/>
      <c r="AG77" s="286">
        <f>10000-5470</f>
        <v>4530</v>
      </c>
    </row>
    <row r="78" spans="1:34" x14ac:dyDescent="0.3">
      <c r="A78" s="12">
        <v>74</v>
      </c>
      <c r="B78" s="86" t="s">
        <v>579</v>
      </c>
      <c r="C78" s="12" t="s">
        <v>1949</v>
      </c>
      <c r="D78" s="131" t="s">
        <v>905</v>
      </c>
      <c r="E78" s="131" t="s">
        <v>1949</v>
      </c>
      <c r="F78" s="12" t="s">
        <v>113</v>
      </c>
      <c r="G78" s="12" t="s">
        <v>8</v>
      </c>
      <c r="H78" s="86" t="s">
        <v>503</v>
      </c>
      <c r="I78" s="86" t="s">
        <v>430</v>
      </c>
      <c r="J78" s="122">
        <v>10000</v>
      </c>
      <c r="K78" s="75"/>
      <c r="L78" s="75"/>
      <c r="M78" s="122"/>
      <c r="N78" s="75">
        <v>0</v>
      </c>
      <c r="O78" s="75">
        <v>0</v>
      </c>
      <c r="P78" s="122">
        <v>0</v>
      </c>
      <c r="Q78" s="75">
        <v>0</v>
      </c>
      <c r="R78" s="75">
        <v>0</v>
      </c>
      <c r="S78" s="122">
        <v>0</v>
      </c>
      <c r="T78" s="75">
        <v>0</v>
      </c>
      <c r="U78" s="75">
        <v>0</v>
      </c>
      <c r="V78" s="122">
        <v>0</v>
      </c>
      <c r="W78" s="93" t="s">
        <v>623</v>
      </c>
      <c r="X78" s="75">
        <v>5470</v>
      </c>
      <c r="Y78" s="122">
        <v>5470</v>
      </c>
      <c r="Z78" s="75"/>
      <c r="AA78" s="75"/>
      <c r="AB78" s="75"/>
      <c r="AC78" s="116">
        <f t="shared" si="5"/>
        <v>4530</v>
      </c>
      <c r="AD78" s="116">
        <f t="shared" si="3"/>
        <v>4530</v>
      </c>
      <c r="AE78" s="115">
        <f t="shared" si="4"/>
        <v>5470</v>
      </c>
      <c r="AF78" s="76"/>
      <c r="AG78" s="286">
        <f>10000-4530</f>
        <v>5470</v>
      </c>
    </row>
    <row r="79" spans="1:34" x14ac:dyDescent="0.3">
      <c r="A79" s="11">
        <v>75</v>
      </c>
      <c r="B79" s="86" t="s">
        <v>2039</v>
      </c>
      <c r="C79" s="12" t="s">
        <v>2034</v>
      </c>
      <c r="D79" s="131" t="s">
        <v>2033</v>
      </c>
      <c r="E79" s="131" t="s">
        <v>2086</v>
      </c>
      <c r="F79" s="12" t="s">
        <v>7</v>
      </c>
      <c r="G79" s="12" t="s">
        <v>8</v>
      </c>
      <c r="H79" s="86" t="s">
        <v>2035</v>
      </c>
      <c r="I79" s="86" t="s">
        <v>2003</v>
      </c>
      <c r="J79" s="122">
        <v>3315</v>
      </c>
      <c r="K79" s="75" t="s">
        <v>2084</v>
      </c>
      <c r="L79" s="75">
        <f>1105+1105</f>
        <v>2210</v>
      </c>
      <c r="M79" s="122"/>
      <c r="N79" s="75" t="s">
        <v>2085</v>
      </c>
      <c r="O79" s="75">
        <v>1105</v>
      </c>
      <c r="P79" s="122">
        <v>1105</v>
      </c>
      <c r="Q79" s="75"/>
      <c r="R79" s="75"/>
      <c r="S79" s="122"/>
      <c r="T79" s="75"/>
      <c r="U79" s="75"/>
      <c r="V79" s="122"/>
      <c r="W79" s="93"/>
      <c r="X79" s="75"/>
      <c r="Y79" s="122"/>
      <c r="Z79" s="75"/>
      <c r="AA79" s="75"/>
      <c r="AB79" s="75"/>
      <c r="AC79" s="116">
        <f t="shared" si="5"/>
        <v>2210</v>
      </c>
      <c r="AD79" s="116">
        <f t="shared" si="3"/>
        <v>2210</v>
      </c>
      <c r="AE79" s="115">
        <f t="shared" si="4"/>
        <v>1105</v>
      </c>
      <c r="AF79" s="76"/>
      <c r="AG79" s="286"/>
    </row>
    <row r="80" spans="1:34" x14ac:dyDescent="0.3">
      <c r="A80" s="11">
        <v>76</v>
      </c>
      <c r="B80" s="86" t="s">
        <v>2038</v>
      </c>
      <c r="C80" s="12" t="s">
        <v>2044</v>
      </c>
      <c r="D80" s="131" t="s">
        <v>2037</v>
      </c>
      <c r="E80" s="12" t="s">
        <v>2036</v>
      </c>
      <c r="F80" s="12" t="s">
        <v>7</v>
      </c>
      <c r="G80" s="12" t="s">
        <v>8</v>
      </c>
      <c r="H80" s="86" t="s">
        <v>2008</v>
      </c>
      <c r="I80" s="86" t="s">
        <v>477</v>
      </c>
      <c r="J80" s="122">
        <v>4420</v>
      </c>
      <c r="K80" s="75"/>
      <c r="L80" s="75"/>
      <c r="M80" s="122"/>
      <c r="N80" s="75" t="s">
        <v>2087</v>
      </c>
      <c r="O80" s="75">
        <f>1105+1105</f>
        <v>2210</v>
      </c>
      <c r="P80" s="122">
        <f>1105+1105+1105</f>
        <v>3315</v>
      </c>
      <c r="Q80" s="75" t="s">
        <v>2088</v>
      </c>
      <c r="R80" s="75">
        <v>1105</v>
      </c>
      <c r="S80" s="122">
        <v>1105</v>
      </c>
      <c r="T80" s="75"/>
      <c r="U80" s="75"/>
      <c r="V80" s="122"/>
      <c r="W80" s="93"/>
      <c r="X80" s="75"/>
      <c r="Y80" s="122"/>
      <c r="Z80" s="75"/>
      <c r="AA80" s="75"/>
      <c r="AB80" s="75"/>
      <c r="AC80" s="116">
        <f t="shared" si="5"/>
        <v>0</v>
      </c>
      <c r="AD80" s="116">
        <f t="shared" si="3"/>
        <v>1105</v>
      </c>
      <c r="AE80" s="115">
        <f t="shared" si="4"/>
        <v>4420</v>
      </c>
      <c r="AF80" s="76"/>
      <c r="AG80" s="286"/>
    </row>
    <row r="81" spans="1:34" x14ac:dyDescent="0.3">
      <c r="A81" s="11">
        <v>77</v>
      </c>
      <c r="B81" s="86" t="s">
        <v>2042</v>
      </c>
      <c r="C81" s="12" t="s">
        <v>2043</v>
      </c>
      <c r="D81" s="131" t="s">
        <v>2041</v>
      </c>
      <c r="E81" s="131" t="s">
        <v>2040</v>
      </c>
      <c r="F81" s="12" t="s">
        <v>7</v>
      </c>
      <c r="G81" s="12" t="s">
        <v>8</v>
      </c>
      <c r="H81" s="86" t="s">
        <v>2008</v>
      </c>
      <c r="I81" s="86" t="s">
        <v>2045</v>
      </c>
      <c r="J81" s="122">
        <v>3315</v>
      </c>
      <c r="K81" s="75"/>
      <c r="L81" s="75"/>
      <c r="M81" s="122"/>
      <c r="N81" s="75" t="s">
        <v>2089</v>
      </c>
      <c r="O81" s="75">
        <f>1105+1105</f>
        <v>2210</v>
      </c>
      <c r="P81" s="122">
        <f>1105+1105</f>
        <v>2210</v>
      </c>
      <c r="Q81" s="75" t="s">
        <v>2090</v>
      </c>
      <c r="R81" s="75">
        <v>1105</v>
      </c>
      <c r="S81" s="122">
        <v>1105</v>
      </c>
      <c r="T81" s="75"/>
      <c r="U81" s="75"/>
      <c r="V81" s="122"/>
      <c r="W81" s="93"/>
      <c r="X81" s="75"/>
      <c r="Y81" s="122"/>
      <c r="Z81" s="75"/>
      <c r="AA81" s="75"/>
      <c r="AB81" s="75"/>
      <c r="AC81" s="116">
        <f t="shared" si="5"/>
        <v>0</v>
      </c>
      <c r="AD81" s="116">
        <f t="shared" si="3"/>
        <v>0</v>
      </c>
      <c r="AE81" s="115">
        <f t="shared" si="4"/>
        <v>3315</v>
      </c>
      <c r="AF81" s="76"/>
      <c r="AG81" s="286"/>
    </row>
    <row r="82" spans="1:34" x14ac:dyDescent="0.3">
      <c r="A82" s="12">
        <v>78</v>
      </c>
      <c r="B82" s="86" t="s">
        <v>638</v>
      </c>
      <c r="C82" s="12" t="s">
        <v>1958</v>
      </c>
      <c r="D82" s="131" t="s">
        <v>931</v>
      </c>
      <c r="E82" s="131" t="s">
        <v>1959</v>
      </c>
      <c r="F82" s="12" t="s">
        <v>113</v>
      </c>
      <c r="G82" s="12" t="s">
        <v>8</v>
      </c>
      <c r="H82" s="86" t="s">
        <v>639</v>
      </c>
      <c r="I82" s="86" t="s">
        <v>430</v>
      </c>
      <c r="J82" s="122">
        <v>5150</v>
      </c>
      <c r="K82" s="75"/>
      <c r="L82" s="75"/>
      <c r="M82" s="122"/>
      <c r="N82" s="75">
        <v>0</v>
      </c>
      <c r="O82" s="75">
        <v>0</v>
      </c>
      <c r="P82" s="122">
        <v>0</v>
      </c>
      <c r="Q82" s="75">
        <v>0</v>
      </c>
      <c r="R82" s="75">
        <v>0</v>
      </c>
      <c r="S82" s="122">
        <v>0</v>
      </c>
      <c r="T82" s="75" t="s">
        <v>928</v>
      </c>
      <c r="U82" s="75">
        <v>2000</v>
      </c>
      <c r="V82" s="122">
        <v>2000</v>
      </c>
      <c r="W82" s="40" t="s">
        <v>929</v>
      </c>
      <c r="X82" s="75">
        <f>1050+1050</f>
        <v>2100</v>
      </c>
      <c r="Y82" s="122"/>
      <c r="Z82" s="75"/>
      <c r="AA82" s="75"/>
      <c r="AB82" s="75"/>
      <c r="AC82" s="116">
        <f t="shared" si="5"/>
        <v>3150</v>
      </c>
      <c r="AD82" s="116">
        <f t="shared" si="3"/>
        <v>1050</v>
      </c>
      <c r="AE82" s="115">
        <f t="shared" si="4"/>
        <v>2000</v>
      </c>
      <c r="AF82" s="76"/>
      <c r="AG82" s="286">
        <f>5150-2000-2100</f>
        <v>1050</v>
      </c>
    </row>
    <row r="83" spans="1:34" s="119" customFormat="1" x14ac:dyDescent="0.3">
      <c r="A83" s="12">
        <v>79</v>
      </c>
      <c r="B83" s="67" t="s">
        <v>782</v>
      </c>
      <c r="C83" s="66" t="s">
        <v>1972</v>
      </c>
      <c r="D83" s="171" t="s">
        <v>783</v>
      </c>
      <c r="E83" s="171" t="s">
        <v>1973</v>
      </c>
      <c r="F83" s="66" t="s">
        <v>7</v>
      </c>
      <c r="G83" s="66" t="s">
        <v>8</v>
      </c>
      <c r="H83" s="67" t="s">
        <v>440</v>
      </c>
      <c r="I83" s="67" t="s">
        <v>419</v>
      </c>
      <c r="J83" s="123">
        <v>3750</v>
      </c>
      <c r="K83" s="117"/>
      <c r="L83" s="117"/>
      <c r="M83" s="123"/>
      <c r="N83" s="117">
        <v>0</v>
      </c>
      <c r="O83" s="117">
        <v>0</v>
      </c>
      <c r="P83" s="123">
        <v>0</v>
      </c>
      <c r="Q83" s="117" t="s">
        <v>784</v>
      </c>
      <c r="R83" s="117">
        <f>1250+1250</f>
        <v>2500</v>
      </c>
      <c r="S83" s="123">
        <f>1250+1250</f>
        <v>2500</v>
      </c>
      <c r="T83" s="117" t="s">
        <v>785</v>
      </c>
      <c r="U83" s="117">
        <v>1250</v>
      </c>
      <c r="V83" s="123">
        <v>1250</v>
      </c>
      <c r="W83" s="151"/>
      <c r="X83" s="117"/>
      <c r="Y83" s="123"/>
      <c r="Z83" s="117"/>
      <c r="AA83" s="117"/>
      <c r="AB83" s="117"/>
      <c r="AC83" s="116">
        <f t="shared" si="5"/>
        <v>0</v>
      </c>
      <c r="AD83" s="116">
        <f t="shared" si="3"/>
        <v>0</v>
      </c>
      <c r="AE83" s="115">
        <f t="shared" si="4"/>
        <v>3750</v>
      </c>
      <c r="AF83" s="422" t="s">
        <v>570</v>
      </c>
      <c r="AG83" s="287">
        <f>3750-2500-1250</f>
        <v>0</v>
      </c>
      <c r="AH83" s="119" t="s">
        <v>738</v>
      </c>
    </row>
    <row r="84" spans="1:34" x14ac:dyDescent="0.3">
      <c r="A84" s="11">
        <v>80</v>
      </c>
      <c r="B84" s="86" t="s">
        <v>101</v>
      </c>
      <c r="C84" s="12" t="s">
        <v>1884</v>
      </c>
      <c r="D84" s="129" t="s">
        <v>670</v>
      </c>
      <c r="E84" s="129" t="s">
        <v>1885</v>
      </c>
      <c r="F84" s="12" t="s">
        <v>113</v>
      </c>
      <c r="G84" s="12" t="s">
        <v>8</v>
      </c>
      <c r="H84" s="86" t="s">
        <v>394</v>
      </c>
      <c r="I84" s="86" t="s">
        <v>419</v>
      </c>
      <c r="J84" s="122">
        <v>10000</v>
      </c>
      <c r="K84" s="75"/>
      <c r="L84" s="75"/>
      <c r="M84" s="122"/>
      <c r="N84" s="75">
        <v>0</v>
      </c>
      <c r="O84" s="75">
        <v>0</v>
      </c>
      <c r="P84" s="122">
        <v>0</v>
      </c>
      <c r="Q84" s="75" t="s">
        <v>671</v>
      </c>
      <c r="R84" s="75">
        <v>5720</v>
      </c>
      <c r="S84" s="122">
        <v>5670</v>
      </c>
      <c r="T84" s="75" t="s">
        <v>672</v>
      </c>
      <c r="U84" s="75">
        <v>2200</v>
      </c>
      <c r="V84" s="122">
        <v>2200</v>
      </c>
      <c r="W84" s="93" t="s">
        <v>673</v>
      </c>
      <c r="X84" s="75">
        <v>1250</v>
      </c>
      <c r="Y84" s="122">
        <v>1200</v>
      </c>
      <c r="Z84" s="75"/>
      <c r="AA84" s="75"/>
      <c r="AB84" s="75"/>
      <c r="AC84" s="116">
        <f t="shared" si="5"/>
        <v>930</v>
      </c>
      <c r="AD84" s="116">
        <f t="shared" si="3"/>
        <v>830</v>
      </c>
      <c r="AE84" s="115">
        <f t="shared" si="4"/>
        <v>9070</v>
      </c>
      <c r="AF84" s="76"/>
      <c r="AG84" s="286">
        <f>10000-5670-2200-1200</f>
        <v>930</v>
      </c>
    </row>
    <row r="85" spans="1:34" s="119" customFormat="1" x14ac:dyDescent="0.3">
      <c r="A85" s="11">
        <v>81</v>
      </c>
      <c r="B85" s="67" t="s">
        <v>189</v>
      </c>
      <c r="C85" s="66" t="s">
        <v>1538</v>
      </c>
      <c r="D85" s="150" t="s">
        <v>190</v>
      </c>
      <c r="E85" s="150" t="s">
        <v>1537</v>
      </c>
      <c r="F85" s="66" t="s">
        <v>7</v>
      </c>
      <c r="G85" s="66" t="s">
        <v>8</v>
      </c>
      <c r="H85" s="67" t="s">
        <v>291</v>
      </c>
      <c r="I85" s="67"/>
      <c r="J85" s="123">
        <v>2715</v>
      </c>
      <c r="K85" s="117"/>
      <c r="L85" s="117"/>
      <c r="M85" s="123"/>
      <c r="N85" s="117" t="s">
        <v>760</v>
      </c>
      <c r="O85" s="117">
        <v>905</v>
      </c>
      <c r="P85" s="123">
        <v>905</v>
      </c>
      <c r="Q85" s="117" t="s">
        <v>761</v>
      </c>
      <c r="R85" s="117">
        <f>905+905</f>
        <v>1810</v>
      </c>
      <c r="S85" s="123">
        <f>905+905</f>
        <v>1810</v>
      </c>
      <c r="T85" s="117">
        <v>0</v>
      </c>
      <c r="U85" s="117">
        <v>0</v>
      </c>
      <c r="V85" s="123">
        <v>0</v>
      </c>
      <c r="W85" s="116">
        <v>0</v>
      </c>
      <c r="X85" s="117">
        <v>0</v>
      </c>
      <c r="Y85" s="123">
        <v>0</v>
      </c>
      <c r="Z85" s="117"/>
      <c r="AA85" s="117"/>
      <c r="AB85" s="117"/>
      <c r="AC85" s="116">
        <f t="shared" si="5"/>
        <v>0</v>
      </c>
      <c r="AD85" s="116">
        <f t="shared" si="3"/>
        <v>0</v>
      </c>
      <c r="AE85" s="115">
        <f t="shared" si="4"/>
        <v>2715</v>
      </c>
      <c r="AF85" s="422" t="s">
        <v>570</v>
      </c>
      <c r="AG85" s="287">
        <f>2715-905-1810</f>
        <v>0</v>
      </c>
    </row>
    <row r="86" spans="1:34" x14ac:dyDescent="0.3">
      <c r="A86" s="11">
        <v>82</v>
      </c>
      <c r="B86" s="86" t="s">
        <v>102</v>
      </c>
      <c r="C86" s="12" t="s">
        <v>1886</v>
      </c>
      <c r="D86" s="129" t="s">
        <v>103</v>
      </c>
      <c r="E86" s="129" t="s">
        <v>1887</v>
      </c>
      <c r="F86" s="12" t="s">
        <v>113</v>
      </c>
      <c r="G86" s="12" t="s">
        <v>8</v>
      </c>
      <c r="H86" s="86" t="s">
        <v>117</v>
      </c>
      <c r="I86" s="86" t="s">
        <v>422</v>
      </c>
      <c r="J86" s="122">
        <v>10000</v>
      </c>
      <c r="K86" s="75">
        <v>0</v>
      </c>
      <c r="L86" s="75">
        <v>0</v>
      </c>
      <c r="M86" s="122">
        <v>0</v>
      </c>
      <c r="N86" s="75">
        <v>0</v>
      </c>
      <c r="O86" s="75">
        <v>0</v>
      </c>
      <c r="P86" s="122">
        <v>0</v>
      </c>
      <c r="Q86" s="75">
        <v>0</v>
      </c>
      <c r="R86" s="75">
        <v>0</v>
      </c>
      <c r="S86" s="122">
        <v>0</v>
      </c>
      <c r="T86" s="75" t="s">
        <v>1346</v>
      </c>
      <c r="U86" s="75">
        <v>5220</v>
      </c>
      <c r="V86" s="122">
        <v>5220</v>
      </c>
      <c r="W86" s="93" t="s">
        <v>1397</v>
      </c>
      <c r="X86" s="75">
        <f>1950+1050+1050</f>
        <v>4050</v>
      </c>
      <c r="Y86" s="122">
        <f>1950+1050+1050</f>
        <v>4050</v>
      </c>
      <c r="Z86" s="75"/>
      <c r="AA86" s="75"/>
      <c r="AB86" s="75"/>
      <c r="AC86" s="116">
        <f t="shared" si="5"/>
        <v>730</v>
      </c>
      <c r="AD86" s="116">
        <f t="shared" si="3"/>
        <v>730</v>
      </c>
      <c r="AE86" s="115">
        <f t="shared" si="4"/>
        <v>9270</v>
      </c>
      <c r="AF86" s="76"/>
      <c r="AG86" s="286">
        <f>10000-5220-4050</f>
        <v>730</v>
      </c>
    </row>
    <row r="87" spans="1:34" s="60" customFormat="1" x14ac:dyDescent="0.3">
      <c r="A87" s="12">
        <v>83</v>
      </c>
      <c r="B87" s="273" t="s">
        <v>289</v>
      </c>
      <c r="C87" s="64" t="s">
        <v>1888</v>
      </c>
      <c r="D87" s="274" t="s">
        <v>586</v>
      </c>
      <c r="E87" s="274" t="s">
        <v>1889</v>
      </c>
      <c r="F87" s="64" t="s">
        <v>113</v>
      </c>
      <c r="G87" s="64" t="s">
        <v>8</v>
      </c>
      <c r="H87" s="273" t="s">
        <v>331</v>
      </c>
      <c r="I87" s="273" t="s">
        <v>419</v>
      </c>
      <c r="J87" s="277">
        <v>5670</v>
      </c>
      <c r="K87" s="276">
        <v>0</v>
      </c>
      <c r="L87" s="276">
        <v>0</v>
      </c>
      <c r="M87" s="277">
        <v>0</v>
      </c>
      <c r="N87" s="276">
        <v>0</v>
      </c>
      <c r="O87" s="276">
        <v>0</v>
      </c>
      <c r="P87" s="277">
        <v>0</v>
      </c>
      <c r="Q87" s="276">
        <v>0</v>
      </c>
      <c r="R87" s="276">
        <v>0</v>
      </c>
      <c r="S87" s="277">
        <v>0</v>
      </c>
      <c r="T87" s="276">
        <v>0</v>
      </c>
      <c r="U87" s="276">
        <v>0</v>
      </c>
      <c r="V87" s="277">
        <v>0</v>
      </c>
      <c r="W87" s="278" t="s">
        <v>597</v>
      </c>
      <c r="X87" s="276">
        <v>5720</v>
      </c>
      <c r="Y87" s="277">
        <v>5670</v>
      </c>
      <c r="Z87" s="276"/>
      <c r="AA87" s="276"/>
      <c r="AB87" s="276"/>
      <c r="AC87" s="116">
        <f t="shared" si="5"/>
        <v>0</v>
      </c>
      <c r="AD87" s="116">
        <f t="shared" si="3"/>
        <v>-50</v>
      </c>
      <c r="AE87" s="115">
        <f t="shared" si="4"/>
        <v>5670</v>
      </c>
      <c r="AF87" s="361" t="s">
        <v>2379</v>
      </c>
      <c r="AG87" s="288">
        <v>0</v>
      </c>
      <c r="AH87" s="60" t="s">
        <v>1225</v>
      </c>
    </row>
    <row r="88" spans="1:34" x14ac:dyDescent="0.3">
      <c r="A88" s="12">
        <v>84</v>
      </c>
      <c r="B88" s="86" t="s">
        <v>207</v>
      </c>
      <c r="C88" s="12" t="s">
        <v>1890</v>
      </c>
      <c r="D88" s="129" t="s">
        <v>856</v>
      </c>
      <c r="E88" s="129" t="s">
        <v>1891</v>
      </c>
      <c r="F88" s="12" t="s">
        <v>113</v>
      </c>
      <c r="G88" s="12" t="s">
        <v>8</v>
      </c>
      <c r="H88" s="86" t="s">
        <v>387</v>
      </c>
      <c r="I88" s="86" t="s">
        <v>419</v>
      </c>
      <c r="J88" s="122">
        <v>10000</v>
      </c>
      <c r="K88" s="75">
        <v>0</v>
      </c>
      <c r="L88" s="75">
        <v>0</v>
      </c>
      <c r="M88" s="122">
        <v>0</v>
      </c>
      <c r="N88" s="75">
        <v>0</v>
      </c>
      <c r="O88" s="75">
        <v>0</v>
      </c>
      <c r="P88" s="122">
        <v>0</v>
      </c>
      <c r="Q88" s="75">
        <v>0</v>
      </c>
      <c r="R88" s="75">
        <v>0</v>
      </c>
      <c r="S88" s="122">
        <v>0</v>
      </c>
      <c r="T88" s="75">
        <v>0</v>
      </c>
      <c r="U88" s="75">
        <v>0</v>
      </c>
      <c r="V88" s="122">
        <v>0</v>
      </c>
      <c r="W88" s="93" t="s">
        <v>1398</v>
      </c>
      <c r="X88" s="75">
        <f>5720+2150+1250</f>
        <v>9120</v>
      </c>
      <c r="Y88" s="122">
        <f>5670+2150+1250</f>
        <v>9070</v>
      </c>
      <c r="Z88" s="75"/>
      <c r="AA88" s="75"/>
      <c r="AB88" s="75"/>
      <c r="AC88" s="116">
        <f t="shared" si="5"/>
        <v>930</v>
      </c>
      <c r="AD88" s="116">
        <f t="shared" si="3"/>
        <v>880</v>
      </c>
      <c r="AE88" s="115">
        <f t="shared" si="4"/>
        <v>9070</v>
      </c>
      <c r="AF88" s="76"/>
      <c r="AG88" s="286">
        <f>10000-5670-2150-1250</f>
        <v>930</v>
      </c>
    </row>
    <row r="89" spans="1:34" x14ac:dyDescent="0.3">
      <c r="A89" s="11">
        <v>85</v>
      </c>
      <c r="B89" s="86" t="s">
        <v>429</v>
      </c>
      <c r="C89" s="12" t="s">
        <v>1921</v>
      </c>
      <c r="D89" s="129" t="s">
        <v>891</v>
      </c>
      <c r="E89" s="129" t="s">
        <v>1922</v>
      </c>
      <c r="F89" s="12" t="s">
        <v>113</v>
      </c>
      <c r="G89" s="12" t="s">
        <v>8</v>
      </c>
      <c r="H89" s="86" t="s">
        <v>350</v>
      </c>
      <c r="I89" s="86" t="s">
        <v>430</v>
      </c>
      <c r="J89" s="122">
        <v>4050</v>
      </c>
      <c r="K89" s="75">
        <v>0</v>
      </c>
      <c r="L89" s="75">
        <v>0</v>
      </c>
      <c r="M89" s="122">
        <v>0</v>
      </c>
      <c r="N89" s="75">
        <v>0</v>
      </c>
      <c r="O89" s="75">
        <v>0</v>
      </c>
      <c r="P89" s="122">
        <v>0</v>
      </c>
      <c r="Q89" s="75">
        <v>0</v>
      </c>
      <c r="R89" s="75">
        <v>0</v>
      </c>
      <c r="S89" s="122">
        <v>0</v>
      </c>
      <c r="T89" s="75">
        <v>0</v>
      </c>
      <c r="U89" s="75">
        <v>0</v>
      </c>
      <c r="V89" s="122">
        <v>0</v>
      </c>
      <c r="W89" s="93" t="s">
        <v>1409</v>
      </c>
      <c r="X89" s="75">
        <f>1950+1050</f>
        <v>3000</v>
      </c>
      <c r="Y89" s="122">
        <f>1950+1050</f>
        <v>3000</v>
      </c>
      <c r="Z89" s="75"/>
      <c r="AA89" s="75"/>
      <c r="AB89" s="75"/>
      <c r="AC89" s="116">
        <f t="shared" si="5"/>
        <v>1050</v>
      </c>
      <c r="AD89" s="116">
        <f t="shared" si="3"/>
        <v>1050</v>
      </c>
      <c r="AE89" s="115">
        <f t="shared" si="4"/>
        <v>3000</v>
      </c>
      <c r="AF89" s="76"/>
      <c r="AG89" s="286">
        <f>10000-1950-1050</f>
        <v>7000</v>
      </c>
    </row>
    <row r="90" spans="1:34" x14ac:dyDescent="0.3">
      <c r="A90" s="11">
        <v>86</v>
      </c>
      <c r="B90" s="86" t="s">
        <v>463</v>
      </c>
      <c r="C90" s="12" t="s">
        <v>1935</v>
      </c>
      <c r="D90" s="129" t="s">
        <v>464</v>
      </c>
      <c r="E90" s="129" t="s">
        <v>1936</v>
      </c>
      <c r="F90" s="12" t="s">
        <v>7</v>
      </c>
      <c r="G90" s="12" t="s">
        <v>8</v>
      </c>
      <c r="H90" s="86" t="s">
        <v>440</v>
      </c>
      <c r="I90" s="86" t="s">
        <v>465</v>
      </c>
      <c r="J90" s="122">
        <v>3150</v>
      </c>
      <c r="K90" s="75"/>
      <c r="L90" s="75"/>
      <c r="M90" s="122"/>
      <c r="N90" s="75"/>
      <c r="O90" s="75"/>
      <c r="P90" s="122"/>
      <c r="Q90" s="75" t="s">
        <v>1414</v>
      </c>
      <c r="R90" s="75">
        <f>1050+1050</f>
        <v>2100</v>
      </c>
      <c r="S90" s="122">
        <f>1050+1050</f>
        <v>2100</v>
      </c>
      <c r="T90" s="75" t="s">
        <v>1415</v>
      </c>
      <c r="U90" s="75">
        <v>1050</v>
      </c>
      <c r="V90" s="122">
        <v>1050</v>
      </c>
      <c r="W90" s="93"/>
      <c r="X90" s="75"/>
      <c r="Y90" s="122"/>
      <c r="Z90" s="75"/>
      <c r="AA90" s="75"/>
      <c r="AB90" s="75"/>
      <c r="AC90" s="116">
        <f t="shared" si="5"/>
        <v>0</v>
      </c>
      <c r="AD90" s="116">
        <f t="shared" si="3"/>
        <v>0</v>
      </c>
      <c r="AE90" s="115">
        <f t="shared" si="4"/>
        <v>3150</v>
      </c>
      <c r="AF90" s="76"/>
      <c r="AG90" s="286">
        <f>3150-2100-1050</f>
        <v>0</v>
      </c>
    </row>
    <row r="91" spans="1:34" x14ac:dyDescent="0.3">
      <c r="A91" s="11">
        <v>87</v>
      </c>
      <c r="B91" s="86" t="s">
        <v>528</v>
      </c>
      <c r="C91" s="12" t="s">
        <v>1943</v>
      </c>
      <c r="D91" s="129" t="s">
        <v>1050</v>
      </c>
      <c r="E91" s="129" t="s">
        <v>1944</v>
      </c>
      <c r="F91" s="12" t="s">
        <v>113</v>
      </c>
      <c r="G91" s="12" t="s">
        <v>8</v>
      </c>
      <c r="H91" s="86" t="s">
        <v>350</v>
      </c>
      <c r="I91" s="86" t="s">
        <v>419</v>
      </c>
      <c r="J91" s="122">
        <v>10000</v>
      </c>
      <c r="K91" s="75"/>
      <c r="L91" s="75"/>
      <c r="M91" s="122"/>
      <c r="N91" s="75">
        <v>0</v>
      </c>
      <c r="O91" s="75">
        <v>0</v>
      </c>
      <c r="P91" s="122">
        <v>0</v>
      </c>
      <c r="Q91" s="75">
        <v>0</v>
      </c>
      <c r="R91" s="75">
        <v>0</v>
      </c>
      <c r="S91" s="122">
        <v>0</v>
      </c>
      <c r="T91" s="75">
        <v>0</v>
      </c>
      <c r="U91" s="75">
        <v>0</v>
      </c>
      <c r="V91" s="122">
        <v>0</v>
      </c>
      <c r="W91" s="93" t="s">
        <v>621</v>
      </c>
      <c r="X91" s="75">
        <v>2350</v>
      </c>
      <c r="Y91" s="122">
        <v>2350</v>
      </c>
      <c r="Z91" s="75"/>
      <c r="AA91" s="75"/>
      <c r="AB91" s="75"/>
      <c r="AC91" s="116">
        <f t="shared" si="5"/>
        <v>7650</v>
      </c>
      <c r="AD91" s="116">
        <f t="shared" si="3"/>
        <v>7650</v>
      </c>
      <c r="AE91" s="115">
        <f t="shared" si="4"/>
        <v>2350</v>
      </c>
      <c r="AF91" s="76"/>
      <c r="AG91" s="286">
        <f>10000-2350</f>
        <v>7650</v>
      </c>
    </row>
    <row r="92" spans="1:34" x14ac:dyDescent="0.3">
      <c r="A92" s="12">
        <v>88</v>
      </c>
      <c r="B92" s="86" t="s">
        <v>578</v>
      </c>
      <c r="C92" s="12" t="s">
        <v>1947</v>
      </c>
      <c r="D92" s="131" t="s">
        <v>906</v>
      </c>
      <c r="E92" s="131" t="s">
        <v>1948</v>
      </c>
      <c r="F92" s="12" t="s">
        <v>113</v>
      </c>
      <c r="G92" s="12" t="s">
        <v>8</v>
      </c>
      <c r="H92" s="86" t="s">
        <v>503</v>
      </c>
      <c r="I92" s="86" t="s">
        <v>430</v>
      </c>
      <c r="J92" s="122">
        <v>10000</v>
      </c>
      <c r="K92" s="75"/>
      <c r="L92" s="75"/>
      <c r="M92" s="122"/>
      <c r="N92" s="75">
        <v>0</v>
      </c>
      <c r="O92" s="75">
        <v>0</v>
      </c>
      <c r="P92" s="122">
        <v>0</v>
      </c>
      <c r="Q92" s="75">
        <v>0</v>
      </c>
      <c r="R92" s="75">
        <v>0</v>
      </c>
      <c r="S92" s="122">
        <v>0</v>
      </c>
      <c r="T92" s="75">
        <v>0</v>
      </c>
      <c r="U92" s="75">
        <v>0</v>
      </c>
      <c r="V92" s="122">
        <v>0</v>
      </c>
      <c r="W92" s="93" t="s">
        <v>624</v>
      </c>
      <c r="X92" s="75">
        <v>5470</v>
      </c>
      <c r="Y92" s="122">
        <v>5470</v>
      </c>
      <c r="Z92" s="75"/>
      <c r="AA92" s="75"/>
      <c r="AB92" s="75"/>
      <c r="AC92" s="116">
        <f t="shared" si="5"/>
        <v>4530</v>
      </c>
      <c r="AD92" s="116">
        <f t="shared" si="3"/>
        <v>4530</v>
      </c>
      <c r="AE92" s="115">
        <f t="shared" si="4"/>
        <v>5470</v>
      </c>
      <c r="AF92" s="76"/>
      <c r="AG92" s="286">
        <f>10000-5470</f>
        <v>4530</v>
      </c>
      <c r="AH92" s="27" t="s">
        <v>2880</v>
      </c>
    </row>
    <row r="93" spans="1:34" s="1" customFormat="1" ht="17.25" customHeight="1" x14ac:dyDescent="0.3">
      <c r="A93" s="12">
        <v>89</v>
      </c>
      <c r="B93" s="104" t="s">
        <v>584</v>
      </c>
      <c r="C93" s="105" t="s">
        <v>1976</v>
      </c>
      <c r="D93" s="242" t="s">
        <v>732</v>
      </c>
      <c r="E93" s="242" t="s">
        <v>1977</v>
      </c>
      <c r="F93" s="105" t="s">
        <v>7</v>
      </c>
      <c r="G93" s="105" t="s">
        <v>8</v>
      </c>
      <c r="H93" s="243" t="s">
        <v>585</v>
      </c>
      <c r="I93" s="85" t="s">
        <v>1981</v>
      </c>
      <c r="J93" s="245">
        <v>7410</v>
      </c>
      <c r="K93" s="181"/>
      <c r="L93" s="181"/>
      <c r="M93" s="245"/>
      <c r="N93" s="181" t="s">
        <v>1419</v>
      </c>
      <c r="O93" s="181">
        <f>1495+1105</f>
        <v>2600</v>
      </c>
      <c r="P93" s="244">
        <f>1495+1495+1105+1105</f>
        <v>5200</v>
      </c>
      <c r="Q93" s="181" t="s">
        <v>1420</v>
      </c>
      <c r="R93" s="181">
        <f>1105+1105</f>
        <v>2210</v>
      </c>
      <c r="S93" s="245">
        <f>1105+1105</f>
        <v>2210</v>
      </c>
      <c r="T93" s="181"/>
      <c r="U93" s="181"/>
      <c r="V93" s="245"/>
      <c r="W93" s="181"/>
      <c r="X93" s="181"/>
      <c r="Y93" s="109"/>
      <c r="Z93" s="326"/>
      <c r="AA93" s="326"/>
      <c r="AB93" s="326"/>
      <c r="AC93" s="116">
        <f t="shared" si="5"/>
        <v>0</v>
      </c>
      <c r="AD93" s="116">
        <f t="shared" si="3"/>
        <v>2600</v>
      </c>
      <c r="AE93" s="115">
        <f t="shared" si="4"/>
        <v>7410</v>
      </c>
      <c r="AF93" s="423"/>
      <c r="AG93" s="256">
        <f>7410-2210-5200</f>
        <v>0</v>
      </c>
      <c r="AH93" s="1" t="s">
        <v>1373</v>
      </c>
    </row>
    <row r="94" spans="1:34" s="1" customFormat="1" ht="17.25" customHeight="1" x14ac:dyDescent="0.3">
      <c r="A94" s="11">
        <v>90</v>
      </c>
      <c r="B94" s="104" t="s">
        <v>2048</v>
      </c>
      <c r="C94" s="105" t="s">
        <v>2047</v>
      </c>
      <c r="D94" s="242">
        <v>860610295070</v>
      </c>
      <c r="E94" s="242" t="s">
        <v>2046</v>
      </c>
      <c r="F94" s="105" t="s">
        <v>7</v>
      </c>
      <c r="G94" s="105" t="s">
        <v>8</v>
      </c>
      <c r="H94" s="243" t="s">
        <v>1115</v>
      </c>
      <c r="I94" s="85" t="s">
        <v>599</v>
      </c>
      <c r="J94" s="245">
        <v>7410</v>
      </c>
      <c r="K94" s="181"/>
      <c r="L94" s="181"/>
      <c r="M94" s="245"/>
      <c r="N94" s="181" t="s">
        <v>2091</v>
      </c>
      <c r="O94" s="181">
        <f>1495+1105</f>
        <v>2600</v>
      </c>
      <c r="P94" s="244">
        <f>1495+1495+1105+1105</f>
        <v>5200</v>
      </c>
      <c r="Q94" s="181" t="s">
        <v>2092</v>
      </c>
      <c r="R94" s="181">
        <f>1105+1105</f>
        <v>2210</v>
      </c>
      <c r="S94" s="245">
        <f>1105+1105</f>
        <v>2210</v>
      </c>
      <c r="T94" s="181"/>
      <c r="U94" s="181"/>
      <c r="V94" s="245"/>
      <c r="W94" s="181"/>
      <c r="X94" s="181"/>
      <c r="Y94" s="109"/>
      <c r="Z94" s="326"/>
      <c r="AA94" s="326"/>
      <c r="AB94" s="326"/>
      <c r="AC94" s="116">
        <f t="shared" si="5"/>
        <v>0</v>
      </c>
      <c r="AD94" s="116">
        <f t="shared" si="3"/>
        <v>2600</v>
      </c>
      <c r="AE94" s="115">
        <f t="shared" si="4"/>
        <v>7410</v>
      </c>
      <c r="AF94" s="423"/>
      <c r="AG94" s="256"/>
    </row>
    <row r="95" spans="1:34" s="119" customFormat="1" ht="17.25" customHeight="1" x14ac:dyDescent="0.3">
      <c r="A95" s="11">
        <v>91</v>
      </c>
      <c r="B95" s="498" t="s">
        <v>2051</v>
      </c>
      <c r="C95" s="499" t="s">
        <v>2050</v>
      </c>
      <c r="D95" s="500">
        <v>880917035730</v>
      </c>
      <c r="E95" s="500" t="s">
        <v>2049</v>
      </c>
      <c r="F95" s="499" t="s">
        <v>7</v>
      </c>
      <c r="G95" s="499" t="s">
        <v>8</v>
      </c>
      <c r="H95" s="501" t="s">
        <v>2008</v>
      </c>
      <c r="I95" s="67" t="s">
        <v>430</v>
      </c>
      <c r="J95" s="502">
        <v>2715</v>
      </c>
      <c r="K95" s="503"/>
      <c r="L95" s="503"/>
      <c r="M95" s="502"/>
      <c r="N95" s="503" t="s">
        <v>2093</v>
      </c>
      <c r="O95" s="503">
        <f>905+905</f>
        <v>1810</v>
      </c>
      <c r="P95" s="504">
        <f>905+905</f>
        <v>1810</v>
      </c>
      <c r="Q95" s="503" t="s">
        <v>1443</v>
      </c>
      <c r="R95" s="503">
        <v>905</v>
      </c>
      <c r="S95" s="502">
        <v>905</v>
      </c>
      <c r="T95" s="503"/>
      <c r="U95" s="503"/>
      <c r="V95" s="502"/>
      <c r="W95" s="503"/>
      <c r="X95" s="503"/>
      <c r="Y95" s="505"/>
      <c r="Z95" s="506"/>
      <c r="AA95" s="506"/>
      <c r="AB95" s="506"/>
      <c r="AC95" s="116">
        <f t="shared" si="5"/>
        <v>0</v>
      </c>
      <c r="AD95" s="116">
        <f t="shared" si="3"/>
        <v>0</v>
      </c>
      <c r="AE95" s="115">
        <f t="shared" si="4"/>
        <v>2715</v>
      </c>
      <c r="AF95" s="507"/>
      <c r="AG95" s="287"/>
    </row>
    <row r="96" spans="1:34" x14ac:dyDescent="0.3">
      <c r="A96" s="11">
        <v>92</v>
      </c>
      <c r="B96" s="86" t="s">
        <v>104</v>
      </c>
      <c r="C96" s="12" t="s">
        <v>1892</v>
      </c>
      <c r="D96" s="129" t="s">
        <v>105</v>
      </c>
      <c r="E96" s="129" t="s">
        <v>1893</v>
      </c>
      <c r="F96" s="12" t="s">
        <v>113</v>
      </c>
      <c r="G96" s="12" t="s">
        <v>8</v>
      </c>
      <c r="H96" s="86" t="s">
        <v>437</v>
      </c>
      <c r="I96" s="86" t="s">
        <v>477</v>
      </c>
      <c r="J96" s="122">
        <v>10000</v>
      </c>
      <c r="K96" s="75"/>
      <c r="L96" s="75"/>
      <c r="M96" s="122"/>
      <c r="N96" s="75"/>
      <c r="O96" s="75"/>
      <c r="P96" s="122"/>
      <c r="Q96" s="75" t="s">
        <v>1340</v>
      </c>
      <c r="R96" s="75">
        <f>1520+1250</f>
        <v>2770</v>
      </c>
      <c r="S96" s="122">
        <f>1520+1250</f>
        <v>2770</v>
      </c>
      <c r="T96" s="75" t="s">
        <v>1399</v>
      </c>
      <c r="U96" s="75">
        <v>1250</v>
      </c>
      <c r="V96" s="122">
        <v>1250</v>
      </c>
      <c r="W96" s="93"/>
      <c r="X96" s="75"/>
      <c r="Y96" s="122"/>
      <c r="Z96" s="75"/>
      <c r="AA96" s="75"/>
      <c r="AB96" s="75"/>
      <c r="AC96" s="116">
        <f t="shared" si="5"/>
        <v>5980</v>
      </c>
      <c r="AD96" s="116">
        <f t="shared" si="3"/>
        <v>5980</v>
      </c>
      <c r="AE96" s="115">
        <f t="shared" si="4"/>
        <v>4020</v>
      </c>
      <c r="AF96" s="76"/>
      <c r="AG96" s="286">
        <f>10000-2770-1250</f>
        <v>5980</v>
      </c>
    </row>
    <row r="97" spans="1:34" x14ac:dyDescent="0.3">
      <c r="A97" s="12">
        <v>93</v>
      </c>
      <c r="B97" s="86" t="s">
        <v>106</v>
      </c>
      <c r="C97" s="12" t="s">
        <v>1894</v>
      </c>
      <c r="D97" s="129" t="s">
        <v>107</v>
      </c>
      <c r="E97" s="129" t="s">
        <v>1895</v>
      </c>
      <c r="F97" s="12" t="s">
        <v>113</v>
      </c>
      <c r="G97" s="12" t="s">
        <v>8</v>
      </c>
      <c r="H97" s="86" t="s">
        <v>437</v>
      </c>
      <c r="I97" s="86" t="s">
        <v>462</v>
      </c>
      <c r="J97" s="122">
        <v>7420</v>
      </c>
      <c r="K97" s="75"/>
      <c r="L97" s="75"/>
      <c r="M97" s="122"/>
      <c r="N97" s="75">
        <v>0</v>
      </c>
      <c r="O97" s="75">
        <v>0</v>
      </c>
      <c r="P97" s="122">
        <v>0</v>
      </c>
      <c r="Q97" s="75" t="s">
        <v>747</v>
      </c>
      <c r="R97" s="75">
        <f>1720+1450</f>
        <v>3170</v>
      </c>
      <c r="S97" s="122">
        <f>1720+1450</f>
        <v>3170</v>
      </c>
      <c r="T97" s="75" t="s">
        <v>748</v>
      </c>
      <c r="U97" s="75">
        <v>1450</v>
      </c>
      <c r="V97" s="122">
        <v>1450</v>
      </c>
      <c r="W97" s="93" t="s">
        <v>1077</v>
      </c>
      <c r="X97" s="75">
        <f>1400+1400</f>
        <v>2800</v>
      </c>
      <c r="Y97" s="122"/>
      <c r="Z97" s="75"/>
      <c r="AA97" s="75"/>
      <c r="AB97" s="75"/>
      <c r="AC97" s="116">
        <f t="shared" si="5"/>
        <v>2800</v>
      </c>
      <c r="AD97" s="116">
        <f t="shared" si="3"/>
        <v>0</v>
      </c>
      <c r="AE97" s="115">
        <f t="shared" si="4"/>
        <v>4620</v>
      </c>
      <c r="AF97" s="76"/>
      <c r="AG97" s="286">
        <f>7420-3170-1450-2800</f>
        <v>0</v>
      </c>
      <c r="AH97" s="27" t="s">
        <v>1078</v>
      </c>
    </row>
    <row r="98" spans="1:34" x14ac:dyDescent="0.3">
      <c r="A98" s="12">
        <v>94</v>
      </c>
      <c r="B98" s="86" t="s">
        <v>733</v>
      </c>
      <c r="C98" s="12" t="s">
        <v>1966</v>
      </c>
      <c r="D98" s="131" t="s">
        <v>734</v>
      </c>
      <c r="E98" s="131" t="s">
        <v>1967</v>
      </c>
      <c r="F98" s="12" t="s">
        <v>113</v>
      </c>
      <c r="G98" s="12" t="s">
        <v>8</v>
      </c>
      <c r="H98" s="86" t="s">
        <v>503</v>
      </c>
      <c r="I98" s="86" t="s">
        <v>419</v>
      </c>
      <c r="J98" s="122">
        <v>10000</v>
      </c>
      <c r="K98" s="75">
        <v>0</v>
      </c>
      <c r="L98" s="75">
        <v>0</v>
      </c>
      <c r="M98" s="122">
        <v>0</v>
      </c>
      <c r="N98" s="75">
        <v>0</v>
      </c>
      <c r="O98" s="75">
        <v>0</v>
      </c>
      <c r="P98" s="122">
        <v>0</v>
      </c>
      <c r="Q98" s="75">
        <v>0</v>
      </c>
      <c r="R98" s="75">
        <v>0</v>
      </c>
      <c r="S98" s="122">
        <v>0</v>
      </c>
      <c r="T98" s="75">
        <v>0</v>
      </c>
      <c r="U98" s="75">
        <v>0</v>
      </c>
      <c r="V98" s="122">
        <v>0</v>
      </c>
      <c r="W98" s="40" t="s">
        <v>920</v>
      </c>
      <c r="X98" s="75">
        <v>5670</v>
      </c>
      <c r="Y98" s="122">
        <v>5670</v>
      </c>
      <c r="Z98" s="75"/>
      <c r="AA98" s="75"/>
      <c r="AB98" s="75"/>
      <c r="AC98" s="116">
        <f t="shared" si="5"/>
        <v>4330</v>
      </c>
      <c r="AD98" s="116">
        <f t="shared" si="3"/>
        <v>4330</v>
      </c>
      <c r="AE98" s="115">
        <f t="shared" si="4"/>
        <v>5670</v>
      </c>
      <c r="AF98" s="76"/>
      <c r="AG98" s="286">
        <f>10000-5670</f>
        <v>4330</v>
      </c>
    </row>
    <row r="99" spans="1:34" x14ac:dyDescent="0.3">
      <c r="A99" s="11">
        <v>95</v>
      </c>
      <c r="B99" s="90" t="s">
        <v>127</v>
      </c>
      <c r="C99" s="53" t="s">
        <v>1896</v>
      </c>
      <c r="D99" s="130" t="s">
        <v>128</v>
      </c>
      <c r="E99" s="130" t="s">
        <v>1897</v>
      </c>
      <c r="F99" s="53" t="s">
        <v>113</v>
      </c>
      <c r="G99" s="53" t="s">
        <v>8</v>
      </c>
      <c r="H99" s="90" t="s">
        <v>387</v>
      </c>
      <c r="I99" s="90" t="s">
        <v>419</v>
      </c>
      <c r="J99" s="122">
        <v>10000</v>
      </c>
      <c r="K99" s="75"/>
      <c r="L99" s="75"/>
      <c r="M99" s="122"/>
      <c r="N99" s="75">
        <v>0</v>
      </c>
      <c r="O99" s="75">
        <v>0</v>
      </c>
      <c r="P99" s="122">
        <v>0</v>
      </c>
      <c r="Q99" s="75">
        <v>0</v>
      </c>
      <c r="R99" s="75">
        <v>0</v>
      </c>
      <c r="S99" s="122">
        <v>0</v>
      </c>
      <c r="T99" s="75">
        <v>0</v>
      </c>
      <c r="U99" s="75">
        <v>0</v>
      </c>
      <c r="V99" s="122">
        <v>0</v>
      </c>
      <c r="W99" s="93" t="s">
        <v>912</v>
      </c>
      <c r="X99" s="75">
        <f>5670+2150</f>
        <v>7820</v>
      </c>
      <c r="Y99" s="122">
        <f>5670+2150</f>
        <v>7820</v>
      </c>
      <c r="Z99" s="75"/>
      <c r="AA99" s="75"/>
      <c r="AB99" s="75"/>
      <c r="AC99" s="116">
        <f t="shared" si="5"/>
        <v>2180</v>
      </c>
      <c r="AD99" s="116">
        <f t="shared" si="3"/>
        <v>2180</v>
      </c>
      <c r="AE99" s="115">
        <f t="shared" si="4"/>
        <v>7820</v>
      </c>
      <c r="AF99" s="76"/>
      <c r="AG99" s="286">
        <f>10000-7820</f>
        <v>2180</v>
      </c>
    </row>
    <row r="100" spans="1:34" x14ac:dyDescent="0.3">
      <c r="A100" s="11">
        <v>96</v>
      </c>
      <c r="B100" s="86" t="s">
        <v>108</v>
      </c>
      <c r="C100" s="12" t="s">
        <v>1898</v>
      </c>
      <c r="D100" s="129" t="s">
        <v>875</v>
      </c>
      <c r="E100" s="129" t="s">
        <v>1899</v>
      </c>
      <c r="F100" s="12" t="s">
        <v>113</v>
      </c>
      <c r="G100" s="12" t="s">
        <v>8</v>
      </c>
      <c r="H100" s="86" t="s">
        <v>589</v>
      </c>
      <c r="I100" s="86" t="s">
        <v>445</v>
      </c>
      <c r="J100" s="122">
        <v>4050</v>
      </c>
      <c r="K100" s="75"/>
      <c r="L100" s="75"/>
      <c r="M100" s="122"/>
      <c r="N100" s="75">
        <v>0</v>
      </c>
      <c r="O100" s="75">
        <v>0</v>
      </c>
      <c r="P100" s="122">
        <v>0</v>
      </c>
      <c r="Q100" s="75">
        <v>0</v>
      </c>
      <c r="R100" s="75">
        <v>0</v>
      </c>
      <c r="S100" s="122">
        <v>0</v>
      </c>
      <c r="T100" s="75">
        <v>0</v>
      </c>
      <c r="U100" s="75">
        <v>0</v>
      </c>
      <c r="V100" s="122">
        <v>0</v>
      </c>
      <c r="W100" s="93" t="s">
        <v>1400</v>
      </c>
      <c r="X100" s="75">
        <f>1950+1050+1050</f>
        <v>4050</v>
      </c>
      <c r="Y100" s="122">
        <f>1950+1050</f>
        <v>3000</v>
      </c>
      <c r="Z100" s="75"/>
      <c r="AA100" s="75"/>
      <c r="AB100" s="75"/>
      <c r="AC100" s="116">
        <f t="shared" si="5"/>
        <v>1050</v>
      </c>
      <c r="AD100" s="116">
        <f t="shared" si="3"/>
        <v>0</v>
      </c>
      <c r="AE100" s="115">
        <f t="shared" si="4"/>
        <v>3000</v>
      </c>
      <c r="AF100" s="76"/>
      <c r="AG100" s="286">
        <f>4050-3000-1050</f>
        <v>0</v>
      </c>
    </row>
    <row r="101" spans="1:34" x14ac:dyDescent="0.3">
      <c r="A101" s="11">
        <v>97</v>
      </c>
      <c r="B101" s="86" t="s">
        <v>109</v>
      </c>
      <c r="C101" s="12" t="s">
        <v>1900</v>
      </c>
      <c r="D101" s="129" t="s">
        <v>110</v>
      </c>
      <c r="E101" s="129" t="s">
        <v>1901</v>
      </c>
      <c r="F101" s="12" t="s">
        <v>113</v>
      </c>
      <c r="G101" s="12" t="s">
        <v>8</v>
      </c>
      <c r="H101" s="273" t="s">
        <v>394</v>
      </c>
      <c r="I101" s="86" t="s">
        <v>419</v>
      </c>
      <c r="J101" s="122">
        <v>10000</v>
      </c>
      <c r="K101" s="75"/>
      <c r="L101" s="75"/>
      <c r="M101" s="122"/>
      <c r="N101" s="75"/>
      <c r="O101" s="75"/>
      <c r="P101" s="122"/>
      <c r="Q101" s="75"/>
      <c r="R101" s="75"/>
      <c r="S101" s="122"/>
      <c r="T101" s="75" t="s">
        <v>1401</v>
      </c>
      <c r="U101" s="75">
        <v>5720</v>
      </c>
      <c r="V101" s="122">
        <v>5720</v>
      </c>
      <c r="W101" s="93"/>
      <c r="X101" s="75"/>
      <c r="Y101" s="122"/>
      <c r="Z101" s="75"/>
      <c r="AA101" s="75"/>
      <c r="AB101" s="75"/>
      <c r="AC101" s="116">
        <f t="shared" si="5"/>
        <v>4280</v>
      </c>
      <c r="AD101" s="116">
        <f t="shared" si="3"/>
        <v>4280</v>
      </c>
      <c r="AE101" s="115">
        <f t="shared" si="4"/>
        <v>5720</v>
      </c>
      <c r="AF101" s="76"/>
      <c r="AG101" s="286">
        <f>10000-5720</f>
        <v>4280</v>
      </c>
    </row>
    <row r="102" spans="1:34" x14ac:dyDescent="0.3">
      <c r="A102" s="12">
        <v>98</v>
      </c>
      <c r="B102" s="86" t="s">
        <v>111</v>
      </c>
      <c r="C102" s="12" t="s">
        <v>1902</v>
      </c>
      <c r="D102" s="129" t="s">
        <v>124</v>
      </c>
      <c r="E102" s="129" t="s">
        <v>1903</v>
      </c>
      <c r="F102" s="12" t="s">
        <v>7</v>
      </c>
      <c r="G102" s="12" t="s">
        <v>8</v>
      </c>
      <c r="H102" s="86" t="s">
        <v>88</v>
      </c>
      <c r="I102" s="86" t="s">
        <v>467</v>
      </c>
      <c r="J102" s="122">
        <v>4470</v>
      </c>
      <c r="K102" s="75"/>
      <c r="L102" s="75"/>
      <c r="M102" s="122"/>
      <c r="N102" s="75" t="s">
        <v>1402</v>
      </c>
      <c r="O102" s="75">
        <v>1320</v>
      </c>
      <c r="P102" s="122">
        <v>1320</v>
      </c>
      <c r="Q102" s="75" t="s">
        <v>1403</v>
      </c>
      <c r="R102" s="75">
        <f>1050+1050</f>
        <v>2100</v>
      </c>
      <c r="S102" s="122">
        <f>1050+1050</f>
        <v>2100</v>
      </c>
      <c r="T102" s="75" t="s">
        <v>1404</v>
      </c>
      <c r="U102" s="75">
        <v>1050</v>
      </c>
      <c r="V102" s="122">
        <v>1050</v>
      </c>
      <c r="W102" s="93"/>
      <c r="X102" s="75"/>
      <c r="Y102" s="122"/>
      <c r="Z102" s="75"/>
      <c r="AA102" s="75"/>
      <c r="AB102" s="75"/>
      <c r="AC102" s="116">
        <f t="shared" si="5"/>
        <v>0</v>
      </c>
      <c r="AD102" s="116">
        <f t="shared" si="3"/>
        <v>0</v>
      </c>
      <c r="AE102" s="115">
        <f t="shared" si="4"/>
        <v>4470</v>
      </c>
      <c r="AF102" s="76"/>
      <c r="AG102" s="286">
        <f>4470-1320-2100-1050</f>
        <v>0</v>
      </c>
    </row>
    <row r="103" spans="1:34" x14ac:dyDescent="0.3">
      <c r="A103" s="12">
        <v>99</v>
      </c>
      <c r="B103" s="151" t="s">
        <v>769</v>
      </c>
      <c r="C103" s="66" t="s">
        <v>1974</v>
      </c>
      <c r="D103" s="152">
        <v>880104295084</v>
      </c>
      <c r="E103" s="152" t="s">
        <v>1975</v>
      </c>
      <c r="F103" s="66" t="s">
        <v>113</v>
      </c>
      <c r="G103" s="66" t="s">
        <v>8</v>
      </c>
      <c r="H103" s="67" t="s">
        <v>770</v>
      </c>
      <c r="I103" s="67" t="s">
        <v>419</v>
      </c>
      <c r="J103" s="123">
        <v>2210</v>
      </c>
      <c r="K103" s="117"/>
      <c r="L103" s="117"/>
      <c r="M103" s="123"/>
      <c r="N103" s="117">
        <v>0</v>
      </c>
      <c r="O103" s="117">
        <v>0</v>
      </c>
      <c r="P103" s="118">
        <v>0</v>
      </c>
      <c r="Q103" s="117" t="s">
        <v>771</v>
      </c>
      <c r="R103" s="117">
        <f>1105+1105</f>
        <v>2210</v>
      </c>
      <c r="S103" s="123">
        <f>1105+1105</f>
        <v>2210</v>
      </c>
      <c r="T103" s="117">
        <v>0</v>
      </c>
      <c r="U103" s="117">
        <v>0</v>
      </c>
      <c r="V103" s="123">
        <v>0</v>
      </c>
      <c r="W103" s="117">
        <v>0</v>
      </c>
      <c r="X103" s="117">
        <v>0</v>
      </c>
      <c r="Y103" s="115">
        <v>0</v>
      </c>
      <c r="Z103" s="116"/>
      <c r="AA103" s="116"/>
      <c r="AB103" s="116"/>
      <c r="AC103" s="116">
        <f t="shared" si="5"/>
        <v>0</v>
      </c>
      <c r="AD103" s="116">
        <f t="shared" si="3"/>
        <v>0</v>
      </c>
      <c r="AE103" s="115">
        <f t="shared" si="4"/>
        <v>2210</v>
      </c>
      <c r="AF103" s="424" t="s">
        <v>570</v>
      </c>
      <c r="AG103" s="287">
        <f>2210-2210</f>
        <v>0</v>
      </c>
      <c r="AH103" s="119" t="s">
        <v>738</v>
      </c>
    </row>
    <row r="104" spans="1:34" x14ac:dyDescent="0.3">
      <c r="A104" s="11">
        <v>100</v>
      </c>
      <c r="B104" s="40" t="s">
        <v>2053</v>
      </c>
      <c r="C104" s="12" t="s">
        <v>2054</v>
      </c>
      <c r="D104" s="299">
        <v>860511295243</v>
      </c>
      <c r="E104" s="299" t="s">
        <v>2052</v>
      </c>
      <c r="F104" s="12" t="s">
        <v>7</v>
      </c>
      <c r="G104" s="12" t="s">
        <v>8</v>
      </c>
      <c r="H104" s="86" t="s">
        <v>770</v>
      </c>
      <c r="I104" s="86" t="s">
        <v>2055</v>
      </c>
      <c r="J104" s="311">
        <v>1810</v>
      </c>
      <c r="K104" s="305"/>
      <c r="L104" s="305"/>
      <c r="M104" s="311"/>
      <c r="N104" s="75" t="s">
        <v>2094</v>
      </c>
      <c r="O104" s="75">
        <v>905</v>
      </c>
      <c r="P104" s="81">
        <v>905</v>
      </c>
      <c r="Q104" s="75" t="s">
        <v>2095</v>
      </c>
      <c r="R104" s="75">
        <v>905</v>
      </c>
      <c r="S104" s="122">
        <v>905</v>
      </c>
      <c r="T104" s="75"/>
      <c r="U104" s="75"/>
      <c r="V104" s="122"/>
      <c r="W104" s="75"/>
      <c r="X104" s="75"/>
      <c r="Y104" s="95"/>
      <c r="Z104" s="93"/>
      <c r="AA104" s="93"/>
      <c r="AB104" s="93"/>
      <c r="AC104" s="116">
        <f t="shared" si="5"/>
        <v>0</v>
      </c>
      <c r="AD104" s="116">
        <f t="shared" si="3"/>
        <v>0</v>
      </c>
      <c r="AE104" s="115">
        <f t="shared" si="4"/>
        <v>1810</v>
      </c>
      <c r="AF104" s="425"/>
      <c r="AG104" s="286"/>
    </row>
    <row r="105" spans="1:34" s="119" customFormat="1" x14ac:dyDescent="0.3">
      <c r="A105" s="11">
        <v>101</v>
      </c>
      <c r="B105" s="67" t="s">
        <v>1087</v>
      </c>
      <c r="C105" s="66" t="s">
        <v>1978</v>
      </c>
      <c r="D105" s="171" t="s">
        <v>1088</v>
      </c>
      <c r="E105" s="171" t="s">
        <v>1276</v>
      </c>
      <c r="F105" s="66" t="s">
        <v>7</v>
      </c>
      <c r="G105" s="66" t="s">
        <v>8</v>
      </c>
      <c r="H105" s="67" t="s">
        <v>503</v>
      </c>
      <c r="I105" s="67" t="s">
        <v>419</v>
      </c>
      <c r="J105" s="502">
        <v>10000</v>
      </c>
      <c r="K105" s="503">
        <v>0</v>
      </c>
      <c r="L105" s="503">
        <v>0</v>
      </c>
      <c r="M105" s="502">
        <v>0</v>
      </c>
      <c r="N105" s="117">
        <v>0</v>
      </c>
      <c r="O105" s="117">
        <v>0</v>
      </c>
      <c r="P105" s="123">
        <v>0</v>
      </c>
      <c r="Q105" s="117">
        <v>0</v>
      </c>
      <c r="R105" s="117">
        <v>0</v>
      </c>
      <c r="S105" s="123">
        <v>0</v>
      </c>
      <c r="T105" s="117">
        <v>0</v>
      </c>
      <c r="U105" s="117">
        <v>0</v>
      </c>
      <c r="V105" s="123">
        <v>0</v>
      </c>
      <c r="W105" s="151" t="s">
        <v>1235</v>
      </c>
      <c r="X105" s="117">
        <f>5670+2150</f>
        <v>7820</v>
      </c>
      <c r="Y105" s="123">
        <f>5670+2150</f>
        <v>7820</v>
      </c>
      <c r="Z105" s="117" t="s">
        <v>2767</v>
      </c>
      <c r="AA105" s="117">
        <f>1250+930</f>
        <v>2180</v>
      </c>
      <c r="AB105" s="117"/>
      <c r="AC105" s="116">
        <f t="shared" si="5"/>
        <v>2180</v>
      </c>
      <c r="AD105" s="116">
        <f t="shared" si="3"/>
        <v>0</v>
      </c>
      <c r="AE105" s="115">
        <f t="shared" si="4"/>
        <v>7820</v>
      </c>
      <c r="AF105" s="422" t="s">
        <v>570</v>
      </c>
      <c r="AG105" s="287"/>
    </row>
    <row r="106" spans="1:34" x14ac:dyDescent="0.3">
      <c r="A106" s="11">
        <v>102</v>
      </c>
      <c r="B106" s="86" t="s">
        <v>341</v>
      </c>
      <c r="C106" s="12" t="s">
        <v>1904</v>
      </c>
      <c r="D106" s="129" t="s">
        <v>674</v>
      </c>
      <c r="E106" s="129" t="s">
        <v>1848</v>
      </c>
      <c r="F106" s="12" t="s">
        <v>113</v>
      </c>
      <c r="G106" s="12" t="s">
        <v>8</v>
      </c>
      <c r="H106" s="86" t="s">
        <v>328</v>
      </c>
      <c r="I106" s="86" t="s">
        <v>419</v>
      </c>
      <c r="J106" s="122">
        <v>10000</v>
      </c>
      <c r="K106" s="75">
        <v>0</v>
      </c>
      <c r="L106" s="75">
        <v>0</v>
      </c>
      <c r="M106" s="122">
        <v>0</v>
      </c>
      <c r="N106" s="75">
        <v>0</v>
      </c>
      <c r="O106" s="75">
        <v>0</v>
      </c>
      <c r="P106" s="122">
        <v>0</v>
      </c>
      <c r="Q106" s="75">
        <v>0</v>
      </c>
      <c r="R106" s="75">
        <v>0</v>
      </c>
      <c r="S106" s="122">
        <v>0</v>
      </c>
      <c r="T106" s="75">
        <v>0</v>
      </c>
      <c r="U106" s="75">
        <v>0</v>
      </c>
      <c r="V106" s="122">
        <v>0</v>
      </c>
      <c r="W106" s="93" t="s">
        <v>1405</v>
      </c>
      <c r="X106" s="75">
        <f>5670+2150+1250+1030</f>
        <v>10100</v>
      </c>
      <c r="Y106" s="122">
        <f>5620+2100+1250+1030</f>
        <v>10000</v>
      </c>
      <c r="Z106" s="75"/>
      <c r="AA106" s="75"/>
      <c r="AB106" s="75"/>
      <c r="AC106" s="116">
        <f t="shared" si="5"/>
        <v>0</v>
      </c>
      <c r="AD106" s="116">
        <f t="shared" si="3"/>
        <v>-100</v>
      </c>
      <c r="AE106" s="115">
        <f t="shared" si="4"/>
        <v>10000</v>
      </c>
      <c r="AF106" s="76" t="s">
        <v>570</v>
      </c>
      <c r="AG106" s="286">
        <f>10000-7720-1250-1030</f>
        <v>0</v>
      </c>
    </row>
    <row r="107" spans="1:34" x14ac:dyDescent="0.3">
      <c r="A107" s="12">
        <v>103</v>
      </c>
      <c r="B107" s="86" t="s">
        <v>2062</v>
      </c>
      <c r="C107" s="12" t="s">
        <v>2057</v>
      </c>
      <c r="D107" s="129" t="s">
        <v>2056</v>
      </c>
      <c r="E107" s="12" t="s">
        <v>2058</v>
      </c>
      <c r="F107" s="12" t="s">
        <v>7</v>
      </c>
      <c r="G107" s="12" t="s">
        <v>8</v>
      </c>
      <c r="H107" s="86" t="s">
        <v>1102</v>
      </c>
      <c r="I107" s="86" t="s">
        <v>419</v>
      </c>
      <c r="J107" s="122">
        <v>1105</v>
      </c>
      <c r="K107" s="75"/>
      <c r="L107" s="75"/>
      <c r="M107" s="122"/>
      <c r="N107" s="75"/>
      <c r="O107" s="75"/>
      <c r="P107" s="122"/>
      <c r="Q107" s="75" t="s">
        <v>2096</v>
      </c>
      <c r="R107" s="75">
        <v>1105</v>
      </c>
      <c r="S107" s="122">
        <v>1105</v>
      </c>
      <c r="T107" s="75"/>
      <c r="U107" s="75"/>
      <c r="V107" s="122"/>
      <c r="W107" s="93"/>
      <c r="X107" s="75"/>
      <c r="Y107" s="122"/>
      <c r="Z107" s="122"/>
      <c r="AA107" s="122"/>
      <c r="AB107" s="122"/>
      <c r="AC107" s="116">
        <f t="shared" si="5"/>
        <v>0</v>
      </c>
      <c r="AD107" s="116">
        <f t="shared" si="3"/>
        <v>0</v>
      </c>
      <c r="AE107" s="115">
        <f t="shared" si="4"/>
        <v>1105</v>
      </c>
      <c r="AF107" s="76"/>
      <c r="AG107" s="286"/>
    </row>
    <row r="108" spans="1:34" x14ac:dyDescent="0.3">
      <c r="A108" s="12">
        <v>104</v>
      </c>
      <c r="B108" s="86" t="s">
        <v>2061</v>
      </c>
      <c r="C108" s="12" t="s">
        <v>2063</v>
      </c>
      <c r="D108" s="129" t="s">
        <v>2060</v>
      </c>
      <c r="E108" s="12" t="s">
        <v>2059</v>
      </c>
      <c r="F108" s="12" t="s">
        <v>7</v>
      </c>
      <c r="G108" s="12" t="s">
        <v>8</v>
      </c>
      <c r="H108" s="86" t="s">
        <v>770</v>
      </c>
      <c r="I108" s="86" t="s">
        <v>445</v>
      </c>
      <c r="J108" s="122">
        <v>1810</v>
      </c>
      <c r="K108" s="75"/>
      <c r="L108" s="75"/>
      <c r="M108" s="122"/>
      <c r="N108" s="75" t="s">
        <v>2097</v>
      </c>
      <c r="O108" s="75">
        <v>905</v>
      </c>
      <c r="P108" s="122">
        <v>905</v>
      </c>
      <c r="Q108" s="75" t="s">
        <v>2098</v>
      </c>
      <c r="R108" s="75">
        <v>905</v>
      </c>
      <c r="S108" s="122">
        <v>905</v>
      </c>
      <c r="T108" s="75"/>
      <c r="U108" s="75"/>
      <c r="V108" s="122"/>
      <c r="W108" s="93"/>
      <c r="X108" s="75"/>
      <c r="Y108" s="122"/>
      <c r="Z108" s="122"/>
      <c r="AA108" s="122"/>
      <c r="AB108" s="122"/>
      <c r="AC108" s="116">
        <f t="shared" si="5"/>
        <v>0</v>
      </c>
      <c r="AD108" s="116">
        <f t="shared" si="3"/>
        <v>0</v>
      </c>
      <c r="AE108" s="115">
        <f t="shared" si="4"/>
        <v>1810</v>
      </c>
      <c r="AF108" s="76"/>
      <c r="AG108" s="286"/>
    </row>
    <row r="109" spans="1:34" s="119" customFormat="1" x14ac:dyDescent="0.3">
      <c r="A109" s="11">
        <v>105</v>
      </c>
      <c r="B109" s="151" t="s">
        <v>1001</v>
      </c>
      <c r="C109" s="66" t="s">
        <v>1779</v>
      </c>
      <c r="D109" s="516">
        <v>890602035794</v>
      </c>
      <c r="E109" s="516" t="s">
        <v>1780</v>
      </c>
      <c r="F109" s="66" t="s">
        <v>7</v>
      </c>
      <c r="G109" s="66" t="s">
        <v>8</v>
      </c>
      <c r="H109" s="67" t="s">
        <v>635</v>
      </c>
      <c r="I109" s="123">
        <v>2100</v>
      </c>
      <c r="J109" s="117">
        <v>0</v>
      </c>
      <c r="K109" s="117">
        <v>0</v>
      </c>
      <c r="L109" s="123">
        <v>0</v>
      </c>
      <c r="M109" s="151" t="s">
        <v>1002</v>
      </c>
      <c r="N109" s="117">
        <f>1050+1050</f>
        <v>2100</v>
      </c>
      <c r="O109" s="123">
        <f>1050+1050</f>
        <v>2100</v>
      </c>
      <c r="P109" s="151"/>
      <c r="Q109" s="117"/>
      <c r="R109" s="123"/>
      <c r="S109" s="151"/>
      <c r="T109" s="117"/>
      <c r="U109" s="123"/>
      <c r="V109" s="117">
        <f>I109-K109-N109-Q109-T109</f>
        <v>0</v>
      </c>
      <c r="W109" s="117">
        <f>I109-L109-O109-R109-U109</f>
        <v>0</v>
      </c>
      <c r="X109" s="422"/>
      <c r="Y109" s="123">
        <f>I109-L109-O109-R109-U109-X109</f>
        <v>0</v>
      </c>
      <c r="Z109" s="511">
        <f>I109-K109 -N109 -Q109-T109-W109</f>
        <v>0</v>
      </c>
      <c r="AA109" s="123">
        <f>L109+O109+R109+U109+X109</f>
        <v>2100</v>
      </c>
      <c r="AB109" s="237" t="s">
        <v>683</v>
      </c>
      <c r="AC109" s="66"/>
    </row>
    <row r="110" spans="1:34" x14ac:dyDescent="0.3">
      <c r="A110" s="11">
        <v>106</v>
      </c>
      <c r="B110" s="40" t="s">
        <v>1342</v>
      </c>
      <c r="C110" s="12" t="s">
        <v>1803</v>
      </c>
      <c r="D110" s="324">
        <v>880703025078</v>
      </c>
      <c r="E110" s="324" t="s">
        <v>1804</v>
      </c>
      <c r="F110" s="12" t="s">
        <v>7</v>
      </c>
      <c r="G110" s="12" t="s">
        <v>8</v>
      </c>
      <c r="H110" s="86" t="s">
        <v>1984</v>
      </c>
      <c r="I110" s="121"/>
      <c r="J110" s="40" t="s">
        <v>1426</v>
      </c>
      <c r="K110" s="75">
        <v>1520</v>
      </c>
      <c r="L110" s="122"/>
      <c r="M110" s="40" t="s">
        <v>1427</v>
      </c>
      <c r="N110" s="75">
        <f>1250+1250+1520</f>
        <v>4020</v>
      </c>
      <c r="O110" s="122">
        <f>1250+1250+1520</f>
        <v>4020</v>
      </c>
      <c r="P110" s="40" t="s">
        <v>1428</v>
      </c>
      <c r="Q110" s="75">
        <v>1250</v>
      </c>
      <c r="R110" s="122">
        <v>1250</v>
      </c>
      <c r="S110" s="40"/>
      <c r="T110" s="40"/>
      <c r="U110" s="76"/>
      <c r="V110" s="40"/>
      <c r="W110" s="40"/>
      <c r="X110" s="76"/>
      <c r="Y110" s="145">
        <f>I110-L110-O110-R110-U110-X110</f>
        <v>-5270</v>
      </c>
      <c r="Z110" s="294">
        <f>I110-K110 -N110 -Q110-T110-W110</f>
        <v>-6790</v>
      </c>
      <c r="AA110" s="121">
        <f>L110+O110+R110+U110+X110</f>
        <v>5270</v>
      </c>
      <c r="AB110" s="12"/>
      <c r="AC110" s="300"/>
      <c r="AD110" s="27"/>
      <c r="AE110" s="27"/>
      <c r="AF110" s="27"/>
      <c r="AG110" s="27"/>
    </row>
    <row r="111" spans="1:34" x14ac:dyDescent="0.3">
      <c r="A111" s="11">
        <v>107</v>
      </c>
      <c r="B111" s="40" t="s">
        <v>1343</v>
      </c>
      <c r="C111" s="12" t="s">
        <v>1805</v>
      </c>
      <c r="D111" s="324">
        <v>871125295150</v>
      </c>
      <c r="E111" s="324" t="s">
        <v>1806</v>
      </c>
      <c r="F111" s="12" t="s">
        <v>7</v>
      </c>
      <c r="G111" s="12" t="s">
        <v>8</v>
      </c>
      <c r="H111" s="86" t="s">
        <v>435</v>
      </c>
      <c r="I111" s="121"/>
      <c r="J111" s="40" t="s">
        <v>1429</v>
      </c>
      <c r="K111" s="75">
        <f>1320+1050</f>
        <v>2370</v>
      </c>
      <c r="L111" s="122"/>
      <c r="M111" s="40" t="s">
        <v>1430</v>
      </c>
      <c r="N111" s="75">
        <f>1050+1050+1320+1050</f>
        <v>4470</v>
      </c>
      <c r="O111" s="122">
        <f>1050+1050+1320+1050</f>
        <v>4470</v>
      </c>
      <c r="P111" s="40"/>
      <c r="Q111" s="75"/>
      <c r="R111" s="122"/>
      <c r="S111" s="40"/>
      <c r="T111" s="40"/>
      <c r="U111" s="76"/>
      <c r="V111" s="40"/>
      <c r="W111" s="40"/>
      <c r="X111" s="76"/>
      <c r="Y111" s="145">
        <f>I111-L111-O111-R111-U111-X111</f>
        <v>-4470</v>
      </c>
      <c r="Z111" s="294">
        <f>I111-K111 -N111 -Q111-T111-W111</f>
        <v>-6840</v>
      </c>
      <c r="AA111" s="121">
        <f>L111+O111+R111+U111+X111</f>
        <v>4470</v>
      </c>
      <c r="AB111" s="12"/>
      <c r="AC111" s="300"/>
      <c r="AD111" s="27"/>
      <c r="AE111" s="27"/>
      <c r="AF111" s="27"/>
      <c r="AG111" s="27"/>
    </row>
    <row r="132" spans="1:8" x14ac:dyDescent="0.3">
      <c r="A132" s="37"/>
      <c r="B132" s="87"/>
      <c r="C132" s="39"/>
      <c r="D132" s="126"/>
      <c r="E132" s="126"/>
      <c r="F132" s="39"/>
      <c r="G132" s="39"/>
      <c r="H132" s="87"/>
    </row>
    <row r="133" spans="1:8" x14ac:dyDescent="0.3">
      <c r="A133" s="37"/>
      <c r="B133" s="87"/>
      <c r="C133" s="39"/>
      <c r="D133" s="126"/>
      <c r="E133" s="126"/>
      <c r="F133" s="39"/>
      <c r="G133" s="39"/>
      <c r="H133" s="87"/>
    </row>
    <row r="134" spans="1:8" x14ac:dyDescent="0.3">
      <c r="A134" s="37"/>
      <c r="B134" s="87"/>
      <c r="C134" s="39"/>
      <c r="D134" s="126"/>
      <c r="E134" s="126"/>
      <c r="F134" s="39"/>
      <c r="G134" s="39"/>
      <c r="H134" s="87"/>
    </row>
    <row r="135" spans="1:8" x14ac:dyDescent="0.3">
      <c r="A135" s="37"/>
      <c r="B135" s="87"/>
      <c r="C135" s="39"/>
      <c r="D135" s="126"/>
      <c r="E135" s="126"/>
      <c r="F135" s="39"/>
      <c r="G135" s="39"/>
      <c r="H135" s="87"/>
    </row>
    <row r="136" spans="1:8" x14ac:dyDescent="0.3">
      <c r="A136" s="37"/>
      <c r="B136" s="87"/>
      <c r="C136" s="39"/>
      <c r="D136" s="126"/>
      <c r="E136" s="126"/>
      <c r="F136" s="39"/>
      <c r="G136" s="39"/>
      <c r="H136" s="87"/>
    </row>
    <row r="137" spans="1:8" x14ac:dyDescent="0.3">
      <c r="A137" s="37"/>
      <c r="B137" s="87"/>
      <c r="C137" s="39"/>
      <c r="D137" s="126"/>
      <c r="E137" s="126"/>
      <c r="F137" s="39"/>
      <c r="G137" s="39"/>
      <c r="H137" s="87"/>
    </row>
    <row r="138" spans="1:8" x14ac:dyDescent="0.3">
      <c r="A138" s="37"/>
      <c r="B138" s="87"/>
      <c r="C138" s="39"/>
      <c r="D138" s="126"/>
      <c r="E138" s="126"/>
      <c r="F138" s="39"/>
      <c r="G138" s="39"/>
      <c r="H138" s="87"/>
    </row>
    <row r="139" spans="1:8" x14ac:dyDescent="0.3">
      <c r="A139" s="37"/>
      <c r="B139" s="87"/>
      <c r="C139" s="39"/>
      <c r="D139" s="126"/>
      <c r="E139" s="126"/>
      <c r="F139" s="39"/>
      <c r="G139" s="39"/>
      <c r="H139" s="87"/>
    </row>
    <row r="140" spans="1:8" x14ac:dyDescent="0.3">
      <c r="A140" s="37"/>
      <c r="B140" s="87"/>
      <c r="C140" s="39"/>
      <c r="D140" s="126"/>
      <c r="E140" s="126"/>
      <c r="F140" s="39"/>
      <c r="G140" s="39"/>
      <c r="H140" s="87"/>
    </row>
    <row r="141" spans="1:8" x14ac:dyDescent="0.3">
      <c r="A141" s="37"/>
      <c r="B141" s="87"/>
      <c r="C141" s="39"/>
      <c r="D141" s="126"/>
      <c r="E141" s="126"/>
      <c r="F141" s="39"/>
      <c r="G141" s="39"/>
      <c r="H141" s="87"/>
    </row>
    <row r="142" spans="1:8" x14ac:dyDescent="0.3">
      <c r="A142" s="37"/>
      <c r="B142" s="87"/>
      <c r="C142" s="39"/>
      <c r="D142" s="126"/>
      <c r="E142" s="126"/>
      <c r="F142" s="39"/>
      <c r="G142" s="39"/>
      <c r="H142" s="87"/>
    </row>
    <row r="143" spans="1:8" x14ac:dyDescent="0.3">
      <c r="A143" s="37"/>
      <c r="B143" s="87"/>
      <c r="C143" s="39"/>
      <c r="D143" s="126"/>
      <c r="E143" s="126"/>
      <c r="F143" s="39"/>
      <c r="G143" s="39"/>
      <c r="H143" s="87"/>
    </row>
    <row r="144" spans="1:8" x14ac:dyDescent="0.3">
      <c r="A144" s="37"/>
      <c r="B144" s="87"/>
      <c r="C144" s="39"/>
      <c r="D144" s="126"/>
      <c r="E144" s="126"/>
      <c r="F144" s="39"/>
      <c r="G144" s="39"/>
      <c r="H144" s="87"/>
    </row>
    <row r="145" spans="1:8" x14ac:dyDescent="0.3">
      <c r="A145" s="37"/>
      <c r="B145" s="87"/>
      <c r="C145" s="39"/>
      <c r="D145" s="126"/>
      <c r="E145" s="126"/>
      <c r="F145" s="39"/>
      <c r="G145" s="39"/>
      <c r="H145" s="87"/>
    </row>
    <row r="146" spans="1:8" x14ac:dyDescent="0.3">
      <c r="A146" s="37"/>
      <c r="B146" s="87"/>
      <c r="C146" s="39"/>
      <c r="D146" s="126"/>
      <c r="E146" s="126"/>
      <c r="F146" s="39"/>
      <c r="G146" s="39"/>
      <c r="H146" s="87"/>
    </row>
    <row r="147" spans="1:8" x14ac:dyDescent="0.3">
      <c r="A147" s="37"/>
      <c r="B147" s="87"/>
      <c r="C147" s="39"/>
      <c r="D147" s="126"/>
      <c r="E147" s="126"/>
      <c r="F147" s="39"/>
      <c r="G147" s="39"/>
      <c r="H147" s="87"/>
    </row>
    <row r="148" spans="1:8" x14ac:dyDescent="0.3">
      <c r="A148" s="37"/>
      <c r="B148" s="87"/>
      <c r="C148" s="39"/>
      <c r="D148" s="126"/>
      <c r="E148" s="126"/>
      <c r="F148" s="39"/>
      <c r="G148" s="39"/>
      <c r="H148" s="87"/>
    </row>
    <row r="149" spans="1:8" x14ac:dyDescent="0.3">
      <c r="A149" s="37"/>
      <c r="B149" s="87"/>
      <c r="C149" s="39"/>
      <c r="D149" s="126"/>
      <c r="E149" s="126"/>
      <c r="F149" s="39"/>
      <c r="G149" s="39"/>
      <c r="H149" s="87"/>
    </row>
    <row r="150" spans="1:8" x14ac:dyDescent="0.3">
      <c r="A150" s="37"/>
      <c r="B150" s="87"/>
      <c r="C150" s="39"/>
      <c r="D150" s="126"/>
      <c r="E150" s="126"/>
      <c r="F150" s="39"/>
      <c r="G150" s="39"/>
      <c r="H150" s="87"/>
    </row>
    <row r="151" spans="1:8" x14ac:dyDescent="0.3">
      <c r="A151" s="37"/>
      <c r="B151" s="87"/>
      <c r="C151" s="39"/>
      <c r="D151" s="126"/>
      <c r="E151" s="126"/>
      <c r="F151" s="39"/>
      <c r="G151" s="39"/>
      <c r="H151" s="87"/>
    </row>
    <row r="152" spans="1:8" x14ac:dyDescent="0.3">
      <c r="A152" s="37"/>
      <c r="B152" s="87"/>
      <c r="C152" s="39"/>
      <c r="D152" s="126"/>
      <c r="E152" s="126"/>
      <c r="F152" s="39"/>
      <c r="G152" s="39"/>
      <c r="H152" s="87"/>
    </row>
    <row r="153" spans="1:8" x14ac:dyDescent="0.3">
      <c r="A153" s="37"/>
      <c r="B153" s="87"/>
      <c r="C153" s="39"/>
      <c r="D153" s="126"/>
      <c r="E153" s="126"/>
      <c r="F153" s="39"/>
      <c r="G153" s="39"/>
      <c r="H153" s="87"/>
    </row>
    <row r="154" spans="1:8" x14ac:dyDescent="0.3">
      <c r="A154" s="37"/>
      <c r="B154" s="87"/>
      <c r="C154" s="39"/>
      <c r="D154" s="126"/>
      <c r="E154" s="126"/>
      <c r="F154" s="39"/>
      <c r="G154" s="39"/>
      <c r="H154" s="87"/>
    </row>
    <row r="155" spans="1:8" x14ac:dyDescent="0.3">
      <c r="A155" s="37"/>
      <c r="B155" s="87"/>
      <c r="C155" s="39"/>
      <c r="D155" s="126"/>
      <c r="E155" s="126"/>
      <c r="F155" s="39"/>
      <c r="G155" s="39"/>
      <c r="H155" s="87"/>
    </row>
    <row r="156" spans="1:8" x14ac:dyDescent="0.3">
      <c r="A156" s="37"/>
      <c r="B156" s="87"/>
      <c r="C156" s="39"/>
      <c r="D156" s="126"/>
      <c r="E156" s="126"/>
      <c r="F156" s="39"/>
      <c r="G156" s="39"/>
      <c r="H156" s="87"/>
    </row>
    <row r="157" spans="1:8" x14ac:dyDescent="0.3">
      <c r="A157" s="37"/>
      <c r="B157" s="87"/>
      <c r="C157" s="39"/>
      <c r="D157" s="126"/>
      <c r="E157" s="126"/>
      <c r="F157" s="39"/>
      <c r="G157" s="39"/>
      <c r="H157" s="87"/>
    </row>
    <row r="158" spans="1:8" x14ac:dyDescent="0.3">
      <c r="A158" s="37"/>
      <c r="B158" s="87"/>
      <c r="C158" s="39"/>
      <c r="D158" s="126"/>
      <c r="E158" s="126"/>
      <c r="F158" s="39"/>
      <c r="G158" s="39"/>
      <c r="H158" s="87"/>
    </row>
    <row r="159" spans="1:8" x14ac:dyDescent="0.3">
      <c r="A159" s="37"/>
      <c r="B159" s="87"/>
      <c r="C159" s="39"/>
      <c r="D159" s="126"/>
      <c r="E159" s="126"/>
      <c r="F159" s="39"/>
      <c r="G159" s="39"/>
      <c r="H159" s="87"/>
    </row>
    <row r="160" spans="1:8" x14ac:dyDescent="0.3">
      <c r="A160" s="37"/>
      <c r="B160" s="87"/>
      <c r="C160" s="39"/>
      <c r="D160" s="126"/>
      <c r="E160" s="126"/>
      <c r="F160" s="39"/>
      <c r="G160" s="39"/>
      <c r="H160" s="87"/>
    </row>
    <row r="161" spans="1:8" x14ac:dyDescent="0.3">
      <c r="A161" s="37"/>
      <c r="B161" s="87"/>
      <c r="C161" s="39"/>
      <c r="D161" s="126"/>
      <c r="E161" s="126"/>
      <c r="F161" s="39"/>
      <c r="G161" s="39"/>
      <c r="H161" s="87"/>
    </row>
    <row r="162" spans="1:8" x14ac:dyDescent="0.3">
      <c r="A162" s="37"/>
      <c r="B162" s="87"/>
      <c r="C162" s="39"/>
      <c r="D162" s="126"/>
      <c r="E162" s="126"/>
      <c r="F162" s="39"/>
      <c r="G162" s="39"/>
      <c r="H162" s="87"/>
    </row>
    <row r="163" spans="1:8" x14ac:dyDescent="0.3">
      <c r="A163" s="37"/>
      <c r="B163" s="87"/>
      <c r="C163" s="39"/>
      <c r="D163" s="126"/>
      <c r="E163" s="126"/>
      <c r="F163" s="39"/>
      <c r="G163" s="39"/>
      <c r="H163" s="87"/>
    </row>
    <row r="164" spans="1:8" x14ac:dyDescent="0.3">
      <c r="A164" s="37"/>
      <c r="B164" s="87"/>
      <c r="C164" s="39"/>
      <c r="D164" s="126"/>
      <c r="E164" s="126"/>
      <c r="F164" s="39"/>
      <c r="G164" s="39"/>
      <c r="H164" s="87"/>
    </row>
    <row r="165" spans="1:8" x14ac:dyDescent="0.3">
      <c r="A165" s="37"/>
      <c r="B165" s="87"/>
      <c r="C165" s="39"/>
      <c r="D165" s="126"/>
      <c r="E165" s="126"/>
      <c r="F165" s="39"/>
      <c r="G165" s="39"/>
      <c r="H165" s="87"/>
    </row>
    <row r="166" spans="1:8" x14ac:dyDescent="0.3">
      <c r="A166" s="37"/>
      <c r="B166" s="87"/>
      <c r="C166" s="39"/>
      <c r="D166" s="126"/>
      <c r="E166" s="126"/>
      <c r="F166" s="39"/>
      <c r="G166" s="39"/>
      <c r="H166" s="87"/>
    </row>
    <row r="167" spans="1:8" x14ac:dyDescent="0.3">
      <c r="A167" s="37"/>
      <c r="B167" s="87"/>
      <c r="C167" s="39"/>
      <c r="D167" s="126"/>
      <c r="E167" s="126"/>
      <c r="F167" s="39"/>
      <c r="G167" s="39"/>
      <c r="H167" s="87"/>
    </row>
    <row r="168" spans="1:8" x14ac:dyDescent="0.3">
      <c r="A168" s="37"/>
      <c r="B168" s="87"/>
      <c r="C168" s="39"/>
      <c r="D168" s="126"/>
      <c r="E168" s="126"/>
      <c r="F168" s="39"/>
      <c r="G168" s="39"/>
      <c r="H168" s="87"/>
    </row>
    <row r="169" spans="1:8" x14ac:dyDescent="0.3">
      <c r="A169" s="37"/>
      <c r="B169" s="87"/>
      <c r="C169" s="39"/>
      <c r="D169" s="126"/>
      <c r="E169" s="126"/>
      <c r="F169" s="39"/>
      <c r="G169" s="39"/>
      <c r="H169" s="87"/>
    </row>
    <row r="170" spans="1:8" x14ac:dyDescent="0.3">
      <c r="A170" s="37"/>
      <c r="B170" s="87"/>
      <c r="C170" s="39"/>
      <c r="D170" s="126"/>
      <c r="E170" s="126"/>
      <c r="F170" s="39"/>
      <c r="G170" s="39"/>
      <c r="H170" s="87"/>
    </row>
    <row r="171" spans="1:8" x14ac:dyDescent="0.3">
      <c r="A171" s="37"/>
      <c r="B171" s="87"/>
      <c r="C171" s="39"/>
      <c r="D171" s="126"/>
      <c r="E171" s="126"/>
      <c r="F171" s="39"/>
      <c r="G171" s="39"/>
      <c r="H171" s="87"/>
    </row>
    <row r="172" spans="1:8" x14ac:dyDescent="0.3">
      <c r="A172" s="37"/>
      <c r="B172" s="87"/>
      <c r="C172" s="39"/>
      <c r="D172" s="126"/>
      <c r="E172" s="126"/>
      <c r="F172" s="39"/>
      <c r="G172" s="39"/>
      <c r="H172" s="87"/>
    </row>
    <row r="173" spans="1:8" x14ac:dyDescent="0.3">
      <c r="A173" s="37"/>
      <c r="B173" s="87"/>
      <c r="C173" s="39"/>
      <c r="D173" s="126"/>
      <c r="E173" s="126"/>
      <c r="F173" s="39"/>
      <c r="G173" s="39"/>
      <c r="H173" s="87"/>
    </row>
    <row r="174" spans="1:8" x14ac:dyDescent="0.3">
      <c r="A174" s="37"/>
      <c r="B174" s="87"/>
      <c r="C174" s="39"/>
      <c r="D174" s="126"/>
      <c r="E174" s="126"/>
      <c r="F174" s="39"/>
      <c r="G174" s="39"/>
      <c r="H174" s="87"/>
    </row>
    <row r="175" spans="1:8" x14ac:dyDescent="0.3">
      <c r="A175" s="37"/>
      <c r="B175" s="87"/>
      <c r="C175" s="39"/>
      <c r="D175" s="126"/>
      <c r="E175" s="126"/>
      <c r="F175" s="39"/>
      <c r="G175" s="39"/>
      <c r="H175" s="87"/>
    </row>
    <row r="176" spans="1:8" x14ac:dyDescent="0.3">
      <c r="A176" s="37"/>
      <c r="B176" s="87"/>
      <c r="C176" s="39"/>
      <c r="D176" s="126"/>
      <c r="E176" s="126"/>
      <c r="F176" s="39"/>
      <c r="G176" s="39"/>
      <c r="H176" s="87"/>
    </row>
    <row r="177" spans="1:8" x14ac:dyDescent="0.3">
      <c r="A177" s="37"/>
      <c r="B177" s="87"/>
      <c r="C177" s="39"/>
      <c r="D177" s="126"/>
      <c r="E177" s="126"/>
      <c r="F177" s="39"/>
      <c r="G177" s="39"/>
      <c r="H177" s="87"/>
    </row>
    <row r="178" spans="1:8" x14ac:dyDescent="0.3">
      <c r="A178" s="37"/>
      <c r="B178" s="87"/>
      <c r="C178" s="39"/>
      <c r="D178" s="126"/>
      <c r="E178" s="126"/>
      <c r="F178" s="39"/>
      <c r="G178" s="39"/>
      <c r="H178" s="87"/>
    </row>
    <row r="179" spans="1:8" x14ac:dyDescent="0.3">
      <c r="A179" s="37"/>
      <c r="B179" s="87"/>
      <c r="C179" s="39"/>
      <c r="D179" s="126"/>
      <c r="E179" s="126"/>
      <c r="F179" s="39"/>
      <c r="G179" s="39"/>
      <c r="H179" s="87"/>
    </row>
    <row r="180" spans="1:8" x14ac:dyDescent="0.3">
      <c r="A180" s="37"/>
      <c r="B180" s="87"/>
      <c r="C180" s="39"/>
      <c r="D180" s="126"/>
      <c r="E180" s="126"/>
      <c r="F180" s="39"/>
      <c r="G180" s="39"/>
      <c r="H180" s="87"/>
    </row>
    <row r="181" spans="1:8" x14ac:dyDescent="0.3">
      <c r="A181" s="37"/>
      <c r="B181" s="87"/>
      <c r="C181" s="39"/>
      <c r="D181" s="126"/>
      <c r="E181" s="126"/>
      <c r="F181" s="39"/>
      <c r="G181" s="39"/>
      <c r="H181" s="87"/>
    </row>
    <row r="182" spans="1:8" x14ac:dyDescent="0.3">
      <c r="A182" s="37"/>
      <c r="B182" s="87"/>
      <c r="C182" s="39"/>
      <c r="D182" s="126"/>
      <c r="E182" s="126"/>
      <c r="F182" s="39"/>
      <c r="G182" s="39"/>
      <c r="H182" s="87"/>
    </row>
    <row r="183" spans="1:8" x14ac:dyDescent="0.3">
      <c r="A183" s="37"/>
      <c r="B183" s="87"/>
      <c r="C183" s="39"/>
      <c r="D183" s="126"/>
      <c r="E183" s="126"/>
      <c r="F183" s="39"/>
      <c r="G183" s="39"/>
      <c r="H183" s="87"/>
    </row>
    <row r="184" spans="1:8" x14ac:dyDescent="0.3">
      <c r="A184" s="37"/>
      <c r="B184" s="87"/>
      <c r="C184" s="39"/>
      <c r="D184" s="126"/>
      <c r="E184" s="126"/>
      <c r="F184" s="39"/>
      <c r="G184" s="39"/>
      <c r="H184" s="87"/>
    </row>
    <row r="185" spans="1:8" x14ac:dyDescent="0.3">
      <c r="A185" s="37"/>
      <c r="B185" s="87"/>
      <c r="C185" s="39"/>
      <c r="D185" s="126"/>
      <c r="E185" s="126"/>
      <c r="F185" s="39"/>
      <c r="G185" s="39"/>
      <c r="H185" s="87"/>
    </row>
    <row r="186" spans="1:8" x14ac:dyDescent="0.3">
      <c r="A186" s="37"/>
      <c r="B186" s="87"/>
      <c r="C186" s="39"/>
      <c r="D186" s="126"/>
      <c r="E186" s="126"/>
      <c r="F186" s="39"/>
      <c r="G186" s="39"/>
      <c r="H186" s="87"/>
    </row>
    <row r="187" spans="1:8" x14ac:dyDescent="0.3">
      <c r="A187" s="37"/>
      <c r="B187" s="87"/>
      <c r="C187" s="39"/>
      <c r="D187" s="126"/>
      <c r="E187" s="126"/>
      <c r="F187" s="39"/>
      <c r="G187" s="39"/>
      <c r="H187" s="87"/>
    </row>
    <row r="188" spans="1:8" x14ac:dyDescent="0.3">
      <c r="A188" s="37"/>
      <c r="B188" s="87"/>
      <c r="C188" s="39"/>
      <c r="D188" s="126"/>
      <c r="E188" s="126"/>
      <c r="F188" s="39"/>
      <c r="G188" s="39"/>
      <c r="H188" s="87"/>
    </row>
    <row r="189" spans="1:8" x14ac:dyDescent="0.3">
      <c r="A189" s="37"/>
      <c r="B189" s="87"/>
      <c r="C189" s="39"/>
      <c r="D189" s="126"/>
      <c r="E189" s="126"/>
      <c r="F189" s="39"/>
      <c r="G189" s="39"/>
      <c r="H189" s="87"/>
    </row>
    <row r="190" spans="1:8" x14ac:dyDescent="0.3">
      <c r="A190" s="37"/>
      <c r="B190" s="87"/>
      <c r="C190" s="39"/>
      <c r="D190" s="126"/>
      <c r="E190" s="126"/>
      <c r="F190" s="39"/>
      <c r="G190" s="39"/>
      <c r="H190" s="87"/>
    </row>
    <row r="191" spans="1:8" x14ac:dyDescent="0.3">
      <c r="A191" s="37"/>
      <c r="B191" s="87"/>
      <c r="C191" s="39"/>
      <c r="D191" s="126"/>
      <c r="E191" s="126"/>
      <c r="F191" s="39"/>
      <c r="G191" s="39"/>
      <c r="H191" s="87"/>
    </row>
    <row r="192" spans="1:8" x14ac:dyDescent="0.3">
      <c r="A192" s="37"/>
      <c r="B192" s="87"/>
      <c r="C192" s="39"/>
      <c r="D192" s="126"/>
      <c r="E192" s="126"/>
      <c r="F192" s="39"/>
      <c r="G192" s="39"/>
      <c r="H192" s="87"/>
    </row>
    <row r="193" spans="1:8" x14ac:dyDescent="0.3">
      <c r="A193" s="37"/>
      <c r="B193" s="87"/>
      <c r="C193" s="39"/>
      <c r="D193" s="126"/>
      <c r="E193" s="126"/>
      <c r="F193" s="39"/>
      <c r="G193" s="39"/>
      <c r="H193" s="87"/>
    </row>
    <row r="194" spans="1:8" x14ac:dyDescent="0.3">
      <c r="A194" s="37"/>
      <c r="B194" s="87"/>
      <c r="C194" s="39"/>
      <c r="D194" s="126"/>
      <c r="E194" s="126"/>
      <c r="F194" s="39"/>
      <c r="G194" s="39"/>
      <c r="H194" s="87"/>
    </row>
    <row r="195" spans="1:8" x14ac:dyDescent="0.3">
      <c r="A195" s="37"/>
      <c r="B195" s="87"/>
      <c r="C195" s="39"/>
      <c r="D195" s="126"/>
      <c r="E195" s="126"/>
      <c r="F195" s="39"/>
      <c r="G195" s="39"/>
      <c r="H195" s="87"/>
    </row>
    <row r="196" spans="1:8" x14ac:dyDescent="0.3">
      <c r="A196" s="37"/>
      <c r="B196" s="87"/>
      <c r="C196" s="39"/>
      <c r="D196" s="126"/>
      <c r="E196" s="126"/>
      <c r="F196" s="39"/>
      <c r="G196" s="39"/>
      <c r="H196" s="87"/>
    </row>
    <row r="197" spans="1:8" x14ac:dyDescent="0.3">
      <c r="A197" s="37"/>
      <c r="B197" s="87"/>
      <c r="C197" s="39"/>
      <c r="D197" s="126"/>
      <c r="E197" s="126"/>
      <c r="F197" s="39"/>
      <c r="G197" s="39"/>
      <c r="H197" s="87"/>
    </row>
    <row r="198" spans="1:8" x14ac:dyDescent="0.3">
      <c r="A198" s="37"/>
      <c r="B198" s="87"/>
      <c r="C198" s="39"/>
      <c r="D198" s="126"/>
      <c r="E198" s="126"/>
      <c r="F198" s="39"/>
      <c r="G198" s="39"/>
      <c r="H198" s="87"/>
    </row>
    <row r="199" spans="1:8" x14ac:dyDescent="0.3">
      <c r="A199" s="37"/>
      <c r="B199" s="87"/>
      <c r="C199" s="39"/>
      <c r="D199" s="126"/>
      <c r="E199" s="126"/>
      <c r="F199" s="39"/>
      <c r="G199" s="39"/>
      <c r="H199" s="87"/>
    </row>
    <row r="200" spans="1:8" x14ac:dyDescent="0.3">
      <c r="A200" s="37"/>
      <c r="B200" s="87"/>
      <c r="C200" s="39"/>
      <c r="D200" s="126"/>
      <c r="E200" s="126"/>
      <c r="F200" s="39"/>
      <c r="G200" s="39"/>
      <c r="H200" s="87"/>
    </row>
    <row r="201" spans="1:8" x14ac:dyDescent="0.3">
      <c r="A201" s="37"/>
      <c r="B201" s="87"/>
      <c r="C201" s="39"/>
      <c r="D201" s="126"/>
      <c r="E201" s="126"/>
      <c r="F201" s="39"/>
      <c r="G201" s="39"/>
      <c r="H201" s="87"/>
    </row>
    <row r="202" spans="1:8" x14ac:dyDescent="0.3">
      <c r="A202" s="37"/>
      <c r="B202" s="87"/>
      <c r="C202" s="39"/>
      <c r="D202" s="126"/>
      <c r="E202" s="126"/>
      <c r="F202" s="39"/>
      <c r="G202" s="39"/>
      <c r="H202" s="87"/>
    </row>
    <row r="203" spans="1:8" x14ac:dyDescent="0.3">
      <c r="A203" s="37"/>
      <c r="B203" s="87"/>
      <c r="C203" s="39"/>
      <c r="D203" s="126"/>
      <c r="E203" s="126"/>
      <c r="F203" s="39"/>
      <c r="G203" s="39"/>
      <c r="H203" s="87"/>
    </row>
    <row r="204" spans="1:8" x14ac:dyDescent="0.3">
      <c r="A204" s="37"/>
      <c r="B204" s="87"/>
      <c r="C204" s="39"/>
      <c r="D204" s="126"/>
      <c r="E204" s="126"/>
      <c r="F204" s="39"/>
      <c r="G204" s="39"/>
      <c r="H204" s="87"/>
    </row>
    <row r="205" spans="1:8" x14ac:dyDescent="0.3">
      <c r="A205" s="37"/>
      <c r="B205" s="87"/>
      <c r="C205" s="39"/>
      <c r="D205" s="126"/>
      <c r="E205" s="126"/>
      <c r="F205" s="39"/>
      <c r="G205" s="39"/>
      <c r="H205" s="87"/>
    </row>
    <row r="206" spans="1:8" x14ac:dyDescent="0.3">
      <c r="A206" s="37"/>
      <c r="B206" s="87"/>
      <c r="C206" s="39"/>
      <c r="D206" s="126"/>
      <c r="E206" s="126"/>
      <c r="F206" s="39"/>
      <c r="G206" s="39"/>
      <c r="H206" s="87"/>
    </row>
    <row r="207" spans="1:8" x14ac:dyDescent="0.3">
      <c r="A207" s="37"/>
      <c r="B207" s="87"/>
      <c r="C207" s="39"/>
      <c r="D207" s="126"/>
      <c r="E207" s="126"/>
      <c r="F207" s="39"/>
      <c r="G207" s="39"/>
      <c r="H207" s="87"/>
    </row>
    <row r="208" spans="1:8" x14ac:dyDescent="0.3">
      <c r="A208" s="37"/>
      <c r="B208" s="87"/>
      <c r="C208" s="39"/>
      <c r="D208" s="126"/>
      <c r="E208" s="126"/>
      <c r="F208" s="39"/>
      <c r="G208" s="39"/>
      <c r="H208" s="87"/>
    </row>
    <row r="209" spans="1:8" x14ac:dyDescent="0.3">
      <c r="A209" s="37"/>
      <c r="B209" s="87"/>
      <c r="C209" s="39"/>
      <c r="D209" s="126"/>
      <c r="E209" s="126"/>
      <c r="F209" s="39"/>
      <c r="G209" s="39"/>
      <c r="H209" s="87"/>
    </row>
    <row r="210" spans="1:8" x14ac:dyDescent="0.3">
      <c r="A210" s="37"/>
      <c r="B210" s="87"/>
      <c r="C210" s="39"/>
      <c r="D210" s="126"/>
      <c r="E210" s="126"/>
      <c r="F210" s="39"/>
      <c r="G210" s="39"/>
      <c r="H210" s="87"/>
    </row>
    <row r="211" spans="1:8" x14ac:dyDescent="0.3">
      <c r="A211" s="37"/>
      <c r="B211" s="87"/>
      <c r="C211" s="39"/>
      <c r="D211" s="126"/>
      <c r="E211" s="126"/>
      <c r="F211" s="39"/>
      <c r="G211" s="39"/>
      <c r="H211" s="87"/>
    </row>
    <row r="212" spans="1:8" x14ac:dyDescent="0.3">
      <c r="A212" s="37"/>
      <c r="B212" s="87"/>
      <c r="C212" s="39"/>
      <c r="D212" s="126"/>
      <c r="E212" s="126"/>
      <c r="F212" s="39"/>
      <c r="G212" s="39"/>
      <c r="H212" s="87"/>
    </row>
    <row r="213" spans="1:8" x14ac:dyDescent="0.3">
      <c r="A213" s="37"/>
      <c r="B213" s="87"/>
      <c r="C213" s="39"/>
      <c r="D213" s="126"/>
      <c r="E213" s="126"/>
      <c r="F213" s="39"/>
      <c r="G213" s="39"/>
      <c r="H213" s="87"/>
    </row>
    <row r="214" spans="1:8" x14ac:dyDescent="0.3">
      <c r="A214" s="37"/>
      <c r="B214" s="87"/>
      <c r="C214" s="39"/>
      <c r="D214" s="126"/>
      <c r="E214" s="126"/>
      <c r="F214" s="39"/>
      <c r="G214" s="39"/>
      <c r="H214" s="87"/>
    </row>
    <row r="215" spans="1:8" x14ac:dyDescent="0.3">
      <c r="A215" s="37"/>
      <c r="B215" s="87"/>
      <c r="C215" s="39"/>
      <c r="D215" s="126"/>
      <c r="E215" s="126"/>
      <c r="F215" s="39"/>
      <c r="G215" s="39"/>
      <c r="H215" s="87"/>
    </row>
    <row r="216" spans="1:8" x14ac:dyDescent="0.3">
      <c r="A216" s="37"/>
      <c r="B216" s="87"/>
      <c r="C216" s="39"/>
      <c r="D216" s="126"/>
      <c r="E216" s="126"/>
      <c r="F216" s="39"/>
      <c r="G216" s="39"/>
      <c r="H216" s="87"/>
    </row>
    <row r="217" spans="1:8" x14ac:dyDescent="0.3">
      <c r="A217" s="37"/>
      <c r="B217" s="87"/>
      <c r="C217" s="39"/>
      <c r="D217" s="126"/>
      <c r="E217" s="126"/>
      <c r="F217" s="39"/>
      <c r="G217" s="39"/>
      <c r="H217" s="87"/>
    </row>
    <row r="218" spans="1:8" x14ac:dyDescent="0.3">
      <c r="A218" s="37"/>
      <c r="B218" s="87"/>
      <c r="C218" s="39"/>
      <c r="D218" s="126"/>
      <c r="E218" s="126"/>
      <c r="F218" s="39"/>
      <c r="G218" s="39"/>
      <c r="H218" s="87"/>
    </row>
    <row r="219" spans="1:8" x14ac:dyDescent="0.3">
      <c r="A219" s="37"/>
      <c r="B219" s="87"/>
      <c r="C219" s="39"/>
      <c r="D219" s="126"/>
      <c r="E219" s="126"/>
      <c r="F219" s="39"/>
      <c r="G219" s="39"/>
      <c r="H219" s="87"/>
    </row>
    <row r="220" spans="1:8" x14ac:dyDescent="0.3">
      <c r="A220" s="37"/>
      <c r="B220" s="87"/>
      <c r="C220" s="39"/>
      <c r="D220" s="126"/>
      <c r="E220" s="126"/>
      <c r="F220" s="39"/>
      <c r="G220" s="39"/>
      <c r="H220" s="87"/>
    </row>
    <row r="221" spans="1:8" x14ac:dyDescent="0.3">
      <c r="A221" s="37"/>
      <c r="B221" s="87"/>
      <c r="C221" s="39"/>
      <c r="D221" s="126"/>
      <c r="E221" s="126"/>
      <c r="F221" s="39"/>
      <c r="G221" s="39"/>
      <c r="H221" s="87"/>
    </row>
    <row r="222" spans="1:8" x14ac:dyDescent="0.3">
      <c r="A222" s="37"/>
      <c r="B222" s="87"/>
      <c r="C222" s="39"/>
      <c r="D222" s="126"/>
      <c r="E222" s="126"/>
      <c r="F222" s="39"/>
      <c r="G222" s="39"/>
      <c r="H222" s="87"/>
    </row>
    <row r="223" spans="1:8" x14ac:dyDescent="0.3">
      <c r="A223" s="37"/>
      <c r="B223" s="87"/>
      <c r="C223" s="39"/>
      <c r="D223" s="126"/>
      <c r="E223" s="126"/>
      <c r="F223" s="39"/>
      <c r="G223" s="39"/>
      <c r="H223" s="87"/>
    </row>
    <row r="224" spans="1:8" x14ac:dyDescent="0.3">
      <c r="A224" s="37"/>
      <c r="B224" s="87"/>
      <c r="C224" s="39"/>
      <c r="D224" s="126"/>
      <c r="E224" s="126"/>
      <c r="F224" s="39"/>
      <c r="G224" s="39"/>
      <c r="H224" s="87"/>
    </row>
    <row r="225" spans="1:8" x14ac:dyDescent="0.3">
      <c r="A225" s="37"/>
      <c r="B225" s="87"/>
      <c r="C225" s="39"/>
      <c r="D225" s="126"/>
      <c r="E225" s="126"/>
      <c r="F225" s="39"/>
      <c r="G225" s="39"/>
      <c r="H225" s="87"/>
    </row>
    <row r="226" spans="1:8" x14ac:dyDescent="0.3">
      <c r="A226" s="37"/>
      <c r="B226" s="87"/>
      <c r="C226" s="39"/>
      <c r="D226" s="126"/>
      <c r="E226" s="126"/>
      <c r="F226" s="39"/>
      <c r="G226" s="39"/>
      <c r="H226" s="87"/>
    </row>
    <row r="227" spans="1:8" x14ac:dyDescent="0.3">
      <c r="A227" s="37"/>
      <c r="B227" s="87"/>
      <c r="C227" s="39"/>
      <c r="D227" s="126"/>
      <c r="E227" s="126"/>
      <c r="F227" s="39"/>
      <c r="G227" s="39"/>
      <c r="H227" s="87"/>
    </row>
    <row r="228" spans="1:8" x14ac:dyDescent="0.3">
      <c r="A228" s="37"/>
      <c r="B228" s="87"/>
      <c r="C228" s="39"/>
      <c r="D228" s="126"/>
      <c r="E228" s="126"/>
      <c r="F228" s="39"/>
      <c r="G228" s="39"/>
      <c r="H228" s="87"/>
    </row>
    <row r="229" spans="1:8" x14ac:dyDescent="0.3">
      <c r="A229" s="37"/>
      <c r="B229" s="87"/>
      <c r="C229" s="39"/>
      <c r="D229" s="126"/>
      <c r="E229" s="126"/>
      <c r="F229" s="39"/>
      <c r="G229" s="39"/>
      <c r="H229" s="87"/>
    </row>
    <row r="230" spans="1:8" x14ac:dyDescent="0.3">
      <c r="A230" s="37"/>
      <c r="B230" s="87"/>
      <c r="C230" s="39"/>
      <c r="D230" s="126"/>
      <c r="E230" s="126"/>
      <c r="F230" s="39"/>
      <c r="G230" s="39"/>
      <c r="H230" s="87"/>
    </row>
    <row r="231" spans="1:8" x14ac:dyDescent="0.3">
      <c r="A231" s="37"/>
      <c r="B231" s="87"/>
      <c r="C231" s="39"/>
      <c r="D231" s="126"/>
      <c r="E231" s="126"/>
      <c r="F231" s="39"/>
      <c r="G231" s="39"/>
      <c r="H231" s="87"/>
    </row>
    <row r="232" spans="1:8" x14ac:dyDescent="0.3">
      <c r="A232" s="37"/>
      <c r="B232" s="87"/>
      <c r="C232" s="39"/>
      <c r="D232" s="126"/>
      <c r="E232" s="126"/>
      <c r="F232" s="39"/>
      <c r="G232" s="39"/>
      <c r="H232" s="87"/>
    </row>
    <row r="233" spans="1:8" x14ac:dyDescent="0.3">
      <c r="A233" s="37"/>
      <c r="B233" s="87"/>
      <c r="C233" s="39"/>
      <c r="D233" s="126"/>
      <c r="E233" s="126"/>
      <c r="F233" s="39"/>
      <c r="G233" s="39"/>
      <c r="H233" s="87"/>
    </row>
    <row r="234" spans="1:8" x14ac:dyDescent="0.3">
      <c r="A234" s="37"/>
      <c r="B234" s="87"/>
      <c r="C234" s="39"/>
      <c r="D234" s="126"/>
      <c r="E234" s="126"/>
      <c r="F234" s="39"/>
      <c r="G234" s="39"/>
      <c r="H234" s="87"/>
    </row>
    <row r="235" spans="1:8" x14ac:dyDescent="0.3">
      <c r="A235" s="37"/>
      <c r="B235" s="87"/>
      <c r="C235" s="39"/>
      <c r="D235" s="126"/>
      <c r="E235" s="126"/>
      <c r="F235" s="39"/>
      <c r="G235" s="39"/>
      <c r="H235" s="87"/>
    </row>
    <row r="236" spans="1:8" x14ac:dyDescent="0.3">
      <c r="A236" s="37"/>
      <c r="B236" s="87"/>
      <c r="C236" s="39"/>
      <c r="D236" s="126"/>
      <c r="E236" s="126"/>
      <c r="F236" s="39"/>
      <c r="G236" s="39"/>
      <c r="H236" s="87"/>
    </row>
    <row r="237" spans="1:8" x14ac:dyDescent="0.3">
      <c r="A237" s="37"/>
      <c r="B237" s="87"/>
      <c r="C237" s="39"/>
      <c r="D237" s="126"/>
      <c r="E237" s="126"/>
      <c r="F237" s="39"/>
      <c r="G237" s="39"/>
      <c r="H237" s="87"/>
    </row>
    <row r="238" spans="1:8" x14ac:dyDescent="0.3">
      <c r="A238" s="37"/>
      <c r="B238" s="87"/>
      <c r="C238" s="39"/>
      <c r="D238" s="126"/>
      <c r="E238" s="126"/>
      <c r="F238" s="39"/>
      <c r="G238" s="39"/>
      <c r="H238" s="87"/>
    </row>
    <row r="239" spans="1:8" x14ac:dyDescent="0.3">
      <c r="A239" s="37"/>
      <c r="B239" s="87"/>
      <c r="C239" s="39"/>
      <c r="D239" s="126"/>
      <c r="E239" s="126"/>
      <c r="F239" s="39"/>
      <c r="G239" s="39"/>
      <c r="H239" s="87"/>
    </row>
    <row r="240" spans="1:8" x14ac:dyDescent="0.3">
      <c r="A240" s="37"/>
      <c r="B240" s="87"/>
      <c r="C240" s="39"/>
      <c r="D240" s="126"/>
      <c r="E240" s="126"/>
      <c r="F240" s="39"/>
      <c r="G240" s="39"/>
      <c r="H240" s="87"/>
    </row>
    <row r="241" spans="1:8" x14ac:dyDescent="0.3">
      <c r="A241" s="37"/>
      <c r="B241" s="87"/>
      <c r="C241" s="39"/>
      <c r="D241" s="126"/>
      <c r="E241" s="126"/>
      <c r="F241" s="39"/>
      <c r="G241" s="39"/>
      <c r="H241" s="87"/>
    </row>
  </sheetData>
  <sortState ref="B5:F49">
    <sortCondition ref="B49"/>
  </sortState>
  <mergeCells count="16">
    <mergeCell ref="K3:L3"/>
    <mergeCell ref="K4:L4"/>
    <mergeCell ref="AG3:AG4"/>
    <mergeCell ref="N3:O3"/>
    <mergeCell ref="Q3:R3"/>
    <mergeCell ref="AD3:AD4"/>
    <mergeCell ref="AF3:AF4"/>
    <mergeCell ref="N4:O4"/>
    <mergeCell ref="Q4:R4"/>
    <mergeCell ref="T3:U3"/>
    <mergeCell ref="T4:U4"/>
    <mergeCell ref="W3:X3"/>
    <mergeCell ref="W4:X4"/>
    <mergeCell ref="AE3:AE4"/>
    <mergeCell ref="Z3:AA3"/>
    <mergeCell ref="Z4:AA4"/>
  </mergeCells>
  <pageMargins left="0.25" right="0.25" top="0.15" bottom="0.75" header="0.3" footer="0.3"/>
  <pageSetup paperSize="9" scale="36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5" sqref="F5"/>
    </sheetView>
  </sheetViews>
  <sheetFormatPr defaultRowHeight="16.5" x14ac:dyDescent="0.3"/>
  <cols>
    <col min="1" max="1" width="9.140625" style="1"/>
    <col min="2" max="2" width="31.7109375" style="1" bestFit="1" customWidth="1"/>
    <col min="3" max="3" width="9.42578125" style="15" bestFit="1" customWidth="1"/>
    <col min="4" max="4" width="11.28515625" style="15" bestFit="1" customWidth="1"/>
    <col min="5" max="5" width="14.28515625" style="15" bestFit="1" customWidth="1"/>
    <col min="6" max="6" width="11.5703125" style="1" bestFit="1" customWidth="1"/>
    <col min="7" max="7" width="39.85546875" style="15" bestFit="1" customWidth="1"/>
    <col min="8" max="8" width="40.5703125" style="15" bestFit="1" customWidth="1"/>
    <col min="9" max="9" width="8.5703125" style="1" bestFit="1" customWidth="1"/>
    <col min="10" max="10" width="13.85546875" style="1" bestFit="1" customWidth="1"/>
    <col min="11" max="16384" width="9.140625" style="1"/>
  </cols>
  <sheetData>
    <row r="1" spans="1:10" x14ac:dyDescent="0.3">
      <c r="A1" s="4" t="s">
        <v>0</v>
      </c>
    </row>
    <row r="2" spans="1:10" x14ac:dyDescent="0.3">
      <c r="A2" s="4" t="s">
        <v>43</v>
      </c>
    </row>
    <row r="3" spans="1:10" x14ac:dyDescent="0.3">
      <c r="A3" s="43" t="s">
        <v>2653</v>
      </c>
    </row>
    <row r="4" spans="1:10" x14ac:dyDescent="0.3">
      <c r="A4" s="2" t="s">
        <v>1</v>
      </c>
      <c r="B4" s="2" t="s">
        <v>2</v>
      </c>
      <c r="C4" s="2" t="s">
        <v>1502</v>
      </c>
      <c r="D4" s="2" t="s">
        <v>1499</v>
      </c>
      <c r="E4" s="3" t="s">
        <v>2659</v>
      </c>
      <c r="F4" s="3" t="s">
        <v>507</v>
      </c>
      <c r="G4" s="2" t="s">
        <v>5</v>
      </c>
      <c r="H4" s="7" t="s">
        <v>6</v>
      </c>
      <c r="I4" s="7" t="s">
        <v>335</v>
      </c>
      <c r="J4" s="45" t="s">
        <v>368</v>
      </c>
    </row>
    <row r="5" spans="1:10" x14ac:dyDescent="0.3">
      <c r="A5" s="82">
        <v>1</v>
      </c>
      <c r="B5" s="83" t="s">
        <v>2656</v>
      </c>
      <c r="C5" s="82" t="s">
        <v>2657</v>
      </c>
      <c r="D5" s="82" t="s">
        <v>2658</v>
      </c>
      <c r="E5" s="9"/>
      <c r="F5" s="9"/>
      <c r="G5" s="82"/>
      <c r="H5" s="82"/>
      <c r="I5" s="46"/>
      <c r="J5" s="356">
        <v>42299</v>
      </c>
    </row>
    <row r="8" spans="1:10" x14ac:dyDescent="0.3">
      <c r="B8" s="1" t="s">
        <v>2654</v>
      </c>
    </row>
    <row r="9" spans="1:10" x14ac:dyDescent="0.3">
      <c r="B9" s="1" t="s">
        <v>2387</v>
      </c>
    </row>
    <row r="10" spans="1:10" x14ac:dyDescent="0.3">
      <c r="B10" s="1" t="s">
        <v>2388</v>
      </c>
    </row>
    <row r="11" spans="1:10" x14ac:dyDescent="0.3">
      <c r="B11" s="1" t="s">
        <v>2389</v>
      </c>
    </row>
    <row r="13" spans="1:10" x14ac:dyDescent="0.3">
      <c r="B13" s="1" t="s">
        <v>2655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3" sqref="E22:E23"/>
    </sheetView>
  </sheetViews>
  <sheetFormatPr defaultRowHeight="16.5" x14ac:dyDescent="0.3"/>
  <cols>
    <col min="1" max="1" width="9.140625" style="1"/>
    <col min="2" max="2" width="37.28515625" style="1" bestFit="1" customWidth="1"/>
    <col min="3" max="3" width="9.42578125" style="15" bestFit="1" customWidth="1"/>
    <col min="4" max="4" width="11.28515625" style="15" bestFit="1" customWidth="1"/>
    <col min="5" max="5" width="14.28515625" style="15" bestFit="1" customWidth="1"/>
    <col min="6" max="6" width="7.42578125" style="1" bestFit="1" customWidth="1"/>
    <col min="7" max="7" width="39.85546875" style="15" bestFit="1" customWidth="1"/>
    <col min="8" max="8" width="40.5703125" style="15" bestFit="1" customWidth="1"/>
    <col min="9" max="9" width="8.5703125" style="1" bestFit="1" customWidth="1"/>
    <col min="10" max="10" width="15.42578125" style="15" bestFit="1" customWidth="1"/>
    <col min="11" max="16384" width="9.140625" style="1"/>
  </cols>
  <sheetData>
    <row r="1" spans="1:10" x14ac:dyDescent="0.3">
      <c r="A1" s="4" t="s">
        <v>0</v>
      </c>
    </row>
    <row r="2" spans="1:10" x14ac:dyDescent="0.3">
      <c r="A2" s="4" t="s">
        <v>43</v>
      </c>
    </row>
    <row r="3" spans="1:10" x14ac:dyDescent="0.3">
      <c r="A3" s="43" t="s">
        <v>2707</v>
      </c>
    </row>
    <row r="4" spans="1:10" x14ac:dyDescent="0.3">
      <c r="A4" s="2" t="s">
        <v>1</v>
      </c>
      <c r="B4" s="2" t="s">
        <v>2</v>
      </c>
      <c r="C4" s="2" t="s">
        <v>1502</v>
      </c>
      <c r="D4" s="2" t="s">
        <v>1499</v>
      </c>
      <c r="E4" s="3" t="s">
        <v>3</v>
      </c>
      <c r="F4" s="3"/>
      <c r="G4" s="2" t="s">
        <v>5</v>
      </c>
      <c r="H4" s="7" t="s">
        <v>6</v>
      </c>
      <c r="I4" s="7"/>
      <c r="J4" s="68"/>
    </row>
    <row r="5" spans="1:10" x14ac:dyDescent="0.3">
      <c r="A5" s="82">
        <v>1</v>
      </c>
      <c r="B5" s="83" t="s">
        <v>2698</v>
      </c>
      <c r="C5" s="82" t="s">
        <v>2699</v>
      </c>
      <c r="D5" s="82" t="s">
        <v>2696</v>
      </c>
      <c r="E5" s="9" t="s">
        <v>2697</v>
      </c>
      <c r="F5" s="9" t="s">
        <v>641</v>
      </c>
      <c r="G5" s="82" t="s">
        <v>302</v>
      </c>
      <c r="H5" s="82"/>
      <c r="I5" s="46"/>
      <c r="J5" s="254" t="s">
        <v>2709</v>
      </c>
    </row>
    <row r="6" spans="1:10" x14ac:dyDescent="0.3">
      <c r="A6" s="82">
        <v>2</v>
      </c>
      <c r="B6" s="83" t="s">
        <v>2705</v>
      </c>
      <c r="C6" s="82"/>
      <c r="D6" s="82"/>
      <c r="E6" s="9" t="s">
        <v>2704</v>
      </c>
      <c r="F6" s="82" t="s">
        <v>2718</v>
      </c>
      <c r="G6" s="82" t="s">
        <v>2706</v>
      </c>
      <c r="H6" s="82"/>
      <c r="I6" s="83"/>
      <c r="J6" s="254" t="s">
        <v>2710</v>
      </c>
    </row>
    <row r="7" spans="1:10" x14ac:dyDescent="0.3">
      <c r="A7" s="82">
        <v>3</v>
      </c>
      <c r="B7" s="83" t="s">
        <v>2719</v>
      </c>
      <c r="C7" s="82"/>
      <c r="D7" s="82"/>
      <c r="E7" s="9" t="s">
        <v>2721</v>
      </c>
      <c r="F7" s="82" t="s">
        <v>2718</v>
      </c>
      <c r="G7" s="82"/>
      <c r="H7" s="82"/>
      <c r="I7" s="83"/>
      <c r="J7" s="254" t="s">
        <v>2710</v>
      </c>
    </row>
    <row r="8" spans="1:10" x14ac:dyDescent="0.3">
      <c r="A8" s="82">
        <v>4</v>
      </c>
      <c r="B8" s="83" t="s">
        <v>2720</v>
      </c>
      <c r="C8" s="82"/>
      <c r="D8" s="82"/>
      <c r="E8" s="9" t="s">
        <v>2722</v>
      </c>
      <c r="F8" s="82" t="s">
        <v>2718</v>
      </c>
      <c r="G8" s="82"/>
      <c r="H8" s="82"/>
      <c r="I8" s="83"/>
      <c r="J8" s="254" t="s">
        <v>2710</v>
      </c>
    </row>
    <row r="10" spans="1:10" x14ac:dyDescent="0.3">
      <c r="B10" s="1" t="s">
        <v>2700</v>
      </c>
    </row>
    <row r="11" spans="1:10" x14ac:dyDescent="0.3">
      <c r="B11" s="1" t="s">
        <v>2701</v>
      </c>
    </row>
    <row r="12" spans="1:10" x14ac:dyDescent="0.3">
      <c r="B12" s="1" t="s">
        <v>2687</v>
      </c>
    </row>
    <row r="13" spans="1:10" x14ac:dyDescent="0.3">
      <c r="B13" s="1" t="s">
        <v>2688</v>
      </c>
    </row>
    <row r="15" spans="1:10" x14ac:dyDescent="0.3">
      <c r="B15" s="1" t="s">
        <v>2702</v>
      </c>
    </row>
    <row r="16" spans="1:10" x14ac:dyDescent="0.3">
      <c r="B16" s="1" t="s">
        <v>2703</v>
      </c>
    </row>
    <row r="18" spans="2:9" x14ac:dyDescent="0.3">
      <c r="B18" s="1" t="s">
        <v>2708</v>
      </c>
    </row>
    <row r="20" spans="2:9" x14ac:dyDescent="0.3">
      <c r="I20" s="47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5" sqref="B5"/>
    </sheetView>
  </sheetViews>
  <sheetFormatPr defaultRowHeight="15" x14ac:dyDescent="0.25"/>
  <cols>
    <col min="2" max="2" width="36.5703125" customWidth="1"/>
    <col min="3" max="3" width="13.7109375" bestFit="1" customWidth="1"/>
    <col min="4" max="4" width="13.140625" bestFit="1" customWidth="1"/>
    <col min="5" max="5" width="13.140625" customWidth="1"/>
    <col min="6" max="6" width="20.7109375" customWidth="1"/>
    <col min="7" max="7" width="22.85546875" customWidth="1"/>
    <col min="8" max="8" width="39.140625" customWidth="1"/>
  </cols>
  <sheetData>
    <row r="1" spans="1:8" ht="16.5" x14ac:dyDescent="0.3">
      <c r="A1" s="4" t="s">
        <v>0</v>
      </c>
      <c r="B1" s="5"/>
      <c r="C1" s="5"/>
    </row>
    <row r="2" spans="1:8" ht="16.5" x14ac:dyDescent="0.3">
      <c r="A2" s="4" t="s">
        <v>43</v>
      </c>
      <c r="B2" s="5"/>
      <c r="C2" s="5"/>
    </row>
    <row r="4" spans="1:8" ht="16.5" x14ac:dyDescent="0.3">
      <c r="A4" s="2" t="s">
        <v>1</v>
      </c>
      <c r="B4" s="2" t="s">
        <v>2</v>
      </c>
      <c r="C4" s="2" t="s">
        <v>981</v>
      </c>
      <c r="D4" s="3" t="s">
        <v>3</v>
      </c>
      <c r="E4" s="3" t="s">
        <v>2411</v>
      </c>
      <c r="F4" s="2" t="s">
        <v>4</v>
      </c>
      <c r="G4" s="2" t="s">
        <v>5</v>
      </c>
      <c r="H4" s="7" t="s">
        <v>6</v>
      </c>
    </row>
    <row r="5" spans="1:8" ht="16.5" x14ac:dyDescent="0.3">
      <c r="A5" s="82">
        <v>1</v>
      </c>
      <c r="B5" s="83" t="s">
        <v>246</v>
      </c>
      <c r="C5" s="82" t="s">
        <v>1717</v>
      </c>
      <c r="D5" s="9" t="s">
        <v>51</v>
      </c>
      <c r="E5" s="82" t="s">
        <v>1718</v>
      </c>
      <c r="F5" s="82" t="s">
        <v>336</v>
      </c>
      <c r="G5" s="82" t="s">
        <v>302</v>
      </c>
      <c r="H5" s="10" t="s">
        <v>337</v>
      </c>
    </row>
    <row r="6" spans="1:8" ht="16.5" x14ac:dyDescent="0.3">
      <c r="A6" s="1"/>
      <c r="B6" s="1"/>
      <c r="C6" s="1"/>
      <c r="D6" s="1"/>
      <c r="E6" s="1"/>
      <c r="F6" s="1"/>
      <c r="G6" s="1"/>
      <c r="H6" s="1"/>
    </row>
    <row r="7" spans="1:8" ht="16.5" x14ac:dyDescent="0.3">
      <c r="A7" s="1"/>
      <c r="B7" s="1"/>
      <c r="C7" s="1"/>
      <c r="D7" s="1"/>
      <c r="E7" s="1"/>
      <c r="F7" s="1"/>
      <c r="G7" s="1"/>
      <c r="H7" s="1"/>
    </row>
    <row r="8" spans="1:8" ht="16.5" x14ac:dyDescent="0.3">
      <c r="A8" s="1"/>
      <c r="B8" s="1"/>
      <c r="C8" s="1"/>
      <c r="D8" s="1"/>
      <c r="E8" s="1"/>
      <c r="F8" s="1"/>
      <c r="G8" s="1"/>
      <c r="H8" s="1"/>
    </row>
    <row r="9" spans="1:8" ht="16.5" x14ac:dyDescent="0.3">
      <c r="A9" s="1"/>
      <c r="B9" s="1"/>
      <c r="C9" s="1"/>
      <c r="D9" s="1"/>
      <c r="E9" s="1"/>
      <c r="F9" s="1"/>
      <c r="G9" s="1"/>
      <c r="H9" s="1"/>
    </row>
    <row r="10" spans="1:8" ht="16.5" x14ac:dyDescent="0.3">
      <c r="A10" s="1"/>
      <c r="B10" s="1"/>
      <c r="C10" s="1"/>
      <c r="D10" s="1"/>
      <c r="E10" s="1"/>
      <c r="F10" s="1"/>
      <c r="G10" s="1"/>
      <c r="H10" s="1"/>
    </row>
    <row r="11" spans="1:8" ht="16.5" x14ac:dyDescent="0.3">
      <c r="A11" s="1"/>
      <c r="B11" s="1"/>
      <c r="C11" s="1"/>
      <c r="D11" s="1"/>
      <c r="E11" s="1"/>
      <c r="F11" s="1"/>
      <c r="G11" s="1"/>
      <c r="H11" s="1"/>
    </row>
    <row r="12" spans="1:8" ht="16.5" x14ac:dyDescent="0.3">
      <c r="A12" s="1"/>
      <c r="B12" s="1"/>
      <c r="C12" s="1"/>
      <c r="D12" s="1"/>
      <c r="E12" s="1"/>
      <c r="F12" s="1"/>
      <c r="G12" s="1"/>
      <c r="H12" s="1"/>
    </row>
    <row r="13" spans="1:8" ht="16.5" x14ac:dyDescent="0.3">
      <c r="A13" s="1"/>
      <c r="B13" s="1"/>
      <c r="C13" s="1"/>
      <c r="D13" s="1"/>
      <c r="E13" s="1"/>
      <c r="F13" s="1"/>
      <c r="G13" s="1"/>
      <c r="H13" s="1"/>
    </row>
    <row r="14" spans="1:8" ht="16.5" x14ac:dyDescent="0.3">
      <c r="A14" s="1"/>
      <c r="B14" s="1"/>
      <c r="C14" s="1"/>
      <c r="D14" s="1"/>
      <c r="E14" s="1"/>
      <c r="F14" s="1"/>
      <c r="G14" s="1"/>
      <c r="H14" s="1"/>
    </row>
    <row r="15" spans="1:8" ht="16.5" x14ac:dyDescent="0.3">
      <c r="A15" s="1"/>
      <c r="B15" s="1"/>
      <c r="C15" s="1"/>
      <c r="D15" s="1"/>
      <c r="E15" s="1"/>
      <c r="F15" s="1"/>
      <c r="G15" s="1"/>
      <c r="H15" s="1"/>
    </row>
    <row r="16" spans="1:8" ht="16.5" x14ac:dyDescent="0.3">
      <c r="A16" s="1"/>
      <c r="B16" s="1"/>
      <c r="C16" s="1"/>
      <c r="D16" s="1"/>
      <c r="E16" s="1"/>
      <c r="F16" s="1"/>
      <c r="G16" s="1"/>
      <c r="H16" s="1"/>
    </row>
    <row r="17" spans="1:8" ht="16.5" x14ac:dyDescent="0.3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view="pageBreakPreview" zoomScaleNormal="100" zoomScaleSheetLayoutView="100" workbookViewId="0">
      <selection activeCell="B5" sqref="B5"/>
    </sheetView>
  </sheetViews>
  <sheetFormatPr defaultRowHeight="16.5" x14ac:dyDescent="0.3"/>
  <cols>
    <col min="1" max="1" width="7.42578125" style="1" customWidth="1"/>
    <col min="2" max="2" width="43.5703125" style="1" customWidth="1"/>
    <col min="3" max="3" width="13.7109375" style="15" bestFit="1" customWidth="1"/>
    <col min="4" max="5" width="16.85546875" style="15" customWidth="1"/>
    <col min="6" max="7" width="20" style="15" customWidth="1"/>
    <col min="8" max="8" width="19.5703125" style="15" customWidth="1"/>
    <col min="9" max="9" width="16.42578125" style="15" customWidth="1"/>
    <col min="10" max="10" width="19" style="15" bestFit="1" customWidth="1"/>
    <col min="11" max="16384" width="9.140625" style="1"/>
  </cols>
  <sheetData>
    <row r="1" spans="1:10" x14ac:dyDescent="0.3">
      <c r="A1" s="4" t="s">
        <v>0</v>
      </c>
    </row>
    <row r="2" spans="1:10" x14ac:dyDescent="0.3">
      <c r="A2" s="4" t="s">
        <v>43</v>
      </c>
    </row>
    <row r="3" spans="1:10" x14ac:dyDescent="0.3">
      <c r="A3" s="43" t="s">
        <v>488</v>
      </c>
    </row>
    <row r="4" spans="1:10" x14ac:dyDescent="0.3">
      <c r="A4" s="2" t="s">
        <v>1</v>
      </c>
      <c r="B4" s="2" t="s">
        <v>2</v>
      </c>
      <c r="C4" s="2" t="s">
        <v>981</v>
      </c>
      <c r="D4" s="3" t="s">
        <v>3</v>
      </c>
      <c r="E4" s="3" t="s">
        <v>2411</v>
      </c>
      <c r="F4" s="2" t="s">
        <v>5</v>
      </c>
      <c r="G4" s="2" t="s">
        <v>970</v>
      </c>
      <c r="H4" s="7" t="s">
        <v>2576</v>
      </c>
      <c r="I4" s="7" t="s">
        <v>335</v>
      </c>
      <c r="J4" s="68" t="s">
        <v>2598</v>
      </c>
    </row>
    <row r="5" spans="1:10" x14ac:dyDescent="0.3">
      <c r="A5" s="82">
        <v>1</v>
      </c>
      <c r="B5" s="83" t="s">
        <v>2412</v>
      </c>
      <c r="C5" s="82" t="s">
        <v>2413</v>
      </c>
      <c r="D5" s="138" t="s">
        <v>2409</v>
      </c>
      <c r="E5" s="82" t="s">
        <v>2410</v>
      </c>
      <c r="F5" s="82" t="s">
        <v>399</v>
      </c>
      <c r="G5" s="82" t="s">
        <v>641</v>
      </c>
      <c r="H5" s="82">
        <v>2012</v>
      </c>
      <c r="I5" s="82"/>
      <c r="J5" s="82"/>
    </row>
    <row r="6" spans="1:10" x14ac:dyDescent="0.3">
      <c r="A6" s="82">
        <v>2</v>
      </c>
      <c r="B6" s="83" t="s">
        <v>2438</v>
      </c>
      <c r="C6" s="82" t="s">
        <v>2439</v>
      </c>
      <c r="D6" s="138" t="s">
        <v>2437</v>
      </c>
      <c r="E6" s="82" t="s">
        <v>2436</v>
      </c>
      <c r="F6" s="82" t="s">
        <v>399</v>
      </c>
      <c r="G6" s="82" t="s">
        <v>641</v>
      </c>
      <c r="H6" s="82">
        <v>2012</v>
      </c>
      <c r="I6" s="82"/>
      <c r="J6" s="82"/>
    </row>
    <row r="7" spans="1:10" x14ac:dyDescent="0.3">
      <c r="A7" s="82">
        <v>3</v>
      </c>
      <c r="B7" s="83" t="s">
        <v>2428</v>
      </c>
      <c r="C7" s="82" t="s">
        <v>2429</v>
      </c>
      <c r="D7" s="137" t="s">
        <v>2427</v>
      </c>
      <c r="E7" s="9" t="s">
        <v>2426</v>
      </c>
      <c r="F7" s="82" t="s">
        <v>399</v>
      </c>
      <c r="G7" s="82" t="s">
        <v>640</v>
      </c>
      <c r="H7" s="82">
        <v>2012</v>
      </c>
      <c r="I7" s="46"/>
      <c r="J7" s="47"/>
    </row>
    <row r="8" spans="1:10" x14ac:dyDescent="0.3">
      <c r="A8" s="82">
        <v>4</v>
      </c>
      <c r="B8" s="83" t="s">
        <v>489</v>
      </c>
      <c r="C8" s="82" t="s">
        <v>2432</v>
      </c>
      <c r="D8" s="138" t="s">
        <v>2431</v>
      </c>
      <c r="E8" s="82" t="s">
        <v>2430</v>
      </c>
      <c r="F8" s="82" t="s">
        <v>399</v>
      </c>
      <c r="G8" s="82" t="s">
        <v>640</v>
      </c>
      <c r="H8" s="82">
        <v>2012</v>
      </c>
      <c r="I8" s="82"/>
      <c r="J8" s="47"/>
    </row>
    <row r="9" spans="1:10" x14ac:dyDescent="0.3">
      <c r="A9" s="82">
        <v>5</v>
      </c>
      <c r="B9" s="83" t="s">
        <v>2420</v>
      </c>
      <c r="C9" s="82" t="s">
        <v>2421</v>
      </c>
      <c r="D9" s="138" t="s">
        <v>2419</v>
      </c>
      <c r="E9" s="82" t="s">
        <v>2418</v>
      </c>
      <c r="F9" s="82" t="s">
        <v>399</v>
      </c>
      <c r="G9" s="82" t="s">
        <v>641</v>
      </c>
      <c r="H9" s="82">
        <v>2012</v>
      </c>
      <c r="I9" s="82"/>
      <c r="J9" s="82"/>
    </row>
    <row r="10" spans="1:10" x14ac:dyDescent="0.3">
      <c r="A10" s="82">
        <v>6</v>
      </c>
      <c r="B10" s="83" t="s">
        <v>2424</v>
      </c>
      <c r="C10" s="82" t="s">
        <v>2425</v>
      </c>
      <c r="D10" s="138" t="s">
        <v>2423</v>
      </c>
      <c r="E10" s="82" t="s">
        <v>2422</v>
      </c>
      <c r="F10" s="82" t="s">
        <v>399</v>
      </c>
      <c r="G10" s="82" t="s">
        <v>640</v>
      </c>
      <c r="H10" s="82">
        <v>2012</v>
      </c>
      <c r="I10" s="82"/>
      <c r="J10" s="82"/>
    </row>
    <row r="11" spans="1:10" x14ac:dyDescent="0.3">
      <c r="A11" s="82">
        <v>7</v>
      </c>
      <c r="B11" s="83" t="s">
        <v>2440</v>
      </c>
      <c r="C11" s="82" t="s">
        <v>2443</v>
      </c>
      <c r="D11" s="138" t="s">
        <v>2441</v>
      </c>
      <c r="E11" s="82" t="s">
        <v>2442</v>
      </c>
      <c r="F11" s="82" t="s">
        <v>399</v>
      </c>
      <c r="G11" s="82" t="s">
        <v>640</v>
      </c>
      <c r="H11" s="82">
        <v>2014</v>
      </c>
      <c r="I11" s="82"/>
      <c r="J11" s="82"/>
    </row>
    <row r="12" spans="1:10" x14ac:dyDescent="0.3">
      <c r="A12" s="82">
        <v>8</v>
      </c>
      <c r="B12" s="40" t="s">
        <v>490</v>
      </c>
      <c r="C12" s="12" t="s">
        <v>2435</v>
      </c>
      <c r="D12" s="138" t="s">
        <v>2434</v>
      </c>
      <c r="E12" s="82" t="s">
        <v>2433</v>
      </c>
      <c r="F12" s="82" t="s">
        <v>1168</v>
      </c>
      <c r="G12" s="82" t="s">
        <v>640</v>
      </c>
      <c r="H12" s="82">
        <v>2012</v>
      </c>
      <c r="I12" s="82"/>
      <c r="J12" s="82"/>
    </row>
    <row r="13" spans="1:10" x14ac:dyDescent="0.3">
      <c r="A13" s="82">
        <v>9</v>
      </c>
      <c r="B13" s="83" t="s">
        <v>2416</v>
      </c>
      <c r="C13" s="82" t="s">
        <v>2417</v>
      </c>
      <c r="D13" s="138" t="s">
        <v>2415</v>
      </c>
      <c r="E13" s="82" t="s">
        <v>2414</v>
      </c>
      <c r="F13" s="82" t="s">
        <v>399</v>
      </c>
      <c r="G13" s="82" t="s">
        <v>641</v>
      </c>
      <c r="H13" s="82">
        <v>2012</v>
      </c>
      <c r="I13" s="82"/>
      <c r="J13" s="82"/>
    </row>
    <row r="14" spans="1:10" x14ac:dyDescent="0.3">
      <c r="A14" s="82">
        <v>10</v>
      </c>
      <c r="B14" s="83" t="s">
        <v>2786</v>
      </c>
      <c r="C14" s="82" t="s">
        <v>2787</v>
      </c>
      <c r="D14" s="138" t="s">
        <v>2789</v>
      </c>
      <c r="E14" s="82" t="s">
        <v>2788</v>
      </c>
      <c r="F14" s="82"/>
      <c r="G14" s="82"/>
      <c r="H14" s="82"/>
      <c r="I14" s="82"/>
      <c r="J14" s="82"/>
    </row>
    <row r="15" spans="1:10" x14ac:dyDescent="0.3">
      <c r="A15" s="82">
        <v>11</v>
      </c>
      <c r="B15" s="83" t="s">
        <v>2580</v>
      </c>
      <c r="C15" s="82" t="s">
        <v>2575</v>
      </c>
      <c r="D15" s="138" t="s">
        <v>2579</v>
      </c>
      <c r="E15" s="82" t="s">
        <v>2578</v>
      </c>
      <c r="F15" s="82" t="s">
        <v>1168</v>
      </c>
      <c r="G15" s="82" t="s">
        <v>640</v>
      </c>
      <c r="H15" s="535" t="s">
        <v>2577</v>
      </c>
      <c r="I15" s="82"/>
      <c r="J15" s="82"/>
    </row>
    <row r="16" spans="1:10" x14ac:dyDescent="0.3">
      <c r="A16" s="82">
        <v>12</v>
      </c>
      <c r="B16" s="83" t="s">
        <v>2582</v>
      </c>
      <c r="C16" s="82"/>
      <c r="D16" s="138"/>
      <c r="E16" s="82" t="s">
        <v>2581</v>
      </c>
      <c r="F16" s="82"/>
      <c r="G16" s="82"/>
      <c r="H16" s="82"/>
      <c r="I16" s="82"/>
      <c r="J16" s="82"/>
    </row>
    <row r="17" spans="1:10" x14ac:dyDescent="0.3">
      <c r="A17" s="82">
        <v>13</v>
      </c>
      <c r="B17" s="83" t="s">
        <v>2791</v>
      </c>
      <c r="C17" s="82" t="s">
        <v>2790</v>
      </c>
      <c r="D17" s="138" t="s">
        <v>2792</v>
      </c>
      <c r="E17" s="82" t="s">
        <v>2793</v>
      </c>
      <c r="F17" s="82"/>
      <c r="G17" s="82"/>
      <c r="H17" s="82"/>
      <c r="I17" s="82"/>
      <c r="J17" s="82" t="s">
        <v>2895</v>
      </c>
    </row>
    <row r="18" spans="1:10" x14ac:dyDescent="0.3">
      <c r="B18"/>
      <c r="D18" s="139"/>
    </row>
    <row r="19" spans="1:10" x14ac:dyDescent="0.3">
      <c r="D19" s="139"/>
    </row>
    <row r="20" spans="1:10" x14ac:dyDescent="0.3">
      <c r="D20" s="139"/>
    </row>
    <row r="21" spans="1:10" x14ac:dyDescent="0.3">
      <c r="D21" s="139"/>
    </row>
    <row r="22" spans="1:10" x14ac:dyDescent="0.3">
      <c r="D22" s="139" t="s">
        <v>645</v>
      </c>
    </row>
    <row r="23" spans="1:10" x14ac:dyDescent="0.3">
      <c r="D23" s="139"/>
    </row>
    <row r="24" spans="1:10" x14ac:dyDescent="0.3">
      <c r="D24" s="139"/>
    </row>
    <row r="25" spans="1:10" x14ac:dyDescent="0.3">
      <c r="D25" s="139"/>
    </row>
    <row r="26" spans="1:10" x14ac:dyDescent="0.3">
      <c r="D26" s="139"/>
    </row>
    <row r="27" spans="1:10" x14ac:dyDescent="0.3">
      <c r="D27" s="139"/>
    </row>
    <row r="28" spans="1:10" x14ac:dyDescent="0.3">
      <c r="D28" s="139"/>
    </row>
  </sheetData>
  <sortState ref="B6:J13">
    <sortCondition ref="B6:B13"/>
  </sortState>
  <pageMargins left="0.7" right="0.7" top="0.75" bottom="0.75" header="0.3" footer="0.3"/>
  <pageSetup scale="63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view="pageBreakPreview" zoomScaleNormal="100" zoomScaleSheetLayoutView="100" workbookViewId="0">
      <selection activeCell="C9" sqref="C9"/>
    </sheetView>
  </sheetViews>
  <sheetFormatPr defaultRowHeight="16.5" x14ac:dyDescent="0.3"/>
  <cols>
    <col min="1" max="1" width="7.42578125" style="1" customWidth="1"/>
    <col min="2" max="2" width="43.5703125" style="1" customWidth="1"/>
    <col min="3" max="3" width="13.7109375" style="15" bestFit="1" customWidth="1"/>
    <col min="4" max="4" width="13.140625" style="15" bestFit="1" customWidth="1"/>
    <col min="5" max="5" width="11.28515625" style="15" bestFit="1" customWidth="1"/>
    <col min="6" max="6" width="37.28515625" style="15" bestFit="1" customWidth="1"/>
    <col min="7" max="7" width="3.85546875" style="15" bestFit="1" customWidth="1"/>
    <col min="8" max="8" width="7.7109375" style="15" bestFit="1" customWidth="1"/>
    <col min="9" max="9" width="49" style="15" bestFit="1" customWidth="1"/>
    <col min="10" max="10" width="27.42578125" style="15" bestFit="1" customWidth="1"/>
    <col min="11" max="16384" width="9.140625" style="1"/>
  </cols>
  <sheetData>
    <row r="1" spans="1:10" x14ac:dyDescent="0.3">
      <c r="A1" s="4" t="s">
        <v>0</v>
      </c>
    </row>
    <row r="2" spans="1:10" x14ac:dyDescent="0.3">
      <c r="A2" s="4" t="s">
        <v>43</v>
      </c>
    </row>
    <row r="3" spans="1:10" x14ac:dyDescent="0.3">
      <c r="A3" s="43" t="s">
        <v>2898</v>
      </c>
    </row>
    <row r="4" spans="1:10" x14ac:dyDescent="0.3">
      <c r="A4" s="2" t="s">
        <v>1</v>
      </c>
      <c r="B4" s="2" t="s">
        <v>2</v>
      </c>
      <c r="C4" s="2" t="s">
        <v>981</v>
      </c>
      <c r="D4" s="3" t="s">
        <v>3</v>
      </c>
      <c r="E4" s="3" t="s">
        <v>2411</v>
      </c>
      <c r="F4" s="2" t="s">
        <v>5</v>
      </c>
      <c r="G4" s="2" t="s">
        <v>970</v>
      </c>
      <c r="H4" s="7" t="s">
        <v>2576</v>
      </c>
      <c r="I4" s="7" t="s">
        <v>6</v>
      </c>
      <c r="J4" s="68" t="s">
        <v>2598</v>
      </c>
    </row>
    <row r="5" spans="1:10" x14ac:dyDescent="0.3">
      <c r="A5" s="82">
        <v>1</v>
      </c>
      <c r="B5" s="83" t="s">
        <v>2811</v>
      </c>
      <c r="C5" s="82" t="s">
        <v>2812</v>
      </c>
      <c r="D5" s="138" t="s">
        <v>2813</v>
      </c>
      <c r="E5" s="82" t="s">
        <v>2814</v>
      </c>
      <c r="F5" s="82" t="s">
        <v>2899</v>
      </c>
      <c r="G5" s="82"/>
      <c r="H5" s="82"/>
      <c r="I5" s="82" t="s">
        <v>2906</v>
      </c>
      <c r="J5" s="82"/>
    </row>
    <row r="6" spans="1:10" x14ac:dyDescent="0.3">
      <c r="A6" s="82">
        <v>2</v>
      </c>
      <c r="B6" s="83" t="s">
        <v>2900</v>
      </c>
      <c r="C6" s="82" t="s">
        <v>2903</v>
      </c>
      <c r="D6" s="138" t="s">
        <v>2902</v>
      </c>
      <c r="E6" s="82" t="s">
        <v>2901</v>
      </c>
      <c r="F6" s="82" t="s">
        <v>2904</v>
      </c>
      <c r="G6" s="82"/>
      <c r="H6" s="82"/>
      <c r="I6" s="82" t="s">
        <v>2905</v>
      </c>
      <c r="J6" s="82"/>
    </row>
    <row r="7" spans="1:10" x14ac:dyDescent="0.3">
      <c r="A7" s="82">
        <v>3</v>
      </c>
      <c r="B7" s="83" t="s">
        <v>2582</v>
      </c>
      <c r="C7" s="82" t="s">
        <v>2909</v>
      </c>
      <c r="D7" s="137" t="s">
        <v>2908</v>
      </c>
      <c r="E7" s="9" t="s">
        <v>2581</v>
      </c>
      <c r="F7" s="82" t="s">
        <v>2907</v>
      </c>
      <c r="G7" s="82"/>
      <c r="H7" s="82"/>
      <c r="I7" s="46"/>
      <c r="J7" s="47" t="s">
        <v>2910</v>
      </c>
    </row>
    <row r="8" spans="1:10" x14ac:dyDescent="0.3">
      <c r="A8" s="82">
        <v>4</v>
      </c>
      <c r="B8" s="83" t="s">
        <v>2580</v>
      </c>
      <c r="C8" s="82" t="s">
        <v>2575</v>
      </c>
      <c r="D8" s="138" t="s">
        <v>2579</v>
      </c>
      <c r="E8" s="82" t="s">
        <v>2911</v>
      </c>
      <c r="F8" s="82" t="s">
        <v>2907</v>
      </c>
      <c r="G8" s="82"/>
      <c r="H8" s="82"/>
      <c r="I8" s="82"/>
      <c r="J8" s="47" t="s">
        <v>2910</v>
      </c>
    </row>
    <row r="9" spans="1:10" x14ac:dyDescent="0.3">
      <c r="A9" s="82">
        <v>5</v>
      </c>
      <c r="B9" s="83"/>
      <c r="C9" s="82"/>
      <c r="D9" s="138"/>
      <c r="E9" s="82"/>
      <c r="F9" s="82"/>
      <c r="G9" s="82"/>
      <c r="H9" s="82"/>
      <c r="I9" s="82"/>
      <c r="J9" s="82"/>
    </row>
    <row r="10" spans="1:10" x14ac:dyDescent="0.3">
      <c r="A10" s="82">
        <v>6</v>
      </c>
      <c r="B10" s="83"/>
      <c r="C10" s="82"/>
      <c r="D10" s="138"/>
      <c r="E10" s="82"/>
      <c r="F10" s="82"/>
      <c r="G10" s="82"/>
      <c r="H10" s="82"/>
      <c r="I10" s="82"/>
      <c r="J10" s="82"/>
    </row>
    <row r="11" spans="1:10" x14ac:dyDescent="0.3">
      <c r="A11" s="82">
        <v>7</v>
      </c>
      <c r="B11" s="83"/>
      <c r="C11" s="82"/>
      <c r="D11" s="138"/>
      <c r="E11" s="82"/>
      <c r="F11" s="82"/>
      <c r="G11" s="82"/>
      <c r="H11" s="82"/>
      <c r="I11" s="82"/>
      <c r="J11" s="82"/>
    </row>
    <row r="12" spans="1:10" x14ac:dyDescent="0.3">
      <c r="A12" s="82">
        <v>8</v>
      </c>
      <c r="B12" s="40"/>
      <c r="C12" s="12"/>
      <c r="D12" s="138"/>
      <c r="E12" s="82"/>
      <c r="F12" s="82"/>
      <c r="G12" s="82"/>
      <c r="H12" s="82"/>
      <c r="I12" s="82"/>
      <c r="J12" s="82"/>
    </row>
    <row r="13" spans="1:10" x14ac:dyDescent="0.3">
      <c r="A13" s="82">
        <v>9</v>
      </c>
      <c r="B13" s="83"/>
      <c r="C13" s="82"/>
      <c r="D13" s="138"/>
      <c r="E13" s="82"/>
      <c r="F13" s="82"/>
      <c r="G13" s="82"/>
      <c r="H13" s="82"/>
      <c r="I13" s="82"/>
      <c r="J13" s="82"/>
    </row>
    <row r="14" spans="1:10" x14ac:dyDescent="0.3">
      <c r="A14" s="82">
        <v>10</v>
      </c>
      <c r="B14" s="83"/>
      <c r="C14" s="82"/>
      <c r="D14" s="138"/>
      <c r="E14" s="82"/>
      <c r="F14" s="82"/>
      <c r="G14" s="82"/>
      <c r="H14" s="82"/>
      <c r="I14" s="82"/>
      <c r="J14" s="82"/>
    </row>
    <row r="15" spans="1:10" x14ac:dyDescent="0.3">
      <c r="A15" s="82">
        <v>11</v>
      </c>
      <c r="B15" s="83"/>
      <c r="C15" s="82"/>
      <c r="D15" s="138"/>
      <c r="E15" s="82"/>
      <c r="F15" s="82"/>
      <c r="G15" s="82"/>
      <c r="H15" s="535"/>
      <c r="I15" s="82"/>
      <c r="J15" s="82"/>
    </row>
    <row r="16" spans="1:10" x14ac:dyDescent="0.3">
      <c r="A16" s="82">
        <v>12</v>
      </c>
      <c r="B16" s="83"/>
      <c r="C16" s="82"/>
      <c r="D16" s="138"/>
      <c r="E16" s="82"/>
      <c r="F16" s="82"/>
      <c r="G16" s="82"/>
      <c r="H16" s="82"/>
      <c r="I16" s="82"/>
      <c r="J16" s="82"/>
    </row>
    <row r="17" spans="1:10" x14ac:dyDescent="0.3">
      <c r="A17" s="82">
        <v>13</v>
      </c>
      <c r="B17" s="83"/>
      <c r="C17" s="82"/>
      <c r="D17" s="138"/>
      <c r="E17" s="82"/>
      <c r="F17" s="82"/>
      <c r="G17" s="82"/>
      <c r="H17" s="82"/>
      <c r="I17" s="82"/>
      <c r="J17" s="82"/>
    </row>
    <row r="18" spans="1:10" x14ac:dyDescent="0.3">
      <c r="B18"/>
      <c r="D18" s="139"/>
    </row>
    <row r="19" spans="1:10" x14ac:dyDescent="0.3">
      <c r="D19" s="139"/>
    </row>
    <row r="20" spans="1:10" x14ac:dyDescent="0.3">
      <c r="D20" s="139"/>
    </row>
    <row r="21" spans="1:10" x14ac:dyDescent="0.3">
      <c r="D21" s="139"/>
    </row>
    <row r="22" spans="1:10" x14ac:dyDescent="0.3">
      <c r="D22" s="139" t="s">
        <v>645</v>
      </c>
    </row>
    <row r="23" spans="1:10" x14ac:dyDescent="0.3">
      <c r="D23" s="139"/>
    </row>
    <row r="24" spans="1:10" x14ac:dyDescent="0.3">
      <c r="D24" s="139"/>
    </row>
    <row r="25" spans="1:10" x14ac:dyDescent="0.3">
      <c r="D25" s="139"/>
    </row>
    <row r="26" spans="1:10" x14ac:dyDescent="0.3">
      <c r="D26" s="139"/>
    </row>
    <row r="27" spans="1:10" x14ac:dyDescent="0.3">
      <c r="D27" s="139"/>
    </row>
    <row r="28" spans="1:10" x14ac:dyDescent="0.3">
      <c r="D28" s="139"/>
    </row>
  </sheetData>
  <pageMargins left="0.7" right="0.7" top="0.75" bottom="0.75" header="0.3" footer="0.3"/>
  <pageSetup scale="57" fitToHeight="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5" sqref="B5"/>
    </sheetView>
  </sheetViews>
  <sheetFormatPr defaultRowHeight="15" x14ac:dyDescent="0.25"/>
  <cols>
    <col min="1" max="1" width="5.42578125" customWidth="1"/>
    <col min="2" max="2" width="35" customWidth="1"/>
    <col min="3" max="3" width="9.42578125" bestFit="1" customWidth="1"/>
    <col min="4" max="4" width="14.28515625" bestFit="1" customWidth="1"/>
    <col min="5" max="5" width="14.28515625" customWidth="1"/>
    <col min="6" max="6" width="10.42578125" bestFit="1" customWidth="1"/>
    <col min="7" max="7" width="10.140625" bestFit="1" customWidth="1"/>
    <col min="8" max="8" width="11" bestFit="1" customWidth="1"/>
    <col min="11" max="11" width="10.140625" bestFit="1" customWidth="1"/>
  </cols>
  <sheetData>
    <row r="1" spans="1:9" ht="16.5" x14ac:dyDescent="0.3">
      <c r="A1" s="4" t="s">
        <v>0</v>
      </c>
      <c r="B1" s="1"/>
      <c r="C1" s="1"/>
      <c r="D1" s="1"/>
      <c r="E1" s="1"/>
      <c r="F1" s="1"/>
      <c r="G1" s="1"/>
      <c r="H1" s="1"/>
      <c r="I1" s="1"/>
    </row>
    <row r="2" spans="1:9" ht="16.5" x14ac:dyDescent="0.3">
      <c r="A2" s="4" t="s">
        <v>43</v>
      </c>
      <c r="B2" s="1"/>
      <c r="C2" s="1"/>
      <c r="D2" s="1"/>
      <c r="E2" s="1"/>
      <c r="F2" s="1"/>
      <c r="G2" s="1"/>
      <c r="H2" s="1"/>
      <c r="I2" s="1"/>
    </row>
    <row r="3" spans="1:9" ht="16.5" x14ac:dyDescent="0.3">
      <c r="A3" s="43" t="s">
        <v>575</v>
      </c>
      <c r="B3" s="1"/>
      <c r="C3" s="1"/>
      <c r="D3" s="1"/>
      <c r="E3" s="1"/>
      <c r="F3" s="1"/>
      <c r="G3" s="1"/>
      <c r="H3" s="1"/>
      <c r="I3" s="1"/>
    </row>
    <row r="4" spans="1:9" ht="16.5" x14ac:dyDescent="0.3">
      <c r="A4" s="2" t="s">
        <v>1</v>
      </c>
      <c r="B4" s="2" t="s">
        <v>2</v>
      </c>
      <c r="C4" s="2" t="s">
        <v>1502</v>
      </c>
      <c r="D4" s="3" t="s">
        <v>3</v>
      </c>
      <c r="E4" s="3" t="s">
        <v>643</v>
      </c>
      <c r="F4" s="2" t="s">
        <v>5</v>
      </c>
      <c r="G4" s="7" t="s">
        <v>6</v>
      </c>
      <c r="H4" s="7" t="s">
        <v>335</v>
      </c>
      <c r="I4" s="68" t="s">
        <v>573</v>
      </c>
    </row>
    <row r="5" spans="1:9" ht="16.5" x14ac:dyDescent="0.3">
      <c r="A5" s="6">
        <v>1</v>
      </c>
      <c r="B5" s="8" t="s">
        <v>572</v>
      </c>
      <c r="C5" s="83" t="s">
        <v>1734</v>
      </c>
      <c r="D5" s="9" t="s">
        <v>2446</v>
      </c>
      <c r="E5" s="9" t="s">
        <v>574</v>
      </c>
      <c r="F5" s="6" t="s">
        <v>512</v>
      </c>
      <c r="G5" s="6"/>
      <c r="H5" s="112">
        <v>1400</v>
      </c>
      <c r="I5" s="47" t="s">
        <v>574</v>
      </c>
    </row>
    <row r="10" spans="1:9" x14ac:dyDescent="0.25">
      <c r="F10" s="111" t="s">
        <v>648</v>
      </c>
    </row>
    <row r="11" spans="1:9" x14ac:dyDescent="0.25">
      <c r="F11" s="111" t="s">
        <v>649</v>
      </c>
    </row>
    <row r="12" spans="1:9" x14ac:dyDescent="0.25">
      <c r="F12" s="111" t="s">
        <v>650</v>
      </c>
      <c r="G12" t="s">
        <v>646</v>
      </c>
      <c r="H12" t="s">
        <v>647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C5" sqref="C5"/>
    </sheetView>
  </sheetViews>
  <sheetFormatPr defaultRowHeight="15" x14ac:dyDescent="0.25"/>
  <cols>
    <col min="1" max="1" width="5.42578125" customWidth="1"/>
    <col min="2" max="2" width="35" customWidth="1"/>
    <col min="3" max="3" width="13.7109375" bestFit="1" customWidth="1"/>
    <col min="4" max="4" width="14.28515625" style="170" bestFit="1" customWidth="1"/>
    <col min="5" max="5" width="14.28515625" style="170" customWidth="1"/>
    <col min="6" max="6" width="10.42578125" bestFit="1" customWidth="1"/>
    <col min="7" max="7" width="10.140625" bestFit="1" customWidth="1"/>
    <col min="8" max="8" width="11" bestFit="1" customWidth="1"/>
    <col min="11" max="11" width="15.140625" bestFit="1" customWidth="1"/>
    <col min="12" max="12" width="11.42578125" bestFit="1" customWidth="1"/>
    <col min="14" max="14" width="15.140625" bestFit="1" customWidth="1"/>
    <col min="15" max="15" width="9.5703125" bestFit="1" customWidth="1"/>
  </cols>
  <sheetData>
    <row r="1" spans="1:27" ht="16.5" x14ac:dyDescent="0.3">
      <c r="A1" s="4" t="s">
        <v>0</v>
      </c>
      <c r="B1" s="1"/>
      <c r="C1" s="1"/>
      <c r="D1" s="168"/>
      <c r="E1" s="168"/>
      <c r="F1" s="1"/>
      <c r="G1" s="1"/>
      <c r="H1" s="1"/>
      <c r="I1" s="1"/>
    </row>
    <row r="2" spans="1:27" ht="16.5" x14ac:dyDescent="0.3">
      <c r="A2" s="4" t="s">
        <v>43</v>
      </c>
      <c r="B2" s="1"/>
      <c r="C2" s="1"/>
      <c r="D2" s="168"/>
      <c r="E2" s="168"/>
      <c r="F2" s="1"/>
      <c r="G2" s="1"/>
      <c r="H2" s="1"/>
      <c r="I2" s="1"/>
    </row>
    <row r="3" spans="1:27" ht="16.5" x14ac:dyDescent="0.3">
      <c r="A3" s="43" t="s">
        <v>945</v>
      </c>
      <c r="B3" s="1"/>
      <c r="C3" s="1"/>
      <c r="D3" s="168"/>
      <c r="E3" s="168"/>
      <c r="F3" s="1"/>
      <c r="G3" s="1"/>
      <c r="H3" s="1"/>
      <c r="I3" s="1"/>
    </row>
    <row r="4" spans="1:27" ht="16.5" x14ac:dyDescent="0.3">
      <c r="A4" s="2" t="s">
        <v>1</v>
      </c>
      <c r="B4" s="2" t="s">
        <v>2</v>
      </c>
      <c r="C4" s="2" t="s">
        <v>981</v>
      </c>
      <c r="D4" s="169" t="s">
        <v>3</v>
      </c>
      <c r="E4" s="169" t="s">
        <v>643</v>
      </c>
      <c r="F4" s="2" t="s">
        <v>5</v>
      </c>
      <c r="G4" s="7" t="s">
        <v>6</v>
      </c>
      <c r="H4" s="7" t="s">
        <v>335</v>
      </c>
      <c r="I4" s="68" t="s">
        <v>573</v>
      </c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</row>
    <row r="5" spans="1:27" ht="16.5" x14ac:dyDescent="0.3">
      <c r="A5" s="82">
        <v>1</v>
      </c>
      <c r="B5" s="83" t="s">
        <v>946</v>
      </c>
      <c r="C5" s="83" t="s">
        <v>2140</v>
      </c>
      <c r="D5" s="137" t="s">
        <v>852</v>
      </c>
      <c r="E5" s="137" t="s">
        <v>948</v>
      </c>
      <c r="F5" s="82" t="s">
        <v>947</v>
      </c>
      <c r="G5" s="82">
        <v>2012</v>
      </c>
      <c r="H5" s="143"/>
      <c r="I5" s="47" t="s">
        <v>948</v>
      </c>
      <c r="J5" s="246" t="s">
        <v>2140</v>
      </c>
      <c r="K5" s="246" t="s">
        <v>1091</v>
      </c>
      <c r="L5" s="247">
        <v>3500</v>
      </c>
      <c r="M5" s="246"/>
      <c r="N5" s="246" t="s">
        <v>1089</v>
      </c>
      <c r="O5" s="246" t="s">
        <v>1090</v>
      </c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</row>
    <row r="6" spans="1:27" x14ac:dyDescent="0.25"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</row>
    <row r="7" spans="1:27" x14ac:dyDescent="0.25">
      <c r="J7" s="246"/>
      <c r="K7" s="246" t="s">
        <v>1092</v>
      </c>
      <c r="L7" s="247">
        <v>1050</v>
      </c>
      <c r="M7" s="246"/>
      <c r="N7" s="246" t="s">
        <v>1092</v>
      </c>
      <c r="O7" s="247">
        <v>750</v>
      </c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</row>
    <row r="8" spans="1:27" x14ac:dyDescent="0.25">
      <c r="J8" s="246"/>
      <c r="K8" s="246" t="s">
        <v>1093</v>
      </c>
      <c r="L8" s="247">
        <v>2450</v>
      </c>
      <c r="M8" s="246"/>
      <c r="N8" s="246" t="s">
        <v>1093</v>
      </c>
      <c r="O8" s="247">
        <v>2750</v>
      </c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</row>
    <row r="9" spans="1:27" ht="15.75" thickBot="1" x14ac:dyDescent="0.3">
      <c r="J9" s="246"/>
      <c r="K9" s="246"/>
      <c r="L9" s="248">
        <f>SUM(L7:L8)</f>
        <v>3500</v>
      </c>
      <c r="M9" s="246"/>
      <c r="N9" s="246"/>
      <c r="O9" s="248">
        <f>SUM(O7:O8)</f>
        <v>3500</v>
      </c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</row>
    <row r="10" spans="1:27" ht="15.75" thickTop="1" x14ac:dyDescent="0.25">
      <c r="F10" s="111"/>
    </row>
    <row r="11" spans="1:27" x14ac:dyDescent="0.25">
      <c r="F11" s="111"/>
    </row>
    <row r="12" spans="1:27" x14ac:dyDescent="0.25">
      <c r="F12" s="111"/>
    </row>
  </sheetData>
  <pageMargins left="0.7" right="0.7" top="0.75" bottom="0.75" header="0.3" footer="0.3"/>
  <pageSetup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view="pageBreakPreview" zoomScaleNormal="100" zoomScaleSheetLayoutView="100" workbookViewId="0">
      <selection activeCell="B15" sqref="B15"/>
    </sheetView>
  </sheetViews>
  <sheetFormatPr defaultRowHeight="16.5" x14ac:dyDescent="0.3"/>
  <cols>
    <col min="1" max="1" width="4.42578125" style="1" customWidth="1"/>
    <col min="2" max="2" width="63.42578125" style="1" bestFit="1" customWidth="1"/>
    <col min="3" max="3" width="48.7109375" style="1" bestFit="1" customWidth="1"/>
    <col min="4" max="4" width="22.42578125" style="164" bestFit="1" customWidth="1"/>
    <col min="5" max="5" width="29.85546875" style="15" bestFit="1" customWidth="1"/>
    <col min="6" max="6" width="14.5703125" style="15" bestFit="1" customWidth="1"/>
    <col min="7" max="7" width="21.42578125" style="15" bestFit="1" customWidth="1"/>
    <col min="8" max="16384" width="9.140625" style="1"/>
  </cols>
  <sheetData>
    <row r="1" spans="1:9" x14ac:dyDescent="0.3">
      <c r="A1" s="153" t="s">
        <v>0</v>
      </c>
      <c r="B1" s="154"/>
      <c r="C1" s="1" t="s">
        <v>2381</v>
      </c>
      <c r="D1" s="399"/>
      <c r="E1" s="155"/>
      <c r="F1" s="155"/>
    </row>
    <row r="2" spans="1:9" x14ac:dyDescent="0.3">
      <c r="A2" s="153" t="s">
        <v>791</v>
      </c>
      <c r="B2" s="154"/>
      <c r="C2" s="1" t="s">
        <v>2382</v>
      </c>
      <c r="D2" s="399"/>
      <c r="E2" s="155"/>
      <c r="F2" s="155"/>
    </row>
    <row r="3" spans="1:9" x14ac:dyDescent="0.3">
      <c r="A3" s="160" t="s">
        <v>895</v>
      </c>
      <c r="B3" s="154"/>
      <c r="C3" s="1" t="s">
        <v>2383</v>
      </c>
      <c r="D3" s="399"/>
      <c r="E3" s="155"/>
      <c r="F3" s="155"/>
    </row>
    <row r="4" spans="1:9" s="43" customFormat="1" x14ac:dyDescent="0.3">
      <c r="A4" s="176" t="s">
        <v>762</v>
      </c>
      <c r="B4" s="176" t="s">
        <v>2</v>
      </c>
      <c r="C4" s="176" t="s">
        <v>792</v>
      </c>
      <c r="D4" s="400" t="s">
        <v>793</v>
      </c>
      <c r="E4" s="176" t="s">
        <v>794</v>
      </c>
      <c r="F4" s="176" t="s">
        <v>368</v>
      </c>
      <c r="G4" s="68" t="s">
        <v>901</v>
      </c>
      <c r="H4" s="68" t="s">
        <v>2520</v>
      </c>
    </row>
    <row r="5" spans="1:9" x14ac:dyDescent="0.3">
      <c r="A5" s="82">
        <v>1</v>
      </c>
      <c r="B5" s="172" t="s">
        <v>823</v>
      </c>
      <c r="C5" s="172" t="s">
        <v>824</v>
      </c>
      <c r="D5" s="414" t="s">
        <v>825</v>
      </c>
      <c r="E5" s="174" t="s">
        <v>826</v>
      </c>
      <c r="F5" s="173" t="s">
        <v>827</v>
      </c>
      <c r="G5" s="82"/>
      <c r="H5" s="83"/>
    </row>
    <row r="6" spans="1:9" x14ac:dyDescent="0.3">
      <c r="A6" s="82">
        <v>2</v>
      </c>
      <c r="B6" s="172" t="s">
        <v>765</v>
      </c>
      <c r="C6" s="172" t="s">
        <v>824</v>
      </c>
      <c r="D6" s="414" t="s">
        <v>825</v>
      </c>
      <c r="E6" s="174" t="s">
        <v>828</v>
      </c>
      <c r="F6" s="173" t="s">
        <v>827</v>
      </c>
      <c r="G6" s="82"/>
      <c r="H6" s="83"/>
    </row>
    <row r="7" spans="1:9" x14ac:dyDescent="0.3">
      <c r="A7" s="82">
        <v>3</v>
      </c>
      <c r="B7" s="172" t="s">
        <v>763</v>
      </c>
      <c r="C7" s="172" t="s">
        <v>824</v>
      </c>
      <c r="D7" s="414" t="s">
        <v>825</v>
      </c>
      <c r="E7" s="174" t="s">
        <v>829</v>
      </c>
      <c r="F7" s="173" t="s">
        <v>827</v>
      </c>
      <c r="G7" s="82"/>
      <c r="H7" s="83"/>
    </row>
    <row r="8" spans="1:9" x14ac:dyDescent="0.3">
      <c r="A8" s="82">
        <v>4</v>
      </c>
      <c r="B8" s="172" t="s">
        <v>830</v>
      </c>
      <c r="C8" s="172" t="s">
        <v>824</v>
      </c>
      <c r="D8" s="414" t="s">
        <v>825</v>
      </c>
      <c r="E8" s="174" t="s">
        <v>831</v>
      </c>
      <c r="F8" s="173" t="s">
        <v>827</v>
      </c>
      <c r="G8" s="82"/>
      <c r="H8" s="83"/>
    </row>
    <row r="9" spans="1:9" x14ac:dyDescent="0.3">
      <c r="A9" s="82">
        <v>5</v>
      </c>
      <c r="B9" s="172" t="s">
        <v>832</v>
      </c>
      <c r="C9" s="172" t="s">
        <v>824</v>
      </c>
      <c r="D9" s="414" t="s">
        <v>825</v>
      </c>
      <c r="E9" s="174" t="s">
        <v>833</v>
      </c>
      <c r="F9" s="173" t="s">
        <v>827</v>
      </c>
      <c r="G9" s="82"/>
      <c r="H9" s="83"/>
    </row>
    <row r="10" spans="1:9" x14ac:dyDescent="0.3">
      <c r="A10" s="82">
        <v>6</v>
      </c>
      <c r="B10" s="172" t="s">
        <v>834</v>
      </c>
      <c r="C10" s="172" t="s">
        <v>824</v>
      </c>
      <c r="D10" s="414" t="s">
        <v>835</v>
      </c>
      <c r="E10" s="174" t="s">
        <v>836</v>
      </c>
      <c r="F10" s="175" t="s">
        <v>837</v>
      </c>
      <c r="G10" s="82"/>
      <c r="H10" s="83"/>
    </row>
    <row r="11" spans="1:9" x14ac:dyDescent="0.3">
      <c r="A11" s="82">
        <v>7</v>
      </c>
      <c r="B11" s="172" t="s">
        <v>2797</v>
      </c>
      <c r="C11" s="83" t="s">
        <v>1194</v>
      </c>
      <c r="D11" s="414"/>
      <c r="E11" s="174"/>
      <c r="F11" s="175"/>
      <c r="G11" s="82" t="s">
        <v>2594</v>
      </c>
      <c r="H11" s="83" t="s">
        <v>2798</v>
      </c>
      <c r="I11" s="1" t="s">
        <v>2799</v>
      </c>
    </row>
    <row r="12" spans="1:9" x14ac:dyDescent="0.3">
      <c r="A12" s="82">
        <v>8</v>
      </c>
      <c r="B12" s="172" t="s">
        <v>2794</v>
      </c>
      <c r="C12" s="83" t="s">
        <v>1194</v>
      </c>
      <c r="D12" s="414" t="s">
        <v>2796</v>
      </c>
      <c r="E12" s="174" t="s">
        <v>2593</v>
      </c>
      <c r="F12" s="174">
        <v>41711</v>
      </c>
      <c r="G12" s="82" t="s">
        <v>2594</v>
      </c>
      <c r="H12" s="83" t="s">
        <v>2795</v>
      </c>
    </row>
    <row r="13" spans="1:9" x14ac:dyDescent="0.3">
      <c r="A13" s="82">
        <v>9</v>
      </c>
      <c r="B13" s="172" t="s">
        <v>99</v>
      </c>
      <c r="C13" s="83" t="s">
        <v>1194</v>
      </c>
      <c r="D13" s="415">
        <v>41532</v>
      </c>
      <c r="E13" s="174" t="s">
        <v>2592</v>
      </c>
      <c r="F13" s="174">
        <v>41532</v>
      </c>
      <c r="G13" s="82" t="s">
        <v>2392</v>
      </c>
      <c r="H13" s="83"/>
    </row>
    <row r="14" spans="1:9" x14ac:dyDescent="0.3">
      <c r="A14" s="82">
        <v>10</v>
      </c>
      <c r="B14" s="172" t="s">
        <v>63</v>
      </c>
      <c r="C14" s="83" t="s">
        <v>1194</v>
      </c>
      <c r="D14" s="415">
        <v>41532</v>
      </c>
      <c r="E14" s="82" t="s">
        <v>2384</v>
      </c>
      <c r="F14" s="174">
        <v>41532</v>
      </c>
      <c r="G14" s="82" t="s">
        <v>2392</v>
      </c>
      <c r="H14" s="83" t="s">
        <v>2765</v>
      </c>
    </row>
    <row r="15" spans="1:9" x14ac:dyDescent="0.3">
      <c r="A15" s="82">
        <v>11</v>
      </c>
      <c r="B15" s="172" t="s">
        <v>2583</v>
      </c>
      <c r="C15" s="83" t="s">
        <v>1194</v>
      </c>
      <c r="D15" s="415" t="s">
        <v>2584</v>
      </c>
      <c r="E15" s="82" t="s">
        <v>2585</v>
      </c>
      <c r="F15" s="174">
        <v>41330</v>
      </c>
      <c r="G15" s="82" t="s">
        <v>2586</v>
      </c>
      <c r="H15" s="83"/>
    </row>
    <row r="16" spans="1:9" x14ac:dyDescent="0.3">
      <c r="A16" s="82">
        <v>12</v>
      </c>
      <c r="B16" s="172" t="s">
        <v>2583</v>
      </c>
      <c r="C16" s="83" t="s">
        <v>1194</v>
      </c>
      <c r="D16" s="415">
        <v>41532</v>
      </c>
      <c r="E16" s="82" t="s">
        <v>2384</v>
      </c>
      <c r="F16" s="174">
        <v>41532</v>
      </c>
      <c r="G16" s="82" t="s">
        <v>2392</v>
      </c>
      <c r="H16" s="83"/>
    </row>
    <row r="17" spans="1:9" x14ac:dyDescent="0.3">
      <c r="A17" s="82">
        <v>13</v>
      </c>
      <c r="B17" s="172" t="s">
        <v>2583</v>
      </c>
      <c r="C17" s="83" t="s">
        <v>1194</v>
      </c>
      <c r="D17" s="415">
        <v>41906</v>
      </c>
      <c r="E17" s="82" t="s">
        <v>2587</v>
      </c>
      <c r="F17" s="174">
        <v>41905</v>
      </c>
      <c r="G17" s="82" t="s">
        <v>2588</v>
      </c>
      <c r="H17" s="83"/>
    </row>
    <row r="18" spans="1:9" x14ac:dyDescent="0.3">
      <c r="A18" s="82">
        <v>14</v>
      </c>
      <c r="B18" s="83" t="s">
        <v>896</v>
      </c>
      <c r="C18" s="83" t="s">
        <v>1194</v>
      </c>
      <c r="D18" s="10" t="s">
        <v>898</v>
      </c>
      <c r="E18" s="82" t="s">
        <v>899</v>
      </c>
      <c r="F18" s="254">
        <v>42267</v>
      </c>
      <c r="G18" s="12" t="s">
        <v>902</v>
      </c>
      <c r="H18" s="83"/>
    </row>
    <row r="19" spans="1:9" x14ac:dyDescent="0.3">
      <c r="A19" s="82">
        <v>15</v>
      </c>
      <c r="B19" s="83" t="s">
        <v>897</v>
      </c>
      <c r="C19" s="83" t="s">
        <v>1194</v>
      </c>
      <c r="D19" s="10" t="s">
        <v>898</v>
      </c>
      <c r="E19" s="82" t="s">
        <v>899</v>
      </c>
      <c r="F19" s="254">
        <v>42267</v>
      </c>
      <c r="G19" s="82" t="s">
        <v>902</v>
      </c>
      <c r="H19" s="83" t="s">
        <v>2519</v>
      </c>
    </row>
    <row r="20" spans="1:9" x14ac:dyDescent="0.3">
      <c r="A20" s="82">
        <v>16</v>
      </c>
      <c r="B20" s="83" t="s">
        <v>900</v>
      </c>
      <c r="C20" s="83" t="s">
        <v>1194</v>
      </c>
      <c r="D20" s="10" t="s">
        <v>898</v>
      </c>
      <c r="E20" s="82" t="s">
        <v>899</v>
      </c>
      <c r="F20" s="254">
        <v>42267</v>
      </c>
      <c r="G20" s="82" t="s">
        <v>902</v>
      </c>
      <c r="H20" s="83" t="s">
        <v>2521</v>
      </c>
    </row>
    <row r="21" spans="1:9" x14ac:dyDescent="0.3">
      <c r="A21" s="82">
        <v>17</v>
      </c>
      <c r="B21" s="83" t="s">
        <v>782</v>
      </c>
      <c r="C21" s="83" t="s">
        <v>1194</v>
      </c>
      <c r="D21" s="10" t="s">
        <v>2596</v>
      </c>
      <c r="E21" s="82" t="s">
        <v>2597</v>
      </c>
      <c r="F21" s="254">
        <v>41332</v>
      </c>
      <c r="G21" s="82" t="s">
        <v>2586</v>
      </c>
      <c r="H21" s="83"/>
    </row>
    <row r="22" spans="1:9" x14ac:dyDescent="0.3">
      <c r="A22" s="82">
        <v>18</v>
      </c>
      <c r="B22" s="83" t="s">
        <v>782</v>
      </c>
      <c r="C22" s="83" t="s">
        <v>1194</v>
      </c>
      <c r="D22" s="416">
        <v>41535</v>
      </c>
      <c r="E22" s="82" t="s">
        <v>2595</v>
      </c>
      <c r="F22" s="254">
        <v>41576</v>
      </c>
      <c r="G22" s="82" t="s">
        <v>2392</v>
      </c>
      <c r="H22" s="83"/>
    </row>
    <row r="23" spans="1:9" x14ac:dyDescent="0.3">
      <c r="A23" s="82">
        <v>19</v>
      </c>
      <c r="B23" s="83" t="s">
        <v>782</v>
      </c>
      <c r="C23" s="83" t="s">
        <v>1194</v>
      </c>
      <c r="D23" s="416">
        <v>41707</v>
      </c>
      <c r="E23" s="82" t="s">
        <v>2593</v>
      </c>
      <c r="F23" s="254">
        <v>41711</v>
      </c>
      <c r="G23" s="82" t="s">
        <v>2594</v>
      </c>
      <c r="H23" s="83"/>
    </row>
    <row r="24" spans="1:9" x14ac:dyDescent="0.3">
      <c r="A24" s="82">
        <v>20</v>
      </c>
      <c r="B24" s="83" t="s">
        <v>782</v>
      </c>
      <c r="C24" s="83" t="s">
        <v>1194</v>
      </c>
      <c r="D24" s="10" t="s">
        <v>898</v>
      </c>
      <c r="E24" s="82" t="s">
        <v>899</v>
      </c>
      <c r="F24" s="254">
        <v>42267</v>
      </c>
      <c r="G24" s="82" t="s">
        <v>902</v>
      </c>
      <c r="H24" s="83" t="s">
        <v>2522</v>
      </c>
      <c r="I24" s="1" t="s">
        <v>1972</v>
      </c>
    </row>
    <row r="25" spans="1:9" x14ac:dyDescent="0.3">
      <c r="A25" s="82">
        <v>21</v>
      </c>
      <c r="B25" s="83" t="s">
        <v>341</v>
      </c>
      <c r="C25" s="83" t="s">
        <v>1194</v>
      </c>
      <c r="D25" s="10" t="s">
        <v>898</v>
      </c>
      <c r="E25" s="82" t="s">
        <v>899</v>
      </c>
      <c r="F25" s="254">
        <v>42267</v>
      </c>
      <c r="G25" s="82" t="s">
        <v>902</v>
      </c>
      <c r="H25" s="83" t="s">
        <v>2523</v>
      </c>
      <c r="I25" s="1" t="s">
        <v>1904</v>
      </c>
    </row>
    <row r="26" spans="1:9" x14ac:dyDescent="0.3">
      <c r="A26" s="82">
        <v>22</v>
      </c>
      <c r="B26" s="83" t="s">
        <v>900</v>
      </c>
      <c r="C26" s="83" t="s">
        <v>1194</v>
      </c>
      <c r="D26" s="10" t="s">
        <v>2393</v>
      </c>
      <c r="E26" s="82" t="s">
        <v>2394</v>
      </c>
      <c r="F26" s="254">
        <v>42444</v>
      </c>
      <c r="G26" s="82" t="s">
        <v>2395</v>
      </c>
      <c r="H26" s="83" t="s">
        <v>2524</v>
      </c>
    </row>
    <row r="27" spans="1:9" x14ac:dyDescent="0.3">
      <c r="A27" s="82">
        <v>23</v>
      </c>
      <c r="B27" s="83" t="s">
        <v>897</v>
      </c>
      <c r="C27" s="83" t="s">
        <v>1194</v>
      </c>
      <c r="D27" s="10" t="s">
        <v>2393</v>
      </c>
      <c r="E27" s="82" t="s">
        <v>2396</v>
      </c>
      <c r="F27" s="254">
        <v>42444</v>
      </c>
      <c r="G27" s="82" t="s">
        <v>2395</v>
      </c>
      <c r="H27" s="83" t="s">
        <v>2525</v>
      </c>
    </row>
    <row r="28" spans="1:9" x14ac:dyDescent="0.3">
      <c r="A28" s="82">
        <v>24</v>
      </c>
      <c r="B28" s="83" t="s">
        <v>2738</v>
      </c>
      <c r="C28" s="83" t="s">
        <v>1194</v>
      </c>
      <c r="D28" s="164" t="s">
        <v>2736</v>
      </c>
      <c r="E28" s="82" t="s">
        <v>2737</v>
      </c>
      <c r="F28" s="254">
        <v>42696</v>
      </c>
      <c r="G28" s="82" t="s">
        <v>2740</v>
      </c>
      <c r="H28" s="83" t="s">
        <v>2741</v>
      </c>
    </row>
    <row r="29" spans="1:9" x14ac:dyDescent="0.3">
      <c r="A29" s="82">
        <v>25</v>
      </c>
      <c r="B29" s="83" t="s">
        <v>2742</v>
      </c>
      <c r="C29" s="83" t="s">
        <v>1194</v>
      </c>
      <c r="D29" s="10" t="s">
        <v>2736</v>
      </c>
      <c r="E29" s="82" t="s">
        <v>2744</v>
      </c>
      <c r="F29" s="254">
        <v>42685</v>
      </c>
      <c r="G29" s="82" t="s">
        <v>2740</v>
      </c>
      <c r="H29" s="83" t="s">
        <v>2743</v>
      </c>
    </row>
    <row r="30" spans="1:9" x14ac:dyDescent="0.3">
      <c r="A30" s="82">
        <v>26</v>
      </c>
      <c r="B30" s="83" t="s">
        <v>2745</v>
      </c>
      <c r="C30" s="83" t="s">
        <v>1194</v>
      </c>
      <c r="D30" s="10" t="s">
        <v>2736</v>
      </c>
      <c r="E30" s="82" t="s">
        <v>2744</v>
      </c>
      <c r="F30" s="254">
        <v>42685</v>
      </c>
      <c r="G30" s="82" t="s">
        <v>2740</v>
      </c>
      <c r="H30" s="83" t="s">
        <v>2746</v>
      </c>
    </row>
    <row r="31" spans="1:9" x14ac:dyDescent="0.3">
      <c r="A31" s="82">
        <v>27</v>
      </c>
      <c r="B31" s="83" t="s">
        <v>2747</v>
      </c>
      <c r="C31" s="83" t="s">
        <v>1194</v>
      </c>
      <c r="D31" s="10" t="s">
        <v>2736</v>
      </c>
      <c r="E31" s="82" t="s">
        <v>2744</v>
      </c>
      <c r="F31" s="254">
        <v>42685</v>
      </c>
      <c r="G31" s="82" t="s">
        <v>2740</v>
      </c>
      <c r="H31" s="83" t="s">
        <v>2749</v>
      </c>
    </row>
    <row r="32" spans="1:9" x14ac:dyDescent="0.3">
      <c r="A32" s="82">
        <v>28</v>
      </c>
      <c r="B32" s="83" t="s">
        <v>2755</v>
      </c>
      <c r="C32" s="83" t="s">
        <v>1194</v>
      </c>
      <c r="D32" s="10" t="s">
        <v>2736</v>
      </c>
      <c r="E32" s="82" t="s">
        <v>2744</v>
      </c>
      <c r="F32" s="254">
        <v>42685</v>
      </c>
      <c r="G32" s="82" t="s">
        <v>2740</v>
      </c>
      <c r="H32" s="83" t="s">
        <v>2750</v>
      </c>
    </row>
    <row r="33" spans="1:8" x14ac:dyDescent="0.3">
      <c r="A33" s="82">
        <v>29</v>
      </c>
      <c r="B33" s="83" t="s">
        <v>2756</v>
      </c>
      <c r="C33" s="83" t="s">
        <v>1194</v>
      </c>
      <c r="D33" s="10" t="s">
        <v>2736</v>
      </c>
      <c r="E33" s="82" t="s">
        <v>2744</v>
      </c>
      <c r="F33" s="254">
        <v>42685</v>
      </c>
      <c r="G33" s="82" t="s">
        <v>2740</v>
      </c>
      <c r="H33" s="83" t="s">
        <v>2751</v>
      </c>
    </row>
  </sheetData>
  <pageMargins left="0.7" right="0.7" top="0.75" bottom="0.75" header="0.3" footer="0.3"/>
  <pageSetup scale="46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view="pageBreakPreview" zoomScaleNormal="100" zoomScaleSheetLayoutView="100" workbookViewId="0">
      <selection activeCell="B5" sqref="B5"/>
    </sheetView>
  </sheetViews>
  <sheetFormatPr defaultRowHeight="16.5" x14ac:dyDescent="0.3"/>
  <cols>
    <col min="1" max="1" width="4.42578125" style="154" customWidth="1"/>
    <col min="2" max="2" width="28.7109375" style="154" bestFit="1" customWidth="1"/>
    <col min="3" max="3" width="50.42578125" style="154" bestFit="1" customWidth="1"/>
    <col min="4" max="4" width="20.42578125" style="155" bestFit="1" customWidth="1"/>
    <col min="5" max="5" width="29" style="155" bestFit="1" customWidth="1"/>
    <col min="6" max="6" width="14.5703125" style="155" bestFit="1" customWidth="1"/>
    <col min="7" max="256" width="9.140625" style="154"/>
    <col min="257" max="257" width="4.42578125" style="154" customWidth="1"/>
    <col min="258" max="258" width="28.7109375" style="154" bestFit="1" customWidth="1"/>
    <col min="259" max="259" width="50.42578125" style="154" bestFit="1" customWidth="1"/>
    <col min="260" max="260" width="20.42578125" style="154" bestFit="1" customWidth="1"/>
    <col min="261" max="261" width="29" style="154" bestFit="1" customWidth="1"/>
    <col min="262" max="262" width="14.5703125" style="154" bestFit="1" customWidth="1"/>
    <col min="263" max="512" width="9.140625" style="154"/>
    <col min="513" max="513" width="4.42578125" style="154" customWidth="1"/>
    <col min="514" max="514" width="28.7109375" style="154" bestFit="1" customWidth="1"/>
    <col min="515" max="515" width="50.42578125" style="154" bestFit="1" customWidth="1"/>
    <col min="516" max="516" width="20.42578125" style="154" bestFit="1" customWidth="1"/>
    <col min="517" max="517" width="29" style="154" bestFit="1" customWidth="1"/>
    <col min="518" max="518" width="14.5703125" style="154" bestFit="1" customWidth="1"/>
    <col min="519" max="768" width="9.140625" style="154"/>
    <col min="769" max="769" width="4.42578125" style="154" customWidth="1"/>
    <col min="770" max="770" width="28.7109375" style="154" bestFit="1" customWidth="1"/>
    <col min="771" max="771" width="50.42578125" style="154" bestFit="1" customWidth="1"/>
    <col min="772" max="772" width="20.42578125" style="154" bestFit="1" customWidth="1"/>
    <col min="773" max="773" width="29" style="154" bestFit="1" customWidth="1"/>
    <col min="774" max="774" width="14.5703125" style="154" bestFit="1" customWidth="1"/>
    <col min="775" max="1024" width="9.140625" style="154"/>
    <col min="1025" max="1025" width="4.42578125" style="154" customWidth="1"/>
    <col min="1026" max="1026" width="28.7109375" style="154" bestFit="1" customWidth="1"/>
    <col min="1027" max="1027" width="50.42578125" style="154" bestFit="1" customWidth="1"/>
    <col min="1028" max="1028" width="20.42578125" style="154" bestFit="1" customWidth="1"/>
    <col min="1029" max="1029" width="29" style="154" bestFit="1" customWidth="1"/>
    <col min="1030" max="1030" width="14.5703125" style="154" bestFit="1" customWidth="1"/>
    <col min="1031" max="1280" width="9.140625" style="154"/>
    <col min="1281" max="1281" width="4.42578125" style="154" customWidth="1"/>
    <col min="1282" max="1282" width="28.7109375" style="154" bestFit="1" customWidth="1"/>
    <col min="1283" max="1283" width="50.42578125" style="154" bestFit="1" customWidth="1"/>
    <col min="1284" max="1284" width="20.42578125" style="154" bestFit="1" customWidth="1"/>
    <col min="1285" max="1285" width="29" style="154" bestFit="1" customWidth="1"/>
    <col min="1286" max="1286" width="14.5703125" style="154" bestFit="1" customWidth="1"/>
    <col min="1287" max="1536" width="9.140625" style="154"/>
    <col min="1537" max="1537" width="4.42578125" style="154" customWidth="1"/>
    <col min="1538" max="1538" width="28.7109375" style="154" bestFit="1" customWidth="1"/>
    <col min="1539" max="1539" width="50.42578125" style="154" bestFit="1" customWidth="1"/>
    <col min="1540" max="1540" width="20.42578125" style="154" bestFit="1" customWidth="1"/>
    <col min="1541" max="1541" width="29" style="154" bestFit="1" customWidth="1"/>
    <col min="1542" max="1542" width="14.5703125" style="154" bestFit="1" customWidth="1"/>
    <col min="1543" max="1792" width="9.140625" style="154"/>
    <col min="1793" max="1793" width="4.42578125" style="154" customWidth="1"/>
    <col min="1794" max="1794" width="28.7109375" style="154" bestFit="1" customWidth="1"/>
    <col min="1795" max="1795" width="50.42578125" style="154" bestFit="1" customWidth="1"/>
    <col min="1796" max="1796" width="20.42578125" style="154" bestFit="1" customWidth="1"/>
    <col min="1797" max="1797" width="29" style="154" bestFit="1" customWidth="1"/>
    <col min="1798" max="1798" width="14.5703125" style="154" bestFit="1" customWidth="1"/>
    <col min="1799" max="2048" width="9.140625" style="154"/>
    <col min="2049" max="2049" width="4.42578125" style="154" customWidth="1"/>
    <col min="2050" max="2050" width="28.7109375" style="154" bestFit="1" customWidth="1"/>
    <col min="2051" max="2051" width="50.42578125" style="154" bestFit="1" customWidth="1"/>
    <col min="2052" max="2052" width="20.42578125" style="154" bestFit="1" customWidth="1"/>
    <col min="2053" max="2053" width="29" style="154" bestFit="1" customWidth="1"/>
    <col min="2054" max="2054" width="14.5703125" style="154" bestFit="1" customWidth="1"/>
    <col min="2055" max="2304" width="9.140625" style="154"/>
    <col min="2305" max="2305" width="4.42578125" style="154" customWidth="1"/>
    <col min="2306" max="2306" width="28.7109375" style="154" bestFit="1" customWidth="1"/>
    <col min="2307" max="2307" width="50.42578125" style="154" bestFit="1" customWidth="1"/>
    <col min="2308" max="2308" width="20.42578125" style="154" bestFit="1" customWidth="1"/>
    <col min="2309" max="2309" width="29" style="154" bestFit="1" customWidth="1"/>
    <col min="2310" max="2310" width="14.5703125" style="154" bestFit="1" customWidth="1"/>
    <col min="2311" max="2560" width="9.140625" style="154"/>
    <col min="2561" max="2561" width="4.42578125" style="154" customWidth="1"/>
    <col min="2562" max="2562" width="28.7109375" style="154" bestFit="1" customWidth="1"/>
    <col min="2563" max="2563" width="50.42578125" style="154" bestFit="1" customWidth="1"/>
    <col min="2564" max="2564" width="20.42578125" style="154" bestFit="1" customWidth="1"/>
    <col min="2565" max="2565" width="29" style="154" bestFit="1" customWidth="1"/>
    <col min="2566" max="2566" width="14.5703125" style="154" bestFit="1" customWidth="1"/>
    <col min="2567" max="2816" width="9.140625" style="154"/>
    <col min="2817" max="2817" width="4.42578125" style="154" customWidth="1"/>
    <col min="2818" max="2818" width="28.7109375" style="154" bestFit="1" customWidth="1"/>
    <col min="2819" max="2819" width="50.42578125" style="154" bestFit="1" customWidth="1"/>
    <col min="2820" max="2820" width="20.42578125" style="154" bestFit="1" customWidth="1"/>
    <col min="2821" max="2821" width="29" style="154" bestFit="1" customWidth="1"/>
    <col min="2822" max="2822" width="14.5703125" style="154" bestFit="1" customWidth="1"/>
    <col min="2823" max="3072" width="9.140625" style="154"/>
    <col min="3073" max="3073" width="4.42578125" style="154" customWidth="1"/>
    <col min="3074" max="3074" width="28.7109375" style="154" bestFit="1" customWidth="1"/>
    <col min="3075" max="3075" width="50.42578125" style="154" bestFit="1" customWidth="1"/>
    <col min="3076" max="3076" width="20.42578125" style="154" bestFit="1" customWidth="1"/>
    <col min="3077" max="3077" width="29" style="154" bestFit="1" customWidth="1"/>
    <col min="3078" max="3078" width="14.5703125" style="154" bestFit="1" customWidth="1"/>
    <col min="3079" max="3328" width="9.140625" style="154"/>
    <col min="3329" max="3329" width="4.42578125" style="154" customWidth="1"/>
    <col min="3330" max="3330" width="28.7109375" style="154" bestFit="1" customWidth="1"/>
    <col min="3331" max="3331" width="50.42578125" style="154" bestFit="1" customWidth="1"/>
    <col min="3332" max="3332" width="20.42578125" style="154" bestFit="1" customWidth="1"/>
    <col min="3333" max="3333" width="29" style="154" bestFit="1" customWidth="1"/>
    <col min="3334" max="3334" width="14.5703125" style="154" bestFit="1" customWidth="1"/>
    <col min="3335" max="3584" width="9.140625" style="154"/>
    <col min="3585" max="3585" width="4.42578125" style="154" customWidth="1"/>
    <col min="3586" max="3586" width="28.7109375" style="154" bestFit="1" customWidth="1"/>
    <col min="3587" max="3587" width="50.42578125" style="154" bestFit="1" customWidth="1"/>
    <col min="3588" max="3588" width="20.42578125" style="154" bestFit="1" customWidth="1"/>
    <col min="3589" max="3589" width="29" style="154" bestFit="1" customWidth="1"/>
    <col min="3590" max="3590" width="14.5703125" style="154" bestFit="1" customWidth="1"/>
    <col min="3591" max="3840" width="9.140625" style="154"/>
    <col min="3841" max="3841" width="4.42578125" style="154" customWidth="1"/>
    <col min="3842" max="3842" width="28.7109375" style="154" bestFit="1" customWidth="1"/>
    <col min="3843" max="3843" width="50.42578125" style="154" bestFit="1" customWidth="1"/>
    <col min="3844" max="3844" width="20.42578125" style="154" bestFit="1" customWidth="1"/>
    <col min="3845" max="3845" width="29" style="154" bestFit="1" customWidth="1"/>
    <col min="3846" max="3846" width="14.5703125" style="154" bestFit="1" customWidth="1"/>
    <col min="3847" max="4096" width="9.140625" style="154"/>
    <col min="4097" max="4097" width="4.42578125" style="154" customWidth="1"/>
    <col min="4098" max="4098" width="28.7109375" style="154" bestFit="1" customWidth="1"/>
    <col min="4099" max="4099" width="50.42578125" style="154" bestFit="1" customWidth="1"/>
    <col min="4100" max="4100" width="20.42578125" style="154" bestFit="1" customWidth="1"/>
    <col min="4101" max="4101" width="29" style="154" bestFit="1" customWidth="1"/>
    <col min="4102" max="4102" width="14.5703125" style="154" bestFit="1" customWidth="1"/>
    <col min="4103" max="4352" width="9.140625" style="154"/>
    <col min="4353" max="4353" width="4.42578125" style="154" customWidth="1"/>
    <col min="4354" max="4354" width="28.7109375" style="154" bestFit="1" customWidth="1"/>
    <col min="4355" max="4355" width="50.42578125" style="154" bestFit="1" customWidth="1"/>
    <col min="4356" max="4356" width="20.42578125" style="154" bestFit="1" customWidth="1"/>
    <col min="4357" max="4357" width="29" style="154" bestFit="1" customWidth="1"/>
    <col min="4358" max="4358" width="14.5703125" style="154" bestFit="1" customWidth="1"/>
    <col min="4359" max="4608" width="9.140625" style="154"/>
    <col min="4609" max="4609" width="4.42578125" style="154" customWidth="1"/>
    <col min="4610" max="4610" width="28.7109375" style="154" bestFit="1" customWidth="1"/>
    <col min="4611" max="4611" width="50.42578125" style="154" bestFit="1" customWidth="1"/>
    <col min="4612" max="4612" width="20.42578125" style="154" bestFit="1" customWidth="1"/>
    <col min="4613" max="4613" width="29" style="154" bestFit="1" customWidth="1"/>
    <col min="4614" max="4614" width="14.5703125" style="154" bestFit="1" customWidth="1"/>
    <col min="4615" max="4864" width="9.140625" style="154"/>
    <col min="4865" max="4865" width="4.42578125" style="154" customWidth="1"/>
    <col min="4866" max="4866" width="28.7109375" style="154" bestFit="1" customWidth="1"/>
    <col min="4867" max="4867" width="50.42578125" style="154" bestFit="1" customWidth="1"/>
    <col min="4868" max="4868" width="20.42578125" style="154" bestFit="1" customWidth="1"/>
    <col min="4869" max="4869" width="29" style="154" bestFit="1" customWidth="1"/>
    <col min="4870" max="4870" width="14.5703125" style="154" bestFit="1" customWidth="1"/>
    <col min="4871" max="5120" width="9.140625" style="154"/>
    <col min="5121" max="5121" width="4.42578125" style="154" customWidth="1"/>
    <col min="5122" max="5122" width="28.7109375" style="154" bestFit="1" customWidth="1"/>
    <col min="5123" max="5123" width="50.42578125" style="154" bestFit="1" customWidth="1"/>
    <col min="5124" max="5124" width="20.42578125" style="154" bestFit="1" customWidth="1"/>
    <col min="5125" max="5125" width="29" style="154" bestFit="1" customWidth="1"/>
    <col min="5126" max="5126" width="14.5703125" style="154" bestFit="1" customWidth="1"/>
    <col min="5127" max="5376" width="9.140625" style="154"/>
    <col min="5377" max="5377" width="4.42578125" style="154" customWidth="1"/>
    <col min="5378" max="5378" width="28.7109375" style="154" bestFit="1" customWidth="1"/>
    <col min="5379" max="5379" width="50.42578125" style="154" bestFit="1" customWidth="1"/>
    <col min="5380" max="5380" width="20.42578125" style="154" bestFit="1" customWidth="1"/>
    <col min="5381" max="5381" width="29" style="154" bestFit="1" customWidth="1"/>
    <col min="5382" max="5382" width="14.5703125" style="154" bestFit="1" customWidth="1"/>
    <col min="5383" max="5632" width="9.140625" style="154"/>
    <col min="5633" max="5633" width="4.42578125" style="154" customWidth="1"/>
    <col min="5634" max="5634" width="28.7109375" style="154" bestFit="1" customWidth="1"/>
    <col min="5635" max="5635" width="50.42578125" style="154" bestFit="1" customWidth="1"/>
    <col min="5636" max="5636" width="20.42578125" style="154" bestFit="1" customWidth="1"/>
    <col min="5637" max="5637" width="29" style="154" bestFit="1" customWidth="1"/>
    <col min="5638" max="5638" width="14.5703125" style="154" bestFit="1" customWidth="1"/>
    <col min="5639" max="5888" width="9.140625" style="154"/>
    <col min="5889" max="5889" width="4.42578125" style="154" customWidth="1"/>
    <col min="5890" max="5890" width="28.7109375" style="154" bestFit="1" customWidth="1"/>
    <col min="5891" max="5891" width="50.42578125" style="154" bestFit="1" customWidth="1"/>
    <col min="5892" max="5892" width="20.42578125" style="154" bestFit="1" customWidth="1"/>
    <col min="5893" max="5893" width="29" style="154" bestFit="1" customWidth="1"/>
    <col min="5894" max="5894" width="14.5703125" style="154" bestFit="1" customWidth="1"/>
    <col min="5895" max="6144" width="9.140625" style="154"/>
    <col min="6145" max="6145" width="4.42578125" style="154" customWidth="1"/>
    <col min="6146" max="6146" width="28.7109375" style="154" bestFit="1" customWidth="1"/>
    <col min="6147" max="6147" width="50.42578125" style="154" bestFit="1" customWidth="1"/>
    <col min="6148" max="6148" width="20.42578125" style="154" bestFit="1" customWidth="1"/>
    <col min="6149" max="6149" width="29" style="154" bestFit="1" customWidth="1"/>
    <col min="6150" max="6150" width="14.5703125" style="154" bestFit="1" customWidth="1"/>
    <col min="6151" max="6400" width="9.140625" style="154"/>
    <col min="6401" max="6401" width="4.42578125" style="154" customWidth="1"/>
    <col min="6402" max="6402" width="28.7109375" style="154" bestFit="1" customWidth="1"/>
    <col min="6403" max="6403" width="50.42578125" style="154" bestFit="1" customWidth="1"/>
    <col min="6404" max="6404" width="20.42578125" style="154" bestFit="1" customWidth="1"/>
    <col min="6405" max="6405" width="29" style="154" bestFit="1" customWidth="1"/>
    <col min="6406" max="6406" width="14.5703125" style="154" bestFit="1" customWidth="1"/>
    <col min="6407" max="6656" width="9.140625" style="154"/>
    <col min="6657" max="6657" width="4.42578125" style="154" customWidth="1"/>
    <col min="6658" max="6658" width="28.7109375" style="154" bestFit="1" customWidth="1"/>
    <col min="6659" max="6659" width="50.42578125" style="154" bestFit="1" customWidth="1"/>
    <col min="6660" max="6660" width="20.42578125" style="154" bestFit="1" customWidth="1"/>
    <col min="6661" max="6661" width="29" style="154" bestFit="1" customWidth="1"/>
    <col min="6662" max="6662" width="14.5703125" style="154" bestFit="1" customWidth="1"/>
    <col min="6663" max="6912" width="9.140625" style="154"/>
    <col min="6913" max="6913" width="4.42578125" style="154" customWidth="1"/>
    <col min="6914" max="6914" width="28.7109375" style="154" bestFit="1" customWidth="1"/>
    <col min="6915" max="6915" width="50.42578125" style="154" bestFit="1" customWidth="1"/>
    <col min="6916" max="6916" width="20.42578125" style="154" bestFit="1" customWidth="1"/>
    <col min="6917" max="6917" width="29" style="154" bestFit="1" customWidth="1"/>
    <col min="6918" max="6918" width="14.5703125" style="154" bestFit="1" customWidth="1"/>
    <col min="6919" max="7168" width="9.140625" style="154"/>
    <col min="7169" max="7169" width="4.42578125" style="154" customWidth="1"/>
    <col min="7170" max="7170" width="28.7109375" style="154" bestFit="1" customWidth="1"/>
    <col min="7171" max="7171" width="50.42578125" style="154" bestFit="1" customWidth="1"/>
    <col min="7172" max="7172" width="20.42578125" style="154" bestFit="1" customWidth="1"/>
    <col min="7173" max="7173" width="29" style="154" bestFit="1" customWidth="1"/>
    <col min="7174" max="7174" width="14.5703125" style="154" bestFit="1" customWidth="1"/>
    <col min="7175" max="7424" width="9.140625" style="154"/>
    <col min="7425" max="7425" width="4.42578125" style="154" customWidth="1"/>
    <col min="7426" max="7426" width="28.7109375" style="154" bestFit="1" customWidth="1"/>
    <col min="7427" max="7427" width="50.42578125" style="154" bestFit="1" customWidth="1"/>
    <col min="7428" max="7428" width="20.42578125" style="154" bestFit="1" customWidth="1"/>
    <col min="7429" max="7429" width="29" style="154" bestFit="1" customWidth="1"/>
    <col min="7430" max="7430" width="14.5703125" style="154" bestFit="1" customWidth="1"/>
    <col min="7431" max="7680" width="9.140625" style="154"/>
    <col min="7681" max="7681" width="4.42578125" style="154" customWidth="1"/>
    <col min="7682" max="7682" width="28.7109375" style="154" bestFit="1" customWidth="1"/>
    <col min="7683" max="7683" width="50.42578125" style="154" bestFit="1" customWidth="1"/>
    <col min="7684" max="7684" width="20.42578125" style="154" bestFit="1" customWidth="1"/>
    <col min="7685" max="7685" width="29" style="154" bestFit="1" customWidth="1"/>
    <col min="7686" max="7686" width="14.5703125" style="154" bestFit="1" customWidth="1"/>
    <col min="7687" max="7936" width="9.140625" style="154"/>
    <col min="7937" max="7937" width="4.42578125" style="154" customWidth="1"/>
    <col min="7938" max="7938" width="28.7109375" style="154" bestFit="1" customWidth="1"/>
    <col min="7939" max="7939" width="50.42578125" style="154" bestFit="1" customWidth="1"/>
    <col min="7940" max="7940" width="20.42578125" style="154" bestFit="1" customWidth="1"/>
    <col min="7941" max="7941" width="29" style="154" bestFit="1" customWidth="1"/>
    <col min="7942" max="7942" width="14.5703125" style="154" bestFit="1" customWidth="1"/>
    <col min="7943" max="8192" width="9.140625" style="154"/>
    <col min="8193" max="8193" width="4.42578125" style="154" customWidth="1"/>
    <col min="8194" max="8194" width="28.7109375" style="154" bestFit="1" customWidth="1"/>
    <col min="8195" max="8195" width="50.42578125" style="154" bestFit="1" customWidth="1"/>
    <col min="8196" max="8196" width="20.42578125" style="154" bestFit="1" customWidth="1"/>
    <col min="8197" max="8197" width="29" style="154" bestFit="1" customWidth="1"/>
    <col min="8198" max="8198" width="14.5703125" style="154" bestFit="1" customWidth="1"/>
    <col min="8199" max="8448" width="9.140625" style="154"/>
    <col min="8449" max="8449" width="4.42578125" style="154" customWidth="1"/>
    <col min="8450" max="8450" width="28.7109375" style="154" bestFit="1" customWidth="1"/>
    <col min="8451" max="8451" width="50.42578125" style="154" bestFit="1" customWidth="1"/>
    <col min="8452" max="8452" width="20.42578125" style="154" bestFit="1" customWidth="1"/>
    <col min="8453" max="8453" width="29" style="154" bestFit="1" customWidth="1"/>
    <col min="8454" max="8454" width="14.5703125" style="154" bestFit="1" customWidth="1"/>
    <col min="8455" max="8704" width="9.140625" style="154"/>
    <col min="8705" max="8705" width="4.42578125" style="154" customWidth="1"/>
    <col min="8706" max="8706" width="28.7109375" style="154" bestFit="1" customWidth="1"/>
    <col min="8707" max="8707" width="50.42578125" style="154" bestFit="1" customWidth="1"/>
    <col min="8708" max="8708" width="20.42578125" style="154" bestFit="1" customWidth="1"/>
    <col min="8709" max="8709" width="29" style="154" bestFit="1" customWidth="1"/>
    <col min="8710" max="8710" width="14.5703125" style="154" bestFit="1" customWidth="1"/>
    <col min="8711" max="8960" width="9.140625" style="154"/>
    <col min="8961" max="8961" width="4.42578125" style="154" customWidth="1"/>
    <col min="8962" max="8962" width="28.7109375" style="154" bestFit="1" customWidth="1"/>
    <col min="8963" max="8963" width="50.42578125" style="154" bestFit="1" customWidth="1"/>
    <col min="8964" max="8964" width="20.42578125" style="154" bestFit="1" customWidth="1"/>
    <col min="8965" max="8965" width="29" style="154" bestFit="1" customWidth="1"/>
    <col min="8966" max="8966" width="14.5703125" style="154" bestFit="1" customWidth="1"/>
    <col min="8967" max="9216" width="9.140625" style="154"/>
    <col min="9217" max="9217" width="4.42578125" style="154" customWidth="1"/>
    <col min="9218" max="9218" width="28.7109375" style="154" bestFit="1" customWidth="1"/>
    <col min="9219" max="9219" width="50.42578125" style="154" bestFit="1" customWidth="1"/>
    <col min="9220" max="9220" width="20.42578125" style="154" bestFit="1" customWidth="1"/>
    <col min="9221" max="9221" width="29" style="154" bestFit="1" customWidth="1"/>
    <col min="9222" max="9222" width="14.5703125" style="154" bestFit="1" customWidth="1"/>
    <col min="9223" max="9472" width="9.140625" style="154"/>
    <col min="9473" max="9473" width="4.42578125" style="154" customWidth="1"/>
    <col min="9474" max="9474" width="28.7109375" style="154" bestFit="1" customWidth="1"/>
    <col min="9475" max="9475" width="50.42578125" style="154" bestFit="1" customWidth="1"/>
    <col min="9476" max="9476" width="20.42578125" style="154" bestFit="1" customWidth="1"/>
    <col min="9477" max="9477" width="29" style="154" bestFit="1" customWidth="1"/>
    <col min="9478" max="9478" width="14.5703125" style="154" bestFit="1" customWidth="1"/>
    <col min="9479" max="9728" width="9.140625" style="154"/>
    <col min="9729" max="9729" width="4.42578125" style="154" customWidth="1"/>
    <col min="9730" max="9730" width="28.7109375" style="154" bestFit="1" customWidth="1"/>
    <col min="9731" max="9731" width="50.42578125" style="154" bestFit="1" customWidth="1"/>
    <col min="9732" max="9732" width="20.42578125" style="154" bestFit="1" customWidth="1"/>
    <col min="9733" max="9733" width="29" style="154" bestFit="1" customWidth="1"/>
    <col min="9734" max="9734" width="14.5703125" style="154" bestFit="1" customWidth="1"/>
    <col min="9735" max="9984" width="9.140625" style="154"/>
    <col min="9985" max="9985" width="4.42578125" style="154" customWidth="1"/>
    <col min="9986" max="9986" width="28.7109375" style="154" bestFit="1" customWidth="1"/>
    <col min="9987" max="9987" width="50.42578125" style="154" bestFit="1" customWidth="1"/>
    <col min="9988" max="9988" width="20.42578125" style="154" bestFit="1" customWidth="1"/>
    <col min="9989" max="9989" width="29" style="154" bestFit="1" customWidth="1"/>
    <col min="9990" max="9990" width="14.5703125" style="154" bestFit="1" customWidth="1"/>
    <col min="9991" max="10240" width="9.140625" style="154"/>
    <col min="10241" max="10241" width="4.42578125" style="154" customWidth="1"/>
    <col min="10242" max="10242" width="28.7109375" style="154" bestFit="1" customWidth="1"/>
    <col min="10243" max="10243" width="50.42578125" style="154" bestFit="1" customWidth="1"/>
    <col min="10244" max="10244" width="20.42578125" style="154" bestFit="1" customWidth="1"/>
    <col min="10245" max="10245" width="29" style="154" bestFit="1" customWidth="1"/>
    <col min="10246" max="10246" width="14.5703125" style="154" bestFit="1" customWidth="1"/>
    <col min="10247" max="10496" width="9.140625" style="154"/>
    <col min="10497" max="10497" width="4.42578125" style="154" customWidth="1"/>
    <col min="10498" max="10498" width="28.7109375" style="154" bestFit="1" customWidth="1"/>
    <col min="10499" max="10499" width="50.42578125" style="154" bestFit="1" customWidth="1"/>
    <col min="10500" max="10500" width="20.42578125" style="154" bestFit="1" customWidth="1"/>
    <col min="10501" max="10501" width="29" style="154" bestFit="1" customWidth="1"/>
    <col min="10502" max="10502" width="14.5703125" style="154" bestFit="1" customWidth="1"/>
    <col min="10503" max="10752" width="9.140625" style="154"/>
    <col min="10753" max="10753" width="4.42578125" style="154" customWidth="1"/>
    <col min="10754" max="10754" width="28.7109375" style="154" bestFit="1" customWidth="1"/>
    <col min="10755" max="10755" width="50.42578125" style="154" bestFit="1" customWidth="1"/>
    <col min="10756" max="10756" width="20.42578125" style="154" bestFit="1" customWidth="1"/>
    <col min="10757" max="10757" width="29" style="154" bestFit="1" customWidth="1"/>
    <col min="10758" max="10758" width="14.5703125" style="154" bestFit="1" customWidth="1"/>
    <col min="10759" max="11008" width="9.140625" style="154"/>
    <col min="11009" max="11009" width="4.42578125" style="154" customWidth="1"/>
    <col min="11010" max="11010" width="28.7109375" style="154" bestFit="1" customWidth="1"/>
    <col min="11011" max="11011" width="50.42578125" style="154" bestFit="1" customWidth="1"/>
    <col min="11012" max="11012" width="20.42578125" style="154" bestFit="1" customWidth="1"/>
    <col min="11013" max="11013" width="29" style="154" bestFit="1" customWidth="1"/>
    <col min="11014" max="11014" width="14.5703125" style="154" bestFit="1" customWidth="1"/>
    <col min="11015" max="11264" width="9.140625" style="154"/>
    <col min="11265" max="11265" width="4.42578125" style="154" customWidth="1"/>
    <col min="11266" max="11266" width="28.7109375" style="154" bestFit="1" customWidth="1"/>
    <col min="11267" max="11267" width="50.42578125" style="154" bestFit="1" customWidth="1"/>
    <col min="11268" max="11268" width="20.42578125" style="154" bestFit="1" customWidth="1"/>
    <col min="11269" max="11269" width="29" style="154" bestFit="1" customWidth="1"/>
    <col min="11270" max="11270" width="14.5703125" style="154" bestFit="1" customWidth="1"/>
    <col min="11271" max="11520" width="9.140625" style="154"/>
    <col min="11521" max="11521" width="4.42578125" style="154" customWidth="1"/>
    <col min="11522" max="11522" width="28.7109375" style="154" bestFit="1" customWidth="1"/>
    <col min="11523" max="11523" width="50.42578125" style="154" bestFit="1" customWidth="1"/>
    <col min="11524" max="11524" width="20.42578125" style="154" bestFit="1" customWidth="1"/>
    <col min="11525" max="11525" width="29" style="154" bestFit="1" customWidth="1"/>
    <col min="11526" max="11526" width="14.5703125" style="154" bestFit="1" customWidth="1"/>
    <col min="11527" max="11776" width="9.140625" style="154"/>
    <col min="11777" max="11777" width="4.42578125" style="154" customWidth="1"/>
    <col min="11778" max="11778" width="28.7109375" style="154" bestFit="1" customWidth="1"/>
    <col min="11779" max="11779" width="50.42578125" style="154" bestFit="1" customWidth="1"/>
    <col min="11780" max="11780" width="20.42578125" style="154" bestFit="1" customWidth="1"/>
    <col min="11781" max="11781" width="29" style="154" bestFit="1" customWidth="1"/>
    <col min="11782" max="11782" width="14.5703125" style="154" bestFit="1" customWidth="1"/>
    <col min="11783" max="12032" width="9.140625" style="154"/>
    <col min="12033" max="12033" width="4.42578125" style="154" customWidth="1"/>
    <col min="12034" max="12034" width="28.7109375" style="154" bestFit="1" customWidth="1"/>
    <col min="12035" max="12035" width="50.42578125" style="154" bestFit="1" customWidth="1"/>
    <col min="12036" max="12036" width="20.42578125" style="154" bestFit="1" customWidth="1"/>
    <col min="12037" max="12037" width="29" style="154" bestFit="1" customWidth="1"/>
    <col min="12038" max="12038" width="14.5703125" style="154" bestFit="1" customWidth="1"/>
    <col min="12039" max="12288" width="9.140625" style="154"/>
    <col min="12289" max="12289" width="4.42578125" style="154" customWidth="1"/>
    <col min="12290" max="12290" width="28.7109375" style="154" bestFit="1" customWidth="1"/>
    <col min="12291" max="12291" width="50.42578125" style="154" bestFit="1" customWidth="1"/>
    <col min="12292" max="12292" width="20.42578125" style="154" bestFit="1" customWidth="1"/>
    <col min="12293" max="12293" width="29" style="154" bestFit="1" customWidth="1"/>
    <col min="12294" max="12294" width="14.5703125" style="154" bestFit="1" customWidth="1"/>
    <col min="12295" max="12544" width="9.140625" style="154"/>
    <col min="12545" max="12545" width="4.42578125" style="154" customWidth="1"/>
    <col min="12546" max="12546" width="28.7109375" style="154" bestFit="1" customWidth="1"/>
    <col min="12547" max="12547" width="50.42578125" style="154" bestFit="1" customWidth="1"/>
    <col min="12548" max="12548" width="20.42578125" style="154" bestFit="1" customWidth="1"/>
    <col min="12549" max="12549" width="29" style="154" bestFit="1" customWidth="1"/>
    <col min="12550" max="12550" width="14.5703125" style="154" bestFit="1" customWidth="1"/>
    <col min="12551" max="12800" width="9.140625" style="154"/>
    <col min="12801" max="12801" width="4.42578125" style="154" customWidth="1"/>
    <col min="12802" max="12802" width="28.7109375" style="154" bestFit="1" customWidth="1"/>
    <col min="12803" max="12803" width="50.42578125" style="154" bestFit="1" customWidth="1"/>
    <col min="12804" max="12804" width="20.42578125" style="154" bestFit="1" customWidth="1"/>
    <col min="12805" max="12805" width="29" style="154" bestFit="1" customWidth="1"/>
    <col min="12806" max="12806" width="14.5703125" style="154" bestFit="1" customWidth="1"/>
    <col min="12807" max="13056" width="9.140625" style="154"/>
    <col min="13057" max="13057" width="4.42578125" style="154" customWidth="1"/>
    <col min="13058" max="13058" width="28.7109375" style="154" bestFit="1" customWidth="1"/>
    <col min="13059" max="13059" width="50.42578125" style="154" bestFit="1" customWidth="1"/>
    <col min="13060" max="13060" width="20.42578125" style="154" bestFit="1" customWidth="1"/>
    <col min="13061" max="13061" width="29" style="154" bestFit="1" customWidth="1"/>
    <col min="13062" max="13062" width="14.5703125" style="154" bestFit="1" customWidth="1"/>
    <col min="13063" max="13312" width="9.140625" style="154"/>
    <col min="13313" max="13313" width="4.42578125" style="154" customWidth="1"/>
    <col min="13314" max="13314" width="28.7109375" style="154" bestFit="1" customWidth="1"/>
    <col min="13315" max="13315" width="50.42578125" style="154" bestFit="1" customWidth="1"/>
    <col min="13316" max="13316" width="20.42578125" style="154" bestFit="1" customWidth="1"/>
    <col min="13317" max="13317" width="29" style="154" bestFit="1" customWidth="1"/>
    <col min="13318" max="13318" width="14.5703125" style="154" bestFit="1" customWidth="1"/>
    <col min="13319" max="13568" width="9.140625" style="154"/>
    <col min="13569" max="13569" width="4.42578125" style="154" customWidth="1"/>
    <col min="13570" max="13570" width="28.7109375" style="154" bestFit="1" customWidth="1"/>
    <col min="13571" max="13571" width="50.42578125" style="154" bestFit="1" customWidth="1"/>
    <col min="13572" max="13572" width="20.42578125" style="154" bestFit="1" customWidth="1"/>
    <col min="13573" max="13573" width="29" style="154" bestFit="1" customWidth="1"/>
    <col min="13574" max="13574" width="14.5703125" style="154" bestFit="1" customWidth="1"/>
    <col min="13575" max="13824" width="9.140625" style="154"/>
    <col min="13825" max="13825" width="4.42578125" style="154" customWidth="1"/>
    <col min="13826" max="13826" width="28.7109375" style="154" bestFit="1" customWidth="1"/>
    <col min="13827" max="13827" width="50.42578125" style="154" bestFit="1" customWidth="1"/>
    <col min="13828" max="13828" width="20.42578125" style="154" bestFit="1" customWidth="1"/>
    <col min="13829" max="13829" width="29" style="154" bestFit="1" customWidth="1"/>
    <col min="13830" max="13830" width="14.5703125" style="154" bestFit="1" customWidth="1"/>
    <col min="13831" max="14080" width="9.140625" style="154"/>
    <col min="14081" max="14081" width="4.42578125" style="154" customWidth="1"/>
    <col min="14082" max="14082" width="28.7109375" style="154" bestFit="1" customWidth="1"/>
    <col min="14083" max="14083" width="50.42578125" style="154" bestFit="1" customWidth="1"/>
    <col min="14084" max="14084" width="20.42578125" style="154" bestFit="1" customWidth="1"/>
    <col min="14085" max="14085" width="29" style="154" bestFit="1" customWidth="1"/>
    <col min="14086" max="14086" width="14.5703125" style="154" bestFit="1" customWidth="1"/>
    <col min="14087" max="14336" width="9.140625" style="154"/>
    <col min="14337" max="14337" width="4.42578125" style="154" customWidth="1"/>
    <col min="14338" max="14338" width="28.7109375" style="154" bestFit="1" customWidth="1"/>
    <col min="14339" max="14339" width="50.42578125" style="154" bestFit="1" customWidth="1"/>
    <col min="14340" max="14340" width="20.42578125" style="154" bestFit="1" customWidth="1"/>
    <col min="14341" max="14341" width="29" style="154" bestFit="1" customWidth="1"/>
    <col min="14342" max="14342" width="14.5703125" style="154" bestFit="1" customWidth="1"/>
    <col min="14343" max="14592" width="9.140625" style="154"/>
    <col min="14593" max="14593" width="4.42578125" style="154" customWidth="1"/>
    <col min="14594" max="14594" width="28.7109375" style="154" bestFit="1" customWidth="1"/>
    <col min="14595" max="14595" width="50.42578125" style="154" bestFit="1" customWidth="1"/>
    <col min="14596" max="14596" width="20.42578125" style="154" bestFit="1" customWidth="1"/>
    <col min="14597" max="14597" width="29" style="154" bestFit="1" customWidth="1"/>
    <col min="14598" max="14598" width="14.5703125" style="154" bestFit="1" customWidth="1"/>
    <col min="14599" max="14848" width="9.140625" style="154"/>
    <col min="14849" max="14849" width="4.42578125" style="154" customWidth="1"/>
    <col min="14850" max="14850" width="28.7109375" style="154" bestFit="1" customWidth="1"/>
    <col min="14851" max="14851" width="50.42578125" style="154" bestFit="1" customWidth="1"/>
    <col min="14852" max="14852" width="20.42578125" style="154" bestFit="1" customWidth="1"/>
    <col min="14853" max="14853" width="29" style="154" bestFit="1" customWidth="1"/>
    <col min="14854" max="14854" width="14.5703125" style="154" bestFit="1" customWidth="1"/>
    <col min="14855" max="15104" width="9.140625" style="154"/>
    <col min="15105" max="15105" width="4.42578125" style="154" customWidth="1"/>
    <col min="15106" max="15106" width="28.7109375" style="154" bestFit="1" customWidth="1"/>
    <col min="15107" max="15107" width="50.42578125" style="154" bestFit="1" customWidth="1"/>
    <col min="15108" max="15108" width="20.42578125" style="154" bestFit="1" customWidth="1"/>
    <col min="15109" max="15109" width="29" style="154" bestFit="1" customWidth="1"/>
    <col min="15110" max="15110" width="14.5703125" style="154" bestFit="1" customWidth="1"/>
    <col min="15111" max="15360" width="9.140625" style="154"/>
    <col min="15361" max="15361" width="4.42578125" style="154" customWidth="1"/>
    <col min="15362" max="15362" width="28.7109375" style="154" bestFit="1" customWidth="1"/>
    <col min="15363" max="15363" width="50.42578125" style="154" bestFit="1" customWidth="1"/>
    <col min="15364" max="15364" width="20.42578125" style="154" bestFit="1" customWidth="1"/>
    <col min="15365" max="15365" width="29" style="154" bestFit="1" customWidth="1"/>
    <col min="15366" max="15366" width="14.5703125" style="154" bestFit="1" customWidth="1"/>
    <col min="15367" max="15616" width="9.140625" style="154"/>
    <col min="15617" max="15617" width="4.42578125" style="154" customWidth="1"/>
    <col min="15618" max="15618" width="28.7109375" style="154" bestFit="1" customWidth="1"/>
    <col min="15619" max="15619" width="50.42578125" style="154" bestFit="1" customWidth="1"/>
    <col min="15620" max="15620" width="20.42578125" style="154" bestFit="1" customWidth="1"/>
    <col min="15621" max="15621" width="29" style="154" bestFit="1" customWidth="1"/>
    <col min="15622" max="15622" width="14.5703125" style="154" bestFit="1" customWidth="1"/>
    <col min="15623" max="15872" width="9.140625" style="154"/>
    <col min="15873" max="15873" width="4.42578125" style="154" customWidth="1"/>
    <col min="15874" max="15874" width="28.7109375" style="154" bestFit="1" customWidth="1"/>
    <col min="15875" max="15875" width="50.42578125" style="154" bestFit="1" customWidth="1"/>
    <col min="15876" max="15876" width="20.42578125" style="154" bestFit="1" customWidth="1"/>
    <col min="15877" max="15877" width="29" style="154" bestFit="1" customWidth="1"/>
    <col min="15878" max="15878" width="14.5703125" style="154" bestFit="1" customWidth="1"/>
    <col min="15879" max="16128" width="9.140625" style="154"/>
    <col min="16129" max="16129" width="4.42578125" style="154" customWidth="1"/>
    <col min="16130" max="16130" width="28.7109375" style="154" bestFit="1" customWidth="1"/>
    <col min="16131" max="16131" width="50.42578125" style="154" bestFit="1" customWidth="1"/>
    <col min="16132" max="16132" width="20.42578125" style="154" bestFit="1" customWidth="1"/>
    <col min="16133" max="16133" width="29" style="154" bestFit="1" customWidth="1"/>
    <col min="16134" max="16134" width="14.5703125" style="154" bestFit="1" customWidth="1"/>
    <col min="16135" max="16384" width="9.140625" style="154"/>
  </cols>
  <sheetData>
    <row r="1" spans="1:6" x14ac:dyDescent="0.3">
      <c r="A1" s="153" t="s">
        <v>0</v>
      </c>
    </row>
    <row r="2" spans="1:6" x14ac:dyDescent="0.3">
      <c r="A2" s="153" t="s">
        <v>791</v>
      </c>
    </row>
    <row r="3" spans="1:6" x14ac:dyDescent="0.3">
      <c r="A3" s="160" t="s">
        <v>1234</v>
      </c>
    </row>
    <row r="4" spans="1:6" s="156" customFormat="1" x14ac:dyDescent="0.3">
      <c r="A4" s="176" t="s">
        <v>762</v>
      </c>
      <c r="B4" s="176" t="s">
        <v>2</v>
      </c>
      <c r="C4" s="176" t="s">
        <v>792</v>
      </c>
      <c r="D4" s="176" t="s">
        <v>793</v>
      </c>
      <c r="E4" s="176" t="s">
        <v>794</v>
      </c>
      <c r="F4" s="176" t="s">
        <v>368</v>
      </c>
    </row>
    <row r="5" spans="1:6" x14ac:dyDescent="0.3">
      <c r="A5" s="155">
        <v>1</v>
      </c>
      <c r="B5" s="154" t="s">
        <v>764</v>
      </c>
      <c r="C5" s="154" t="s">
        <v>795</v>
      </c>
      <c r="D5" s="157" t="s">
        <v>796</v>
      </c>
      <c r="E5" s="158" t="s">
        <v>797</v>
      </c>
      <c r="F5" s="157" t="s">
        <v>798</v>
      </c>
    </row>
    <row r="6" spans="1:6" x14ac:dyDescent="0.3">
      <c r="A6" s="155">
        <v>2</v>
      </c>
      <c r="B6" s="154" t="s">
        <v>799</v>
      </c>
      <c r="C6" s="154" t="s">
        <v>795</v>
      </c>
      <c r="D6" s="157" t="s">
        <v>796</v>
      </c>
      <c r="E6" s="158" t="s">
        <v>800</v>
      </c>
      <c r="F6" s="157" t="s">
        <v>798</v>
      </c>
    </row>
    <row r="7" spans="1:6" x14ac:dyDescent="0.3">
      <c r="A7" s="155">
        <v>3</v>
      </c>
      <c r="B7" s="154" t="s">
        <v>801</v>
      </c>
      <c r="C7" s="154" t="s">
        <v>795</v>
      </c>
      <c r="D7" s="155" t="s">
        <v>802</v>
      </c>
      <c r="E7" s="158" t="s">
        <v>803</v>
      </c>
      <c r="F7" s="158">
        <v>40856</v>
      </c>
    </row>
    <row r="8" spans="1:6" x14ac:dyDescent="0.3">
      <c r="A8" s="155">
        <v>4</v>
      </c>
      <c r="B8" s="154" t="s">
        <v>766</v>
      </c>
      <c r="C8" s="154" t="s">
        <v>795</v>
      </c>
      <c r="D8" s="157" t="s">
        <v>796</v>
      </c>
      <c r="E8" s="158" t="s">
        <v>804</v>
      </c>
      <c r="F8" s="157" t="s">
        <v>798</v>
      </c>
    </row>
    <row r="9" spans="1:6" x14ac:dyDescent="0.3">
      <c r="A9" s="155">
        <v>5</v>
      </c>
      <c r="B9" s="154" t="s">
        <v>805</v>
      </c>
      <c r="C9" s="154" t="s">
        <v>795</v>
      </c>
      <c r="D9" s="155" t="s">
        <v>806</v>
      </c>
      <c r="E9" s="158" t="s">
        <v>807</v>
      </c>
      <c r="F9" s="157" t="s">
        <v>808</v>
      </c>
    </row>
    <row r="10" spans="1:6" x14ac:dyDescent="0.3">
      <c r="A10" s="155">
        <v>6</v>
      </c>
      <c r="B10" s="154" t="s">
        <v>809</v>
      </c>
      <c r="C10" s="154" t="s">
        <v>795</v>
      </c>
      <c r="D10" s="155" t="s">
        <v>810</v>
      </c>
      <c r="E10" s="158" t="s">
        <v>811</v>
      </c>
      <c r="F10" s="155" t="s">
        <v>812</v>
      </c>
    </row>
    <row r="11" spans="1:6" x14ac:dyDescent="0.3">
      <c r="A11" s="155">
        <v>7</v>
      </c>
      <c r="B11" s="154" t="s">
        <v>813</v>
      </c>
      <c r="C11" s="154" t="s">
        <v>795</v>
      </c>
      <c r="D11" s="157" t="s">
        <v>814</v>
      </c>
      <c r="E11" s="158" t="s">
        <v>815</v>
      </c>
      <c r="F11" s="155" t="s">
        <v>816</v>
      </c>
    </row>
    <row r="12" spans="1:6" x14ac:dyDescent="0.3">
      <c r="A12" s="155">
        <v>8</v>
      </c>
      <c r="B12" s="154" t="s">
        <v>817</v>
      </c>
      <c r="C12" s="154" t="s">
        <v>795</v>
      </c>
      <c r="D12" s="157" t="s">
        <v>796</v>
      </c>
      <c r="E12" s="158" t="s">
        <v>818</v>
      </c>
      <c r="F12" s="157" t="s">
        <v>798</v>
      </c>
    </row>
    <row r="13" spans="1:6" x14ac:dyDescent="0.3">
      <c r="A13" s="155">
        <v>9</v>
      </c>
      <c r="B13" s="154" t="s">
        <v>819</v>
      </c>
      <c r="C13" s="154" t="s">
        <v>795</v>
      </c>
      <c r="D13" s="157" t="s">
        <v>820</v>
      </c>
      <c r="E13" s="158" t="s">
        <v>821</v>
      </c>
      <c r="F13" s="155" t="s">
        <v>822</v>
      </c>
    </row>
    <row r="14" spans="1:6" x14ac:dyDescent="0.3">
      <c r="A14" s="155">
        <v>10</v>
      </c>
    </row>
    <row r="15" spans="1:6" x14ac:dyDescent="0.3">
      <c r="A15" s="155">
        <v>11</v>
      </c>
    </row>
    <row r="16" spans="1:6" x14ac:dyDescent="0.3">
      <c r="A16" s="155">
        <v>12</v>
      </c>
    </row>
    <row r="17" spans="1:5" x14ac:dyDescent="0.3">
      <c r="A17" s="155">
        <v>13</v>
      </c>
    </row>
    <row r="18" spans="1:5" x14ac:dyDescent="0.3">
      <c r="A18" s="155">
        <v>14</v>
      </c>
    </row>
    <row r="19" spans="1:5" x14ac:dyDescent="0.3">
      <c r="A19" s="155">
        <v>15</v>
      </c>
    </row>
    <row r="20" spans="1:5" x14ac:dyDescent="0.3">
      <c r="E20" s="158"/>
    </row>
    <row r="21" spans="1:5" x14ac:dyDescent="0.3">
      <c r="E21" s="158"/>
    </row>
    <row r="22" spans="1:5" x14ac:dyDescent="0.3">
      <c r="E22" s="158"/>
    </row>
    <row r="23" spans="1:5" x14ac:dyDescent="0.3">
      <c r="E23" s="158"/>
    </row>
    <row r="24" spans="1:5" x14ac:dyDescent="0.3">
      <c r="E24" s="158"/>
    </row>
    <row r="25" spans="1:5" x14ac:dyDescent="0.3">
      <c r="E25" s="158"/>
    </row>
    <row r="26" spans="1:5" x14ac:dyDescent="0.3">
      <c r="E26" s="158"/>
    </row>
    <row r="27" spans="1:5" ht="12" customHeight="1" x14ac:dyDescent="0.3">
      <c r="E27" s="158"/>
    </row>
    <row r="28" spans="1:5" x14ac:dyDescent="0.3">
      <c r="E28" s="158"/>
    </row>
    <row r="29" spans="1:5" x14ac:dyDescent="0.3">
      <c r="E29" s="158"/>
    </row>
    <row r="30" spans="1:5" x14ac:dyDescent="0.3">
      <c r="E30" s="158"/>
    </row>
    <row r="31" spans="1:5" x14ac:dyDescent="0.3">
      <c r="E31" s="158"/>
    </row>
    <row r="32" spans="1:5" x14ac:dyDescent="0.3">
      <c r="E32" s="158"/>
    </row>
    <row r="33" spans="5:5" x14ac:dyDescent="0.3">
      <c r="E33" s="159"/>
    </row>
    <row r="34" spans="5:5" x14ac:dyDescent="0.3">
      <c r="E34" s="158"/>
    </row>
  </sheetData>
  <pageMargins left="0.74803149606299213" right="0.74803149606299213" top="0.98425196850393704" bottom="0.98425196850393704" header="0.51181102362204722" footer="0.51181102362204722"/>
  <pageSetup scale="82" orientation="landscape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view="pageBreakPreview" topLeftCell="A4" zoomScaleNormal="100" zoomScaleSheetLayoutView="100" workbookViewId="0">
      <selection activeCell="B12" sqref="B12"/>
    </sheetView>
  </sheetViews>
  <sheetFormatPr defaultRowHeight="16.5" x14ac:dyDescent="0.3"/>
  <cols>
    <col min="1" max="1" width="4.42578125" style="1" customWidth="1"/>
    <col min="2" max="2" width="43.5703125" style="1" bestFit="1" customWidth="1"/>
    <col min="3" max="3" width="14.5703125" style="164" bestFit="1" customWidth="1"/>
    <col min="4" max="4" width="30.42578125" style="15" customWidth="1"/>
    <col min="5" max="5" width="26.42578125" style="164" bestFit="1" customWidth="1"/>
    <col min="6" max="6" width="29.85546875" style="1" bestFit="1" customWidth="1"/>
    <col min="7" max="8" width="14.5703125" style="15" customWidth="1"/>
    <col min="10" max="16384" width="9.140625" style="1"/>
  </cols>
  <sheetData>
    <row r="1" spans="1:9" x14ac:dyDescent="0.3">
      <c r="A1" s="153" t="s">
        <v>0</v>
      </c>
      <c r="B1" s="154"/>
      <c r="C1" s="399"/>
      <c r="D1" s="155"/>
      <c r="F1" s="155"/>
      <c r="G1" s="155"/>
      <c r="H1" s="155"/>
    </row>
    <row r="2" spans="1:9" x14ac:dyDescent="0.3">
      <c r="A2" s="153" t="s">
        <v>791</v>
      </c>
      <c r="B2" s="154"/>
      <c r="C2" s="399"/>
      <c r="D2" s="155" t="s">
        <v>1172</v>
      </c>
      <c r="E2" s="269">
        <v>500</v>
      </c>
      <c r="F2" s="155"/>
      <c r="G2" s="155"/>
      <c r="H2" s="155"/>
    </row>
    <row r="3" spans="1:9" x14ac:dyDescent="0.3">
      <c r="A3" s="160" t="s">
        <v>1171</v>
      </c>
      <c r="B3" s="154"/>
      <c r="C3" s="399"/>
      <c r="D3" s="155" t="s">
        <v>1173</v>
      </c>
      <c r="E3" s="269">
        <v>1000</v>
      </c>
      <c r="F3" s="155"/>
      <c r="G3" s="155"/>
      <c r="H3" s="155"/>
    </row>
    <row r="4" spans="1:9" s="43" customFormat="1" x14ac:dyDescent="0.3">
      <c r="A4" s="176" t="s">
        <v>762</v>
      </c>
      <c r="B4" s="176" t="s">
        <v>2</v>
      </c>
      <c r="C4" s="400" t="s">
        <v>2527</v>
      </c>
      <c r="D4" s="176" t="s">
        <v>792</v>
      </c>
      <c r="E4" s="57" t="s">
        <v>1176</v>
      </c>
      <c r="F4" s="176" t="s">
        <v>794</v>
      </c>
      <c r="G4" s="176" t="s">
        <v>368</v>
      </c>
      <c r="H4" s="176" t="s">
        <v>2526</v>
      </c>
    </row>
    <row r="5" spans="1:9" x14ac:dyDescent="0.3">
      <c r="A5" s="82">
        <v>1</v>
      </c>
      <c r="B5" s="172" t="s">
        <v>1174</v>
      </c>
      <c r="C5" s="401" t="s">
        <v>1639</v>
      </c>
      <c r="D5" s="175" t="s">
        <v>1175</v>
      </c>
      <c r="E5" s="267">
        <v>1000</v>
      </c>
      <c r="F5" s="174" t="s">
        <v>1177</v>
      </c>
      <c r="G5" s="268">
        <v>41646</v>
      </c>
      <c r="H5" s="268" t="s">
        <v>2529</v>
      </c>
    </row>
    <row r="6" spans="1:9" x14ac:dyDescent="0.3">
      <c r="A6" s="82">
        <v>2</v>
      </c>
      <c r="B6" s="172" t="s">
        <v>1186</v>
      </c>
      <c r="C6" s="401" t="s">
        <v>2530</v>
      </c>
      <c r="D6" s="175" t="s">
        <v>1178</v>
      </c>
      <c r="E6" s="265">
        <v>9000</v>
      </c>
      <c r="F6" s="174"/>
      <c r="G6" s="173"/>
      <c r="H6" s="173" t="s">
        <v>2532</v>
      </c>
    </row>
    <row r="7" spans="1:9" x14ac:dyDescent="0.3">
      <c r="A7" s="82">
        <v>3</v>
      </c>
      <c r="B7" s="172" t="s">
        <v>1179</v>
      </c>
      <c r="C7" s="401" t="s">
        <v>2539</v>
      </c>
      <c r="D7" s="175" t="s">
        <v>1175</v>
      </c>
      <c r="E7" s="265">
        <v>500</v>
      </c>
      <c r="F7" s="174" t="s">
        <v>1180</v>
      </c>
      <c r="G7" s="173" t="s">
        <v>1181</v>
      </c>
      <c r="H7" s="173"/>
    </row>
    <row r="8" spans="1:9" x14ac:dyDescent="0.3">
      <c r="A8" s="82">
        <v>4</v>
      </c>
      <c r="B8" s="172" t="s">
        <v>1182</v>
      </c>
      <c r="C8" s="401" t="s">
        <v>2540</v>
      </c>
      <c r="D8" s="175" t="s">
        <v>1175</v>
      </c>
      <c r="E8" s="265">
        <v>500</v>
      </c>
      <c r="F8" s="174" t="s">
        <v>1183</v>
      </c>
      <c r="G8" s="268">
        <v>42094</v>
      </c>
      <c r="H8" s="268" t="s">
        <v>2541</v>
      </c>
    </row>
    <row r="9" spans="1:9" x14ac:dyDescent="0.3">
      <c r="A9" s="82">
        <v>5</v>
      </c>
      <c r="B9" s="172" t="s">
        <v>1174</v>
      </c>
      <c r="C9" s="401" t="s">
        <v>1639</v>
      </c>
      <c r="D9" s="175" t="s">
        <v>1175</v>
      </c>
      <c r="E9" s="265">
        <v>500</v>
      </c>
      <c r="F9" s="174" t="s">
        <v>1184</v>
      </c>
      <c r="G9" s="268">
        <v>42103</v>
      </c>
      <c r="H9" s="268" t="s">
        <v>2528</v>
      </c>
    </row>
    <row r="10" spans="1:9" x14ac:dyDescent="0.3">
      <c r="A10" s="82">
        <v>6</v>
      </c>
      <c r="B10" s="172" t="s">
        <v>1185</v>
      </c>
      <c r="C10" s="401" t="s">
        <v>2534</v>
      </c>
      <c r="D10" s="175" t="s">
        <v>1175</v>
      </c>
      <c r="E10" s="265">
        <v>3000</v>
      </c>
      <c r="F10" s="174"/>
      <c r="G10" s="174">
        <v>42191</v>
      </c>
      <c r="H10" s="174"/>
      <c r="I10" t="s">
        <v>1187</v>
      </c>
    </row>
    <row r="11" spans="1:9" x14ac:dyDescent="0.3">
      <c r="A11" s="82">
        <v>7</v>
      </c>
      <c r="B11" s="83" t="s">
        <v>1186</v>
      </c>
      <c r="C11" s="10" t="s">
        <v>2530</v>
      </c>
      <c r="D11" s="82" t="s">
        <v>1175</v>
      </c>
      <c r="E11" s="266">
        <v>7000</v>
      </c>
      <c r="F11" s="83"/>
      <c r="G11" s="174">
        <v>42191</v>
      </c>
      <c r="H11" s="174" t="s">
        <v>2533</v>
      </c>
      <c r="I11" t="s">
        <v>1187</v>
      </c>
    </row>
    <row r="12" spans="1:9" x14ac:dyDescent="0.3">
      <c r="A12" s="82">
        <v>8</v>
      </c>
      <c r="B12" s="83" t="s">
        <v>1188</v>
      </c>
      <c r="C12" s="10" t="s">
        <v>1745</v>
      </c>
      <c r="D12" s="82" t="s">
        <v>1175</v>
      </c>
      <c r="E12" s="265">
        <v>500</v>
      </c>
      <c r="F12" s="83" t="s">
        <v>1189</v>
      </c>
      <c r="G12" s="254">
        <v>42312</v>
      </c>
      <c r="H12" s="254" t="s">
        <v>2542</v>
      </c>
    </row>
    <row r="13" spans="1:9" x14ac:dyDescent="0.3">
      <c r="A13" s="82">
        <v>9</v>
      </c>
      <c r="B13" s="83" t="s">
        <v>1190</v>
      </c>
      <c r="C13" s="10" t="s">
        <v>2543</v>
      </c>
      <c r="D13" s="82" t="s">
        <v>1175</v>
      </c>
      <c r="E13" s="265">
        <v>500</v>
      </c>
      <c r="F13" s="83" t="s">
        <v>1189</v>
      </c>
      <c r="G13" s="254">
        <v>42312</v>
      </c>
      <c r="H13" s="254" t="s">
        <v>2617</v>
      </c>
    </row>
    <row r="14" spans="1:9" x14ac:dyDescent="0.3">
      <c r="A14" s="82">
        <v>10</v>
      </c>
      <c r="B14" s="83" t="s">
        <v>1191</v>
      </c>
      <c r="C14" s="10" t="s">
        <v>2620</v>
      </c>
      <c r="D14" s="82" t="s">
        <v>1175</v>
      </c>
      <c r="E14" s="265">
        <v>500</v>
      </c>
      <c r="F14" s="83" t="s">
        <v>1189</v>
      </c>
      <c r="G14" s="254">
        <v>42312</v>
      </c>
      <c r="H14" s="254" t="s">
        <v>2621</v>
      </c>
    </row>
    <row r="15" spans="1:9" x14ac:dyDescent="0.3">
      <c r="A15" s="82">
        <v>11</v>
      </c>
      <c r="B15" s="83" t="s">
        <v>1192</v>
      </c>
      <c r="C15" s="10"/>
      <c r="D15" s="82" t="s">
        <v>1175</v>
      </c>
      <c r="E15" s="265">
        <v>500</v>
      </c>
      <c r="F15" s="83" t="s">
        <v>1193</v>
      </c>
      <c r="G15" s="254">
        <v>42332</v>
      </c>
      <c r="H15" s="254" t="s">
        <v>2531</v>
      </c>
    </row>
    <row r="16" spans="1:9" x14ac:dyDescent="0.3">
      <c r="A16" s="82">
        <v>12</v>
      </c>
      <c r="B16" s="83" t="s">
        <v>1578</v>
      </c>
      <c r="C16" s="10"/>
      <c r="D16" s="82" t="s">
        <v>2537</v>
      </c>
      <c r="E16" s="265">
        <v>1000</v>
      </c>
      <c r="F16" s="83"/>
      <c r="G16" s="254">
        <v>42438</v>
      </c>
      <c r="H16" s="82"/>
    </row>
    <row r="17" spans="1:8" x14ac:dyDescent="0.3">
      <c r="A17" s="82">
        <v>13</v>
      </c>
      <c r="B17" s="83" t="s">
        <v>1579</v>
      </c>
      <c r="C17" s="10"/>
      <c r="D17" s="82" t="s">
        <v>2538</v>
      </c>
      <c r="E17" s="265">
        <v>500</v>
      </c>
      <c r="F17" s="83"/>
      <c r="G17" s="254">
        <v>42438</v>
      </c>
      <c r="H17" s="82"/>
    </row>
    <row r="18" spans="1:8" x14ac:dyDescent="0.3">
      <c r="A18" s="82">
        <v>14</v>
      </c>
      <c r="B18" s="83" t="s">
        <v>1580</v>
      </c>
      <c r="C18" s="10"/>
      <c r="D18" s="82" t="s">
        <v>2537</v>
      </c>
      <c r="E18" s="265">
        <v>1000</v>
      </c>
      <c r="F18" s="83"/>
      <c r="G18" s="254">
        <v>42438</v>
      </c>
      <c r="H18" s="82"/>
    </row>
    <row r="19" spans="1:8" x14ac:dyDescent="0.3">
      <c r="A19" s="82">
        <v>15</v>
      </c>
      <c r="B19" s="83" t="s">
        <v>1581</v>
      </c>
      <c r="C19" s="10" t="s">
        <v>2557</v>
      </c>
      <c r="D19" s="82" t="s">
        <v>1582</v>
      </c>
      <c r="E19" s="265">
        <f>1000+1000+1000</f>
        <v>3000</v>
      </c>
      <c r="F19" s="83"/>
      <c r="G19" s="254">
        <v>42438</v>
      </c>
      <c r="H19" s="82" t="s">
        <v>2558</v>
      </c>
    </row>
    <row r="20" spans="1:8" x14ac:dyDescent="0.3">
      <c r="A20" s="82">
        <v>16</v>
      </c>
      <c r="B20" s="83" t="s">
        <v>1583</v>
      </c>
      <c r="C20" s="10" t="s">
        <v>2559</v>
      </c>
      <c r="D20" s="82" t="s">
        <v>2537</v>
      </c>
      <c r="E20" s="265">
        <v>1000</v>
      </c>
      <c r="F20" s="83"/>
      <c r="G20" s="254">
        <v>42438</v>
      </c>
      <c r="H20" s="82"/>
    </row>
    <row r="21" spans="1:8" x14ac:dyDescent="0.3">
      <c r="A21" s="82">
        <v>17</v>
      </c>
      <c r="B21" s="83" t="s">
        <v>2535</v>
      </c>
      <c r="C21" s="10" t="s">
        <v>2536</v>
      </c>
      <c r="D21" s="82" t="s">
        <v>2537</v>
      </c>
      <c r="E21" s="265">
        <v>1000</v>
      </c>
      <c r="F21" s="83"/>
      <c r="G21" s="254">
        <v>42550</v>
      </c>
      <c r="H21" s="82"/>
    </row>
    <row r="22" spans="1:8" x14ac:dyDescent="0.3">
      <c r="A22" s="82">
        <v>18</v>
      </c>
      <c r="B22" s="83" t="s">
        <v>2554</v>
      </c>
      <c r="C22" s="10" t="s">
        <v>2555</v>
      </c>
      <c r="D22" s="82" t="s">
        <v>2537</v>
      </c>
      <c r="E22" s="265">
        <v>1000</v>
      </c>
      <c r="F22" s="83"/>
      <c r="G22" s="254">
        <v>42578</v>
      </c>
      <c r="H22" s="82" t="s">
        <v>2556</v>
      </c>
    </row>
    <row r="23" spans="1:8" x14ac:dyDescent="0.3">
      <c r="A23" s="82">
        <v>19</v>
      </c>
      <c r="B23" s="83"/>
      <c r="C23" s="10"/>
      <c r="D23" s="82"/>
      <c r="E23" s="265"/>
      <c r="F23" s="83"/>
      <c r="G23" s="254"/>
      <c r="H23" s="82"/>
    </row>
    <row r="24" spans="1:8" x14ac:dyDescent="0.3">
      <c r="A24" s="82">
        <v>20</v>
      </c>
      <c r="B24" s="83"/>
      <c r="C24" s="10"/>
      <c r="D24" s="82"/>
      <c r="E24" s="265"/>
      <c r="F24" s="83"/>
      <c r="G24" s="254"/>
      <c r="H24" s="82"/>
    </row>
  </sheetData>
  <pageMargins left="0.7" right="0.7" top="0.75" bottom="0.75" header="0.3" footer="0.3"/>
  <pageSetup scale="48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2"/>
  <sheetViews>
    <sheetView view="pageBreakPreview" zoomScale="90" zoomScaleNormal="100" zoomScaleSheetLayoutView="90" workbookViewId="0">
      <pane ySplit="4" topLeftCell="A5" activePane="bottomLeft" state="frozen"/>
      <selection pane="bottomLeft" activeCell="H2" sqref="H2"/>
    </sheetView>
  </sheetViews>
  <sheetFormatPr defaultRowHeight="16.5" x14ac:dyDescent="0.3"/>
  <cols>
    <col min="1" max="1" width="9.140625" style="27"/>
    <col min="2" max="2" width="63.5703125" style="88" customWidth="1"/>
    <col min="3" max="3" width="9.42578125" style="41" bestFit="1" customWidth="1"/>
    <col min="4" max="5" width="17.42578125" style="127" customWidth="1"/>
    <col min="6" max="6" width="12.140625" style="41" customWidth="1"/>
    <col min="7" max="7" width="12" style="41" customWidth="1"/>
    <col min="8" max="8" width="35.85546875" style="88" customWidth="1"/>
    <col min="9" max="9" width="40.5703125" style="27" bestFit="1" customWidth="1"/>
    <col min="10" max="10" width="15.7109375" style="50" bestFit="1" customWidth="1"/>
    <col min="11" max="11" width="8.7109375" style="140" customWidth="1"/>
    <col min="12" max="12" width="14" style="140" customWidth="1"/>
    <col min="13" max="13" width="14" style="141" customWidth="1"/>
    <col min="14" max="14" width="15.85546875" style="101" bestFit="1" customWidth="1"/>
    <col min="15" max="15" width="18.7109375" style="101" bestFit="1" customWidth="1"/>
    <col min="16" max="16" width="18.7109375" style="101" customWidth="1"/>
    <col min="17" max="17" width="21" style="50" bestFit="1" customWidth="1"/>
    <col min="18" max="16384" width="9.140625" style="27"/>
  </cols>
  <sheetData>
    <row r="1" spans="1:17" x14ac:dyDescent="0.3">
      <c r="A1" s="36" t="s">
        <v>0</v>
      </c>
      <c r="B1" s="38"/>
      <c r="C1" s="316"/>
      <c r="D1" s="41"/>
      <c r="E1" s="41"/>
      <c r="F1" s="39"/>
      <c r="G1" s="39"/>
      <c r="H1" s="87"/>
    </row>
    <row r="2" spans="1:17" x14ac:dyDescent="0.3">
      <c r="A2" s="36" t="s">
        <v>43</v>
      </c>
      <c r="B2" s="38"/>
      <c r="C2" s="316"/>
      <c r="D2" s="126"/>
      <c r="E2" s="126"/>
      <c r="F2" s="39"/>
      <c r="G2" s="39"/>
      <c r="H2" s="620" t="s">
        <v>3030</v>
      </c>
      <c r="I2" s="27" t="s">
        <v>2757</v>
      </c>
    </row>
    <row r="3" spans="1:17" ht="16.5" customHeight="1" x14ac:dyDescent="0.3">
      <c r="A3" s="50" t="s">
        <v>2734</v>
      </c>
      <c r="K3" s="646" t="s">
        <v>521</v>
      </c>
      <c r="L3" s="647"/>
      <c r="M3" s="79" t="s">
        <v>522</v>
      </c>
      <c r="N3" s="102" t="s">
        <v>523</v>
      </c>
      <c r="O3" s="649" t="s">
        <v>524</v>
      </c>
      <c r="P3" s="635" t="s">
        <v>755</v>
      </c>
      <c r="Q3" s="648" t="s">
        <v>571</v>
      </c>
    </row>
    <row r="4" spans="1:17" ht="16.5" customHeight="1" x14ac:dyDescent="0.3">
      <c r="A4" s="91" t="s">
        <v>1</v>
      </c>
      <c r="B4" s="54" t="s">
        <v>2</v>
      </c>
      <c r="C4" s="91" t="s">
        <v>1502</v>
      </c>
      <c r="D4" s="128" t="s">
        <v>3</v>
      </c>
      <c r="E4" s="128" t="s">
        <v>1492</v>
      </c>
      <c r="F4" s="91" t="s">
        <v>4</v>
      </c>
      <c r="G4" s="91" t="s">
        <v>5</v>
      </c>
      <c r="H4" s="91" t="s">
        <v>6</v>
      </c>
      <c r="I4" s="55" t="s">
        <v>415</v>
      </c>
      <c r="J4" s="544" t="s">
        <v>520</v>
      </c>
      <c r="K4" s="646">
        <v>2016</v>
      </c>
      <c r="L4" s="647"/>
      <c r="M4" s="79" t="s">
        <v>525</v>
      </c>
      <c r="N4" s="103" t="s">
        <v>525</v>
      </c>
      <c r="O4" s="649"/>
      <c r="P4" s="636"/>
      <c r="Q4" s="648"/>
    </row>
    <row r="5" spans="1:17" x14ac:dyDescent="0.3">
      <c r="A5" s="11">
        <v>1</v>
      </c>
      <c r="B5" s="86" t="s">
        <v>1564</v>
      </c>
      <c r="C5" s="12" t="s">
        <v>1565</v>
      </c>
      <c r="D5" s="129" t="s">
        <v>1563</v>
      </c>
      <c r="E5" s="129" t="s">
        <v>1562</v>
      </c>
      <c r="F5" s="41" t="s">
        <v>7</v>
      </c>
      <c r="G5" s="12" t="s">
        <v>1494</v>
      </c>
      <c r="H5" s="86" t="s">
        <v>1498</v>
      </c>
      <c r="I5" s="40" t="s">
        <v>419</v>
      </c>
      <c r="J5" s="122">
        <v>10000</v>
      </c>
      <c r="K5" s="75"/>
      <c r="L5" s="75">
        <v>2500</v>
      </c>
      <c r="M5" s="122">
        <v>2375</v>
      </c>
      <c r="N5" s="95">
        <f>J5-M5</f>
        <v>7625</v>
      </c>
      <c r="O5" s="95"/>
      <c r="P5" s="95">
        <f>M5</f>
        <v>2375</v>
      </c>
      <c r="Q5" s="76"/>
    </row>
    <row r="6" spans="1:17" x14ac:dyDescent="0.3">
      <c r="A6" s="11">
        <v>2</v>
      </c>
      <c r="B6" s="86" t="s">
        <v>2473</v>
      </c>
      <c r="C6" s="12" t="s">
        <v>1482</v>
      </c>
      <c r="D6" s="310" t="s">
        <v>2472</v>
      </c>
      <c r="E6" s="129" t="s">
        <v>2471</v>
      </c>
      <c r="F6" s="12" t="s">
        <v>7</v>
      </c>
      <c r="G6" s="12" t="s">
        <v>1494</v>
      </c>
      <c r="H6" s="86" t="s">
        <v>1495</v>
      </c>
      <c r="I6" s="40" t="s">
        <v>430</v>
      </c>
      <c r="J6" s="122">
        <v>10000</v>
      </c>
      <c r="K6" s="75"/>
      <c r="L6" s="75">
        <v>3000</v>
      </c>
      <c r="M6" s="122">
        <v>2850</v>
      </c>
      <c r="N6" s="95">
        <f t="shared" ref="N6:N15" si="0">J6-M6</f>
        <v>7150</v>
      </c>
      <c r="O6" s="95"/>
      <c r="P6" s="95"/>
      <c r="Q6" s="76"/>
    </row>
    <row r="7" spans="1:17" x14ac:dyDescent="0.3">
      <c r="A7" s="11">
        <v>3</v>
      </c>
      <c r="B7" s="86" t="s">
        <v>2474</v>
      </c>
      <c r="C7" s="12" t="s">
        <v>2456</v>
      </c>
      <c r="D7" s="310" t="s">
        <v>2455</v>
      </c>
      <c r="E7" s="129" t="s">
        <v>2457</v>
      </c>
      <c r="F7" s="12" t="s">
        <v>7</v>
      </c>
      <c r="G7" s="12" t="s">
        <v>1494</v>
      </c>
      <c r="H7" s="86" t="s">
        <v>2458</v>
      </c>
      <c r="I7" s="40" t="s">
        <v>2475</v>
      </c>
      <c r="J7" s="122">
        <v>10000</v>
      </c>
      <c r="K7" s="75"/>
      <c r="L7" s="75">
        <v>3400</v>
      </c>
      <c r="M7" s="122">
        <v>3230</v>
      </c>
      <c r="N7" s="95">
        <f t="shared" si="0"/>
        <v>6770</v>
      </c>
      <c r="O7" s="95"/>
      <c r="P7" s="95"/>
      <c r="Q7" s="76"/>
    </row>
    <row r="8" spans="1:17" x14ac:dyDescent="0.3">
      <c r="A8" s="11">
        <v>4</v>
      </c>
      <c r="B8" s="86" t="s">
        <v>1491</v>
      </c>
      <c r="C8" s="12" t="s">
        <v>1505</v>
      </c>
      <c r="D8" s="129" t="s">
        <v>1490</v>
      </c>
      <c r="E8" s="12" t="s">
        <v>1493</v>
      </c>
      <c r="F8" s="41" t="s">
        <v>7</v>
      </c>
      <c r="G8" s="12" t="s">
        <v>1494</v>
      </c>
      <c r="H8" s="86" t="s">
        <v>1495</v>
      </c>
      <c r="I8" s="40" t="s">
        <v>554</v>
      </c>
      <c r="J8" s="122">
        <v>10000</v>
      </c>
      <c r="K8" s="75"/>
      <c r="L8" s="75">
        <v>3400</v>
      </c>
      <c r="M8" s="122">
        <v>3230</v>
      </c>
      <c r="N8" s="95">
        <f t="shared" si="0"/>
        <v>6770</v>
      </c>
      <c r="O8" s="95"/>
      <c r="P8" s="95"/>
      <c r="Q8" s="76"/>
    </row>
    <row r="9" spans="1:17" x14ac:dyDescent="0.3">
      <c r="A9" s="11">
        <v>5</v>
      </c>
      <c r="B9" s="86" t="s">
        <v>2451</v>
      </c>
      <c r="C9" s="12" t="s">
        <v>2453</v>
      </c>
      <c r="D9" s="310" t="s">
        <v>2476</v>
      </c>
      <c r="E9" s="129" t="s">
        <v>2452</v>
      </c>
      <c r="F9" s="12" t="s">
        <v>7</v>
      </c>
      <c r="G9" s="12" t="s">
        <v>1494</v>
      </c>
      <c r="H9" s="86" t="s">
        <v>1495</v>
      </c>
      <c r="I9" s="40" t="s">
        <v>430</v>
      </c>
      <c r="J9" s="122">
        <v>10000</v>
      </c>
      <c r="K9" s="75"/>
      <c r="L9" s="75">
        <v>3000</v>
      </c>
      <c r="M9" s="122">
        <v>2850</v>
      </c>
      <c r="N9" s="95">
        <f t="shared" si="0"/>
        <v>7150</v>
      </c>
      <c r="O9" s="95"/>
      <c r="P9" s="95"/>
      <c r="Q9" s="76"/>
    </row>
    <row r="10" spans="1:17" x14ac:dyDescent="0.3">
      <c r="A10" s="11">
        <v>6</v>
      </c>
      <c r="B10" s="86" t="s">
        <v>2459</v>
      </c>
      <c r="C10" s="12" t="s">
        <v>2462</v>
      </c>
      <c r="D10" s="310" t="s">
        <v>2461</v>
      </c>
      <c r="E10" s="129" t="s">
        <v>2460</v>
      </c>
      <c r="F10" s="12" t="s">
        <v>7</v>
      </c>
      <c r="G10" s="12" t="s">
        <v>1494</v>
      </c>
      <c r="H10" s="86" t="s">
        <v>1495</v>
      </c>
      <c r="I10" s="40" t="s">
        <v>430</v>
      </c>
      <c r="J10" s="122">
        <v>10000</v>
      </c>
      <c r="K10" s="75"/>
      <c r="L10" s="75">
        <v>3000</v>
      </c>
      <c r="M10" s="122">
        <v>2850</v>
      </c>
      <c r="N10" s="95">
        <f t="shared" si="0"/>
        <v>7150</v>
      </c>
      <c r="O10" s="95"/>
      <c r="P10" s="95"/>
      <c r="Q10" s="76"/>
    </row>
    <row r="11" spans="1:17" x14ac:dyDescent="0.3">
      <c r="A11" s="11">
        <v>7</v>
      </c>
      <c r="B11" s="86" t="s">
        <v>1533</v>
      </c>
      <c r="C11" s="12" t="s">
        <v>1536</v>
      </c>
      <c r="D11" s="310" t="s">
        <v>1535</v>
      </c>
      <c r="E11" s="129" t="s">
        <v>1534</v>
      </c>
      <c r="F11" s="39" t="s">
        <v>7</v>
      </c>
      <c r="G11" s="12" t="s">
        <v>1494</v>
      </c>
      <c r="H11" s="86" t="s">
        <v>1495</v>
      </c>
      <c r="I11" s="40" t="s">
        <v>430</v>
      </c>
      <c r="J11" s="122">
        <v>10000</v>
      </c>
      <c r="K11" s="75"/>
      <c r="L11" s="75">
        <v>3000</v>
      </c>
      <c r="M11" s="122">
        <v>2850</v>
      </c>
      <c r="N11" s="95">
        <f t="shared" si="0"/>
        <v>7150</v>
      </c>
      <c r="O11" s="95"/>
      <c r="P11" s="95"/>
      <c r="Q11" s="76"/>
    </row>
    <row r="12" spans="1:17" x14ac:dyDescent="0.3">
      <c r="A12" s="11">
        <v>8</v>
      </c>
      <c r="B12" s="86" t="s">
        <v>2463</v>
      </c>
      <c r="C12" s="12" t="s">
        <v>2466</v>
      </c>
      <c r="D12" s="310" t="s">
        <v>2464</v>
      </c>
      <c r="E12" s="129" t="s">
        <v>2465</v>
      </c>
      <c r="F12" s="12" t="s">
        <v>7</v>
      </c>
      <c r="G12" s="12" t="s">
        <v>1494</v>
      </c>
      <c r="H12" s="86" t="s">
        <v>1524</v>
      </c>
      <c r="I12" s="40" t="s">
        <v>445</v>
      </c>
      <c r="J12" s="122">
        <v>10000</v>
      </c>
      <c r="K12" s="75"/>
      <c r="L12" s="75">
        <v>3000</v>
      </c>
      <c r="M12" s="122">
        <v>2850</v>
      </c>
      <c r="N12" s="95">
        <f t="shared" si="0"/>
        <v>7150</v>
      </c>
      <c r="O12" s="95"/>
      <c r="P12" s="95"/>
      <c r="Q12" s="76"/>
    </row>
    <row r="13" spans="1:17" x14ac:dyDescent="0.3">
      <c r="A13" s="11">
        <v>9</v>
      </c>
      <c r="B13" s="86" t="s">
        <v>2467</v>
      </c>
      <c r="C13" s="40" t="s">
        <v>2470</v>
      </c>
      <c r="D13" s="129" t="s">
        <v>2468</v>
      </c>
      <c r="E13" s="131" t="s">
        <v>2469</v>
      </c>
      <c r="F13" s="39"/>
      <c r="G13" s="12"/>
      <c r="H13" s="86" t="s">
        <v>1495</v>
      </c>
      <c r="I13" s="40"/>
      <c r="J13" s="122">
        <v>10000</v>
      </c>
      <c r="K13" s="75"/>
      <c r="L13" s="75">
        <v>3800</v>
      </c>
      <c r="M13" s="122">
        <v>3610</v>
      </c>
      <c r="N13" s="95">
        <f t="shared" si="0"/>
        <v>6390</v>
      </c>
      <c r="O13" s="95"/>
      <c r="P13" s="95"/>
      <c r="Q13" s="76"/>
    </row>
    <row r="14" spans="1:17" x14ac:dyDescent="0.3">
      <c r="A14" s="11">
        <v>10</v>
      </c>
      <c r="B14" s="86" t="s">
        <v>1609</v>
      </c>
      <c r="C14" s="12" t="s">
        <v>1612</v>
      </c>
      <c r="D14" s="310" t="s">
        <v>1611</v>
      </c>
      <c r="E14" s="129" t="s">
        <v>1610</v>
      </c>
      <c r="F14" s="12" t="s">
        <v>7</v>
      </c>
      <c r="G14" s="12" t="s">
        <v>1494</v>
      </c>
      <c r="H14" s="86" t="s">
        <v>1495</v>
      </c>
      <c r="I14" s="40" t="s">
        <v>419</v>
      </c>
      <c r="J14" s="122">
        <v>10000</v>
      </c>
      <c r="K14" s="75"/>
      <c r="L14" s="75">
        <v>3400</v>
      </c>
      <c r="M14" s="122">
        <v>3230</v>
      </c>
      <c r="N14" s="95">
        <f t="shared" si="0"/>
        <v>6770</v>
      </c>
      <c r="O14" s="95"/>
      <c r="P14" s="95"/>
      <c r="Q14" s="76"/>
    </row>
    <row r="15" spans="1:17" x14ac:dyDescent="0.3">
      <c r="A15" s="11">
        <v>11</v>
      </c>
      <c r="B15" s="86" t="s">
        <v>2477</v>
      </c>
      <c r="C15" s="12" t="s">
        <v>2450</v>
      </c>
      <c r="D15" s="129" t="s">
        <v>2478</v>
      </c>
      <c r="E15" s="129" t="s">
        <v>2449</v>
      </c>
      <c r="F15" s="12" t="s">
        <v>7</v>
      </c>
      <c r="G15" s="12" t="s">
        <v>1494</v>
      </c>
      <c r="H15" s="86" t="s">
        <v>1498</v>
      </c>
      <c r="I15" s="40" t="s">
        <v>2475</v>
      </c>
      <c r="J15" s="122">
        <v>10000</v>
      </c>
      <c r="K15" s="75"/>
      <c r="L15" s="75">
        <v>2500</v>
      </c>
      <c r="M15" s="122">
        <v>2375</v>
      </c>
      <c r="N15" s="95">
        <f t="shared" si="0"/>
        <v>7625</v>
      </c>
      <c r="O15" s="95"/>
      <c r="P15" s="95"/>
      <c r="Q15" s="76"/>
    </row>
    <row r="16" spans="1:17" x14ac:dyDescent="0.3">
      <c r="A16" s="37"/>
      <c r="B16" s="87"/>
      <c r="C16" s="39"/>
      <c r="D16" s="371"/>
      <c r="E16" s="126"/>
      <c r="F16" s="39"/>
      <c r="G16" s="39"/>
      <c r="H16" s="87"/>
    </row>
    <row r="17" spans="1:8" x14ac:dyDescent="0.3">
      <c r="A17" s="37"/>
      <c r="B17" s="87"/>
      <c r="C17" s="39"/>
      <c r="D17" s="371"/>
      <c r="E17" s="126"/>
      <c r="F17" s="39"/>
      <c r="G17" s="39"/>
      <c r="H17" s="87"/>
    </row>
    <row r="18" spans="1:8" x14ac:dyDescent="0.3">
      <c r="A18" s="37"/>
      <c r="B18" s="87"/>
      <c r="C18" s="39"/>
      <c r="D18" s="371"/>
      <c r="E18" s="126"/>
      <c r="F18" s="39"/>
      <c r="G18" s="39"/>
      <c r="H18" s="87"/>
    </row>
    <row r="19" spans="1:8" x14ac:dyDescent="0.3">
      <c r="A19" s="37"/>
      <c r="B19" s="87"/>
      <c r="C19" s="39"/>
      <c r="D19" s="126"/>
      <c r="E19" s="126"/>
      <c r="F19" s="39"/>
      <c r="G19" s="39"/>
      <c r="H19" s="87"/>
    </row>
    <row r="20" spans="1:8" x14ac:dyDescent="0.3">
      <c r="A20" s="37"/>
      <c r="B20" s="87"/>
      <c r="C20" s="39"/>
      <c r="D20" s="126"/>
      <c r="E20" s="126"/>
      <c r="F20" s="39"/>
      <c r="G20" s="39"/>
      <c r="H20" s="87"/>
    </row>
    <row r="21" spans="1:8" x14ac:dyDescent="0.3">
      <c r="A21" s="37"/>
      <c r="B21" s="87"/>
      <c r="C21" s="39"/>
      <c r="D21" s="126"/>
      <c r="E21" s="126"/>
      <c r="F21" s="39"/>
      <c r="G21" s="39"/>
      <c r="H21" s="87"/>
    </row>
    <row r="22" spans="1:8" x14ac:dyDescent="0.3">
      <c r="A22" s="37"/>
      <c r="B22" s="87"/>
      <c r="C22" s="39"/>
      <c r="D22" s="126"/>
      <c r="E22" s="126"/>
      <c r="F22" s="39"/>
      <c r="G22" s="39"/>
      <c r="H22" s="87"/>
    </row>
    <row r="23" spans="1:8" x14ac:dyDescent="0.3">
      <c r="A23" s="37"/>
      <c r="B23" s="87"/>
      <c r="C23" s="39"/>
      <c r="D23" s="126"/>
      <c r="E23" s="126"/>
      <c r="F23" s="39"/>
      <c r="G23" s="39"/>
      <c r="H23" s="87"/>
    </row>
    <row r="24" spans="1:8" x14ac:dyDescent="0.3">
      <c r="A24" s="37"/>
      <c r="B24" s="87"/>
      <c r="C24" s="39"/>
      <c r="D24" s="126"/>
      <c r="E24" s="126"/>
      <c r="F24" s="39"/>
      <c r="G24" s="39"/>
      <c r="H24" s="87"/>
    </row>
    <row r="25" spans="1:8" x14ac:dyDescent="0.3">
      <c r="A25" s="37"/>
      <c r="B25" s="87"/>
      <c r="C25" s="39"/>
      <c r="D25" s="126"/>
      <c r="E25" s="126"/>
      <c r="F25" s="39"/>
      <c r="G25" s="39"/>
      <c r="H25" s="87"/>
    </row>
    <row r="26" spans="1:8" x14ac:dyDescent="0.3">
      <c r="A26" s="37"/>
      <c r="B26" s="87"/>
      <c r="C26" s="39"/>
      <c r="D26" s="126"/>
      <c r="E26" s="126"/>
      <c r="F26" s="39"/>
      <c r="G26" s="39"/>
      <c r="H26" s="87"/>
    </row>
    <row r="27" spans="1:8" x14ac:dyDescent="0.3">
      <c r="A27" s="37"/>
      <c r="B27" s="87"/>
      <c r="C27" s="39"/>
      <c r="D27" s="126"/>
      <c r="E27" s="126"/>
      <c r="F27" s="39"/>
      <c r="G27" s="39"/>
      <c r="H27" s="87"/>
    </row>
    <row r="28" spans="1:8" x14ac:dyDescent="0.3">
      <c r="A28" s="37"/>
      <c r="B28" s="87"/>
      <c r="C28" s="39"/>
      <c r="D28" s="126"/>
      <c r="E28" s="126"/>
      <c r="F28" s="39"/>
      <c r="G28" s="39"/>
      <c r="H28" s="87"/>
    </row>
    <row r="29" spans="1:8" x14ac:dyDescent="0.3">
      <c r="A29" s="37"/>
      <c r="B29" s="87"/>
      <c r="C29" s="39"/>
      <c r="D29" s="126"/>
      <c r="E29" s="126"/>
      <c r="F29" s="39"/>
      <c r="G29" s="39"/>
      <c r="H29" s="87"/>
    </row>
    <row r="30" spans="1:8" x14ac:dyDescent="0.3">
      <c r="A30" s="37"/>
      <c r="B30" s="87"/>
      <c r="C30" s="39"/>
      <c r="D30" s="126"/>
      <c r="E30" s="126"/>
      <c r="F30" s="39"/>
      <c r="G30" s="39"/>
      <c r="H30" s="87"/>
    </row>
    <row r="31" spans="1:8" x14ac:dyDescent="0.3">
      <c r="A31" s="37"/>
      <c r="B31" s="87"/>
      <c r="C31" s="39"/>
      <c r="D31" s="126"/>
      <c r="E31" s="126"/>
      <c r="F31" s="39"/>
      <c r="G31" s="39"/>
      <c r="H31" s="87"/>
    </row>
    <row r="32" spans="1:8" x14ac:dyDescent="0.3">
      <c r="A32" s="37"/>
      <c r="B32" s="87"/>
      <c r="C32" s="39"/>
      <c r="D32" s="126"/>
      <c r="E32" s="126"/>
      <c r="F32" s="39"/>
      <c r="G32" s="39"/>
      <c r="H32" s="87"/>
    </row>
    <row r="33" spans="1:8" x14ac:dyDescent="0.3">
      <c r="A33" s="37"/>
      <c r="B33" s="87"/>
      <c r="C33" s="39"/>
      <c r="D33" s="126"/>
      <c r="E33" s="126"/>
      <c r="F33" s="39"/>
      <c r="G33" s="39"/>
      <c r="H33" s="87"/>
    </row>
    <row r="34" spans="1:8" x14ac:dyDescent="0.3">
      <c r="A34" s="37"/>
      <c r="B34" s="87"/>
      <c r="C34" s="39"/>
      <c r="D34" s="126"/>
      <c r="E34" s="126"/>
      <c r="F34" s="39"/>
      <c r="G34" s="39"/>
      <c r="H34" s="87"/>
    </row>
    <row r="35" spans="1:8" x14ac:dyDescent="0.3">
      <c r="A35" s="37"/>
      <c r="B35" s="87"/>
      <c r="C35" s="39"/>
      <c r="D35" s="126"/>
      <c r="E35" s="126"/>
      <c r="F35" s="39"/>
      <c r="G35" s="39"/>
      <c r="H35" s="87"/>
    </row>
    <row r="36" spans="1:8" x14ac:dyDescent="0.3">
      <c r="A36" s="37"/>
      <c r="B36" s="87"/>
      <c r="C36" s="39"/>
      <c r="D36" s="126"/>
      <c r="E36" s="126"/>
      <c r="F36" s="39"/>
      <c r="G36" s="39"/>
      <c r="H36" s="87"/>
    </row>
    <row r="37" spans="1:8" x14ac:dyDescent="0.3">
      <c r="A37" s="37"/>
      <c r="B37" s="87"/>
      <c r="C37" s="39"/>
      <c r="D37" s="126"/>
      <c r="E37" s="126"/>
      <c r="F37" s="39"/>
      <c r="G37" s="39"/>
      <c r="H37" s="87"/>
    </row>
    <row r="38" spans="1:8" x14ac:dyDescent="0.3">
      <c r="A38" s="37"/>
      <c r="B38" s="87"/>
      <c r="C38" s="39"/>
      <c r="D38" s="126"/>
      <c r="E38" s="126"/>
      <c r="F38" s="39"/>
      <c r="G38" s="39"/>
      <c r="H38" s="87"/>
    </row>
    <row r="39" spans="1:8" x14ac:dyDescent="0.3">
      <c r="A39" s="37"/>
      <c r="B39" s="87"/>
      <c r="C39" s="39"/>
      <c r="D39" s="126"/>
      <c r="E39" s="126"/>
      <c r="F39" s="39"/>
      <c r="G39" s="39"/>
      <c r="H39" s="87"/>
    </row>
    <row r="40" spans="1:8" x14ac:dyDescent="0.3">
      <c r="A40" s="37"/>
      <c r="B40" s="87"/>
      <c r="C40" s="39"/>
      <c r="D40" s="126"/>
      <c r="E40" s="126"/>
      <c r="F40" s="39"/>
      <c r="G40" s="39"/>
      <c r="H40" s="87"/>
    </row>
    <row r="41" spans="1:8" x14ac:dyDescent="0.3">
      <c r="A41" s="37"/>
      <c r="B41" s="87"/>
      <c r="C41" s="39"/>
      <c r="D41" s="126"/>
      <c r="E41" s="126"/>
      <c r="F41" s="39"/>
      <c r="G41" s="39"/>
      <c r="H41" s="87"/>
    </row>
    <row r="42" spans="1:8" x14ac:dyDescent="0.3">
      <c r="A42" s="37"/>
      <c r="B42" s="87"/>
      <c r="C42" s="39"/>
      <c r="D42" s="126"/>
      <c r="E42" s="126"/>
      <c r="F42" s="39"/>
      <c r="G42" s="39"/>
      <c r="H42" s="87"/>
    </row>
    <row r="43" spans="1:8" x14ac:dyDescent="0.3">
      <c r="A43" s="37"/>
      <c r="B43" s="87"/>
      <c r="C43" s="39"/>
      <c r="D43" s="126"/>
      <c r="E43" s="126"/>
      <c r="F43" s="39"/>
      <c r="G43" s="39"/>
      <c r="H43" s="87"/>
    </row>
    <row r="44" spans="1:8" x14ac:dyDescent="0.3">
      <c r="A44" s="37"/>
      <c r="B44" s="87"/>
      <c r="C44" s="39"/>
      <c r="D44" s="126"/>
      <c r="E44" s="126"/>
      <c r="F44" s="39"/>
      <c r="G44" s="39"/>
      <c r="H44" s="87"/>
    </row>
    <row r="45" spans="1:8" x14ac:dyDescent="0.3">
      <c r="A45" s="37"/>
      <c r="B45" s="87"/>
      <c r="C45" s="39"/>
      <c r="D45" s="126"/>
      <c r="E45" s="126"/>
      <c r="F45" s="39"/>
      <c r="G45" s="39"/>
      <c r="H45" s="87"/>
    </row>
    <row r="46" spans="1:8" x14ac:dyDescent="0.3">
      <c r="A46" s="37"/>
      <c r="B46" s="87"/>
      <c r="C46" s="39"/>
      <c r="D46" s="126"/>
      <c r="E46" s="126"/>
      <c r="F46" s="39"/>
      <c r="G46" s="39"/>
      <c r="H46" s="87"/>
    </row>
    <row r="47" spans="1:8" x14ac:dyDescent="0.3">
      <c r="A47" s="37"/>
      <c r="B47" s="87"/>
      <c r="C47" s="39"/>
      <c r="D47" s="126"/>
      <c r="E47" s="126"/>
      <c r="F47" s="39"/>
      <c r="G47" s="39"/>
      <c r="H47" s="87"/>
    </row>
    <row r="48" spans="1:8" x14ac:dyDescent="0.3">
      <c r="A48" s="37"/>
      <c r="B48" s="87"/>
      <c r="C48" s="39"/>
      <c r="D48" s="126"/>
      <c r="E48" s="126"/>
      <c r="F48" s="39"/>
      <c r="G48" s="39"/>
      <c r="H48" s="87"/>
    </row>
    <row r="49" spans="1:8" x14ac:dyDescent="0.3">
      <c r="A49" s="37"/>
      <c r="B49" s="87"/>
      <c r="C49" s="39"/>
      <c r="D49" s="126"/>
      <c r="E49" s="126"/>
      <c r="F49" s="39"/>
      <c r="G49" s="39"/>
      <c r="H49" s="87"/>
    </row>
    <row r="50" spans="1:8" x14ac:dyDescent="0.3">
      <c r="A50" s="37"/>
      <c r="B50" s="87"/>
      <c r="C50" s="39"/>
      <c r="D50" s="126"/>
      <c r="E50" s="126"/>
      <c r="F50" s="39"/>
      <c r="G50" s="39"/>
      <c r="H50" s="87"/>
    </row>
    <row r="51" spans="1:8" x14ac:dyDescent="0.3">
      <c r="A51" s="37"/>
      <c r="B51" s="87"/>
      <c r="C51" s="39"/>
      <c r="D51" s="126"/>
      <c r="E51" s="126"/>
      <c r="F51" s="39"/>
      <c r="G51" s="39"/>
      <c r="H51" s="87"/>
    </row>
    <row r="52" spans="1:8" x14ac:dyDescent="0.3">
      <c r="A52" s="37"/>
      <c r="B52" s="87"/>
      <c r="C52" s="39"/>
      <c r="D52" s="126"/>
      <c r="E52" s="126"/>
      <c r="F52" s="39"/>
      <c r="G52" s="39"/>
      <c r="H52" s="87"/>
    </row>
    <row r="53" spans="1:8" x14ac:dyDescent="0.3">
      <c r="A53" s="37"/>
      <c r="B53" s="87"/>
      <c r="C53" s="39"/>
      <c r="D53" s="126"/>
      <c r="E53" s="126"/>
      <c r="F53" s="39"/>
      <c r="G53" s="39"/>
      <c r="H53" s="87"/>
    </row>
    <row r="54" spans="1:8" x14ac:dyDescent="0.3">
      <c r="A54" s="37"/>
      <c r="B54" s="87"/>
      <c r="C54" s="39"/>
      <c r="D54" s="126"/>
      <c r="E54" s="126"/>
      <c r="F54" s="39"/>
      <c r="G54" s="39"/>
      <c r="H54" s="87"/>
    </row>
    <row r="55" spans="1:8" x14ac:dyDescent="0.3">
      <c r="A55" s="37"/>
      <c r="B55" s="87"/>
      <c r="C55" s="39"/>
      <c r="D55" s="126"/>
      <c r="E55" s="126"/>
      <c r="F55" s="39"/>
      <c r="G55" s="39"/>
      <c r="H55" s="87"/>
    </row>
    <row r="56" spans="1:8" x14ac:dyDescent="0.3">
      <c r="A56" s="37"/>
      <c r="B56" s="87"/>
      <c r="C56" s="39"/>
      <c r="D56" s="126"/>
      <c r="E56" s="126"/>
      <c r="F56" s="39"/>
      <c r="G56" s="39"/>
      <c r="H56" s="87"/>
    </row>
    <row r="57" spans="1:8" x14ac:dyDescent="0.3">
      <c r="A57" s="37"/>
      <c r="B57" s="87"/>
      <c r="C57" s="39"/>
      <c r="D57" s="126"/>
      <c r="E57" s="126"/>
      <c r="F57" s="39"/>
      <c r="G57" s="39"/>
      <c r="H57" s="87"/>
    </row>
    <row r="58" spans="1:8" x14ac:dyDescent="0.3">
      <c r="A58" s="37"/>
      <c r="B58" s="87"/>
      <c r="C58" s="39"/>
      <c r="D58" s="126"/>
      <c r="E58" s="126"/>
      <c r="F58" s="39"/>
      <c r="G58" s="39"/>
      <c r="H58" s="87"/>
    </row>
    <row r="59" spans="1:8" x14ac:dyDescent="0.3">
      <c r="A59" s="37"/>
      <c r="B59" s="87"/>
      <c r="C59" s="39"/>
      <c r="D59" s="126"/>
      <c r="E59" s="126"/>
      <c r="F59" s="39"/>
      <c r="G59" s="39"/>
      <c r="H59" s="87"/>
    </row>
    <row r="60" spans="1:8" x14ac:dyDescent="0.3">
      <c r="A60" s="37"/>
      <c r="B60" s="87"/>
      <c r="C60" s="39"/>
      <c r="D60" s="126"/>
      <c r="E60" s="126"/>
      <c r="F60" s="39"/>
      <c r="G60" s="39"/>
      <c r="H60" s="87"/>
    </row>
    <row r="61" spans="1:8" x14ac:dyDescent="0.3">
      <c r="A61" s="37"/>
      <c r="B61" s="87"/>
      <c r="C61" s="39"/>
      <c r="D61" s="126"/>
      <c r="E61" s="126"/>
      <c r="F61" s="39"/>
      <c r="G61" s="39"/>
      <c r="H61" s="87"/>
    </row>
    <row r="62" spans="1:8" x14ac:dyDescent="0.3">
      <c r="A62" s="37"/>
      <c r="B62" s="87"/>
      <c r="C62" s="39"/>
      <c r="D62" s="126"/>
      <c r="E62" s="126"/>
      <c r="F62" s="39"/>
      <c r="G62" s="39"/>
      <c r="H62" s="87"/>
    </row>
    <row r="63" spans="1:8" x14ac:dyDescent="0.3">
      <c r="A63" s="37"/>
      <c r="B63" s="87"/>
      <c r="C63" s="39"/>
      <c r="D63" s="126"/>
      <c r="E63" s="126"/>
      <c r="F63" s="39"/>
      <c r="G63" s="39"/>
      <c r="H63" s="87"/>
    </row>
    <row r="64" spans="1:8" x14ac:dyDescent="0.3">
      <c r="A64" s="37"/>
      <c r="B64" s="87"/>
      <c r="C64" s="39"/>
      <c r="D64" s="126"/>
      <c r="E64" s="126"/>
      <c r="F64" s="39"/>
      <c r="G64" s="39"/>
      <c r="H64" s="87"/>
    </row>
    <row r="65" spans="1:8" x14ac:dyDescent="0.3">
      <c r="A65" s="37"/>
      <c r="B65" s="87"/>
      <c r="C65" s="39"/>
      <c r="D65" s="126"/>
      <c r="E65" s="126"/>
      <c r="F65" s="39"/>
      <c r="G65" s="39"/>
      <c r="H65" s="87"/>
    </row>
    <row r="66" spans="1:8" x14ac:dyDescent="0.3">
      <c r="A66" s="37"/>
      <c r="B66" s="87"/>
      <c r="C66" s="39"/>
      <c r="D66" s="126"/>
      <c r="E66" s="126"/>
      <c r="F66" s="39"/>
      <c r="G66" s="39"/>
      <c r="H66" s="87"/>
    </row>
    <row r="67" spans="1:8" x14ac:dyDescent="0.3">
      <c r="A67" s="37"/>
      <c r="B67" s="87"/>
      <c r="C67" s="39"/>
      <c r="D67" s="126"/>
      <c r="E67" s="126"/>
      <c r="F67" s="39"/>
      <c r="G67" s="39"/>
      <c r="H67" s="87"/>
    </row>
    <row r="68" spans="1:8" x14ac:dyDescent="0.3">
      <c r="A68" s="37"/>
      <c r="B68" s="87"/>
      <c r="C68" s="39"/>
      <c r="D68" s="126"/>
      <c r="E68" s="126"/>
      <c r="F68" s="39"/>
      <c r="G68" s="39"/>
      <c r="H68" s="87"/>
    </row>
    <row r="69" spans="1:8" x14ac:dyDescent="0.3">
      <c r="A69" s="37"/>
      <c r="B69" s="87"/>
      <c r="C69" s="39"/>
      <c r="D69" s="126"/>
      <c r="E69" s="126"/>
      <c r="F69" s="39"/>
      <c r="G69" s="39"/>
      <c r="H69" s="87"/>
    </row>
    <row r="70" spans="1:8" x14ac:dyDescent="0.3">
      <c r="A70" s="37"/>
      <c r="B70" s="87"/>
      <c r="C70" s="39"/>
      <c r="D70" s="126"/>
      <c r="E70" s="126"/>
      <c r="F70" s="39"/>
      <c r="G70" s="39"/>
      <c r="H70" s="87"/>
    </row>
    <row r="71" spans="1:8" x14ac:dyDescent="0.3">
      <c r="A71" s="37"/>
      <c r="B71" s="87"/>
      <c r="C71" s="39"/>
      <c r="D71" s="126"/>
      <c r="E71" s="126"/>
      <c r="F71" s="39"/>
      <c r="G71" s="39"/>
      <c r="H71" s="87"/>
    </row>
    <row r="72" spans="1:8" x14ac:dyDescent="0.3">
      <c r="A72" s="37"/>
      <c r="B72" s="87"/>
      <c r="C72" s="39"/>
      <c r="D72" s="126"/>
      <c r="E72" s="126"/>
      <c r="F72" s="39"/>
      <c r="G72" s="39"/>
      <c r="H72" s="87"/>
    </row>
    <row r="73" spans="1:8" x14ac:dyDescent="0.3">
      <c r="A73" s="37"/>
      <c r="B73" s="87"/>
      <c r="C73" s="39"/>
      <c r="D73" s="126"/>
      <c r="E73" s="126"/>
      <c r="F73" s="39"/>
      <c r="G73" s="39"/>
      <c r="H73" s="87"/>
    </row>
    <row r="74" spans="1:8" x14ac:dyDescent="0.3">
      <c r="A74" s="37"/>
      <c r="B74" s="87"/>
      <c r="C74" s="39"/>
      <c r="D74" s="126"/>
      <c r="E74" s="126"/>
      <c r="F74" s="39"/>
      <c r="G74" s="39"/>
      <c r="H74" s="87"/>
    </row>
    <row r="75" spans="1:8" x14ac:dyDescent="0.3">
      <c r="A75" s="37"/>
      <c r="B75" s="87"/>
      <c r="C75" s="39"/>
      <c r="D75" s="126"/>
      <c r="E75" s="126"/>
      <c r="F75" s="39"/>
      <c r="G75" s="39"/>
      <c r="H75" s="87"/>
    </row>
    <row r="76" spans="1:8" x14ac:dyDescent="0.3">
      <c r="A76" s="37"/>
      <c r="B76" s="87"/>
      <c r="C76" s="39"/>
      <c r="D76" s="126"/>
      <c r="E76" s="126"/>
      <c r="F76" s="39"/>
      <c r="G76" s="39"/>
      <c r="H76" s="87"/>
    </row>
    <row r="77" spans="1:8" x14ac:dyDescent="0.3">
      <c r="A77" s="37"/>
      <c r="B77" s="87"/>
      <c r="C77" s="39"/>
      <c r="D77" s="126"/>
      <c r="E77" s="126"/>
      <c r="F77" s="39"/>
      <c r="G77" s="39"/>
      <c r="H77" s="87"/>
    </row>
    <row r="78" spans="1:8" x14ac:dyDescent="0.3">
      <c r="A78" s="37"/>
      <c r="B78" s="87"/>
      <c r="C78" s="39"/>
      <c r="D78" s="126"/>
      <c r="E78" s="126"/>
      <c r="F78" s="39"/>
      <c r="G78" s="39"/>
      <c r="H78" s="87"/>
    </row>
    <row r="79" spans="1:8" x14ac:dyDescent="0.3">
      <c r="A79" s="37"/>
      <c r="B79" s="87"/>
      <c r="C79" s="39"/>
      <c r="D79" s="126"/>
      <c r="E79" s="126"/>
      <c r="F79" s="39"/>
      <c r="G79" s="39"/>
      <c r="H79" s="87"/>
    </row>
    <row r="80" spans="1:8" x14ac:dyDescent="0.3">
      <c r="A80" s="37"/>
      <c r="B80" s="87"/>
      <c r="C80" s="39"/>
      <c r="D80" s="126"/>
      <c r="E80" s="126"/>
      <c r="F80" s="39"/>
      <c r="G80" s="39"/>
      <c r="H80" s="87"/>
    </row>
    <row r="81" spans="1:8" x14ac:dyDescent="0.3">
      <c r="A81" s="37"/>
      <c r="B81" s="87"/>
      <c r="C81" s="39"/>
      <c r="D81" s="126"/>
      <c r="E81" s="126"/>
      <c r="F81" s="39"/>
      <c r="G81" s="39"/>
      <c r="H81" s="87"/>
    </row>
    <row r="82" spans="1:8" x14ac:dyDescent="0.3">
      <c r="A82" s="37"/>
      <c r="B82" s="87"/>
      <c r="C82" s="39"/>
      <c r="D82" s="126"/>
      <c r="E82" s="126"/>
      <c r="F82" s="39"/>
      <c r="G82" s="39"/>
      <c r="H82" s="87"/>
    </row>
    <row r="83" spans="1:8" x14ac:dyDescent="0.3">
      <c r="A83" s="37"/>
      <c r="B83" s="87"/>
      <c r="C83" s="39"/>
      <c r="D83" s="126"/>
      <c r="E83" s="126"/>
      <c r="F83" s="39"/>
      <c r="G83" s="39"/>
      <c r="H83" s="87"/>
    </row>
    <row r="84" spans="1:8" x14ac:dyDescent="0.3">
      <c r="A84" s="37"/>
      <c r="B84" s="87"/>
      <c r="C84" s="39"/>
      <c r="D84" s="126"/>
      <c r="E84" s="126"/>
      <c r="F84" s="39"/>
      <c r="G84" s="39"/>
      <c r="H84" s="87"/>
    </row>
    <row r="85" spans="1:8" x14ac:dyDescent="0.3">
      <c r="A85" s="37"/>
      <c r="B85" s="87"/>
      <c r="C85" s="39"/>
      <c r="D85" s="126"/>
      <c r="E85" s="126"/>
      <c r="F85" s="39"/>
      <c r="G85" s="39"/>
      <c r="H85" s="87"/>
    </row>
    <row r="86" spans="1:8" x14ac:dyDescent="0.3">
      <c r="A86" s="37"/>
      <c r="B86" s="87"/>
      <c r="C86" s="39"/>
      <c r="D86" s="126"/>
      <c r="E86" s="126"/>
      <c r="F86" s="39"/>
      <c r="G86" s="39"/>
      <c r="H86" s="87"/>
    </row>
    <row r="87" spans="1:8" x14ac:dyDescent="0.3">
      <c r="A87" s="37"/>
      <c r="B87" s="87"/>
      <c r="C87" s="39"/>
      <c r="D87" s="126"/>
      <c r="E87" s="126"/>
      <c r="F87" s="39"/>
      <c r="G87" s="39"/>
      <c r="H87" s="87"/>
    </row>
    <row r="88" spans="1:8" x14ac:dyDescent="0.3">
      <c r="A88" s="37"/>
      <c r="B88" s="87"/>
      <c r="C88" s="39"/>
      <c r="D88" s="126"/>
      <c r="E88" s="126"/>
      <c r="F88" s="39"/>
      <c r="G88" s="39"/>
      <c r="H88" s="87"/>
    </row>
    <row r="89" spans="1:8" x14ac:dyDescent="0.3">
      <c r="A89" s="37"/>
      <c r="B89" s="87"/>
      <c r="C89" s="39"/>
      <c r="D89" s="126"/>
      <c r="E89" s="126"/>
      <c r="F89" s="39"/>
      <c r="G89" s="39"/>
      <c r="H89" s="87"/>
    </row>
    <row r="90" spans="1:8" x14ac:dyDescent="0.3">
      <c r="A90" s="37"/>
      <c r="B90" s="87"/>
      <c r="C90" s="39"/>
      <c r="D90" s="126"/>
      <c r="E90" s="126"/>
      <c r="F90" s="39"/>
      <c r="G90" s="39"/>
      <c r="H90" s="87"/>
    </row>
    <row r="91" spans="1:8" x14ac:dyDescent="0.3">
      <c r="A91" s="37"/>
      <c r="B91" s="87"/>
      <c r="C91" s="39"/>
      <c r="D91" s="126"/>
      <c r="E91" s="126"/>
      <c r="F91" s="39"/>
      <c r="G91" s="39"/>
      <c r="H91" s="87"/>
    </row>
    <row r="92" spans="1:8" x14ac:dyDescent="0.3">
      <c r="A92" s="37"/>
      <c r="B92" s="87"/>
      <c r="C92" s="39"/>
      <c r="D92" s="126"/>
      <c r="E92" s="126"/>
      <c r="F92" s="39"/>
      <c r="G92" s="39"/>
      <c r="H92" s="87"/>
    </row>
    <row r="93" spans="1:8" x14ac:dyDescent="0.3">
      <c r="A93" s="37"/>
      <c r="B93" s="87"/>
      <c r="C93" s="39"/>
      <c r="D93" s="126"/>
      <c r="E93" s="126"/>
      <c r="F93" s="39"/>
      <c r="G93" s="39"/>
      <c r="H93" s="87"/>
    </row>
    <row r="94" spans="1:8" x14ac:dyDescent="0.3">
      <c r="A94" s="37"/>
      <c r="B94" s="87"/>
      <c r="C94" s="39"/>
      <c r="D94" s="126"/>
      <c r="E94" s="126"/>
      <c r="F94" s="39"/>
      <c r="G94" s="39"/>
      <c r="H94" s="87"/>
    </row>
    <row r="95" spans="1:8" x14ac:dyDescent="0.3">
      <c r="A95" s="37"/>
      <c r="B95" s="87"/>
      <c r="C95" s="39"/>
      <c r="D95" s="126"/>
      <c r="E95" s="126"/>
      <c r="F95" s="39"/>
      <c r="G95" s="39"/>
      <c r="H95" s="87"/>
    </row>
    <row r="96" spans="1:8" x14ac:dyDescent="0.3">
      <c r="A96" s="37"/>
      <c r="B96" s="87"/>
      <c r="C96" s="39"/>
      <c r="D96" s="126"/>
      <c r="E96" s="126"/>
      <c r="F96" s="39"/>
      <c r="G96" s="39"/>
      <c r="H96" s="87"/>
    </row>
    <row r="97" spans="1:8" x14ac:dyDescent="0.3">
      <c r="A97" s="37"/>
      <c r="B97" s="87"/>
      <c r="C97" s="39"/>
      <c r="D97" s="126"/>
      <c r="E97" s="126"/>
      <c r="F97" s="39"/>
      <c r="G97" s="39"/>
      <c r="H97" s="87"/>
    </row>
    <row r="98" spans="1:8" x14ac:dyDescent="0.3">
      <c r="A98" s="37"/>
      <c r="B98" s="87"/>
      <c r="C98" s="39"/>
      <c r="D98" s="126"/>
      <c r="E98" s="126"/>
      <c r="F98" s="39"/>
      <c r="G98" s="39"/>
      <c r="H98" s="87"/>
    </row>
    <row r="99" spans="1:8" x14ac:dyDescent="0.3">
      <c r="A99" s="37"/>
      <c r="B99" s="87"/>
      <c r="C99" s="39"/>
      <c r="D99" s="126"/>
      <c r="E99" s="126"/>
      <c r="F99" s="39"/>
      <c r="G99" s="39"/>
      <c r="H99" s="87"/>
    </row>
    <row r="100" spans="1:8" x14ac:dyDescent="0.3">
      <c r="A100" s="37"/>
      <c r="B100" s="87"/>
      <c r="C100" s="39"/>
      <c r="D100" s="126"/>
      <c r="E100" s="126"/>
      <c r="F100" s="39"/>
      <c r="G100" s="39"/>
      <c r="H100" s="87"/>
    </row>
    <row r="101" spans="1:8" x14ac:dyDescent="0.3">
      <c r="A101" s="37"/>
      <c r="B101" s="87"/>
      <c r="C101" s="39"/>
      <c r="D101" s="126"/>
      <c r="E101" s="126"/>
      <c r="F101" s="39"/>
      <c r="G101" s="39"/>
      <c r="H101" s="87"/>
    </row>
    <row r="102" spans="1:8" x14ac:dyDescent="0.3">
      <c r="A102" s="37"/>
      <c r="B102" s="87"/>
      <c r="C102" s="39"/>
      <c r="D102" s="126"/>
      <c r="E102" s="126"/>
      <c r="F102" s="39"/>
      <c r="G102" s="39"/>
      <c r="H102" s="87"/>
    </row>
    <row r="103" spans="1:8" x14ac:dyDescent="0.3">
      <c r="A103" s="37"/>
      <c r="B103" s="87"/>
      <c r="C103" s="39"/>
      <c r="D103" s="126"/>
      <c r="E103" s="126"/>
      <c r="F103" s="39"/>
      <c r="G103" s="39"/>
      <c r="H103" s="87"/>
    </row>
    <row r="104" spans="1:8" x14ac:dyDescent="0.3">
      <c r="A104" s="37"/>
      <c r="B104" s="87"/>
      <c r="C104" s="39"/>
      <c r="D104" s="126"/>
      <c r="E104" s="126"/>
      <c r="F104" s="39"/>
      <c r="G104" s="39"/>
      <c r="H104" s="87"/>
    </row>
    <row r="105" spans="1:8" x14ac:dyDescent="0.3">
      <c r="A105" s="37"/>
      <c r="B105" s="87"/>
      <c r="C105" s="39"/>
      <c r="D105" s="126"/>
      <c r="E105" s="126"/>
      <c r="F105" s="39"/>
      <c r="G105" s="39"/>
      <c r="H105" s="87"/>
    </row>
    <row r="106" spans="1:8" x14ac:dyDescent="0.3">
      <c r="A106" s="37"/>
      <c r="B106" s="87"/>
      <c r="C106" s="39"/>
      <c r="D106" s="126"/>
      <c r="E106" s="126"/>
      <c r="F106" s="39"/>
      <c r="G106" s="39"/>
      <c r="H106" s="87"/>
    </row>
    <row r="107" spans="1:8" x14ac:dyDescent="0.3">
      <c r="A107" s="37"/>
      <c r="B107" s="87"/>
      <c r="C107" s="39"/>
      <c r="D107" s="126"/>
      <c r="E107" s="126"/>
      <c r="F107" s="39"/>
      <c r="G107" s="39"/>
      <c r="H107" s="87"/>
    </row>
    <row r="108" spans="1:8" x14ac:dyDescent="0.3">
      <c r="A108" s="37"/>
      <c r="B108" s="87"/>
      <c r="C108" s="39"/>
      <c r="D108" s="126"/>
      <c r="E108" s="126"/>
      <c r="F108" s="39"/>
      <c r="G108" s="39"/>
      <c r="H108" s="87"/>
    </row>
    <row r="109" spans="1:8" x14ac:dyDescent="0.3">
      <c r="A109" s="37"/>
      <c r="B109" s="87"/>
      <c r="C109" s="39"/>
      <c r="D109" s="126"/>
      <c r="E109" s="126"/>
      <c r="F109" s="39"/>
      <c r="G109" s="39"/>
      <c r="H109" s="87"/>
    </row>
    <row r="110" spans="1:8" x14ac:dyDescent="0.3">
      <c r="A110" s="37"/>
      <c r="B110" s="87"/>
      <c r="C110" s="39"/>
      <c r="D110" s="126"/>
      <c r="E110" s="126"/>
      <c r="F110" s="39"/>
      <c r="G110" s="39"/>
      <c r="H110" s="87"/>
    </row>
    <row r="111" spans="1:8" x14ac:dyDescent="0.3">
      <c r="A111" s="37"/>
      <c r="B111" s="87"/>
      <c r="C111" s="39"/>
      <c r="D111" s="126"/>
      <c r="E111" s="126"/>
      <c r="F111" s="39"/>
      <c r="G111" s="39"/>
      <c r="H111" s="87"/>
    </row>
    <row r="112" spans="1:8" x14ac:dyDescent="0.3">
      <c r="A112" s="37"/>
      <c r="B112" s="87"/>
      <c r="C112" s="39"/>
      <c r="D112" s="126"/>
      <c r="E112" s="126"/>
      <c r="F112" s="39"/>
      <c r="G112" s="39"/>
      <c r="H112" s="87"/>
    </row>
    <row r="113" spans="1:8" x14ac:dyDescent="0.3">
      <c r="A113" s="37"/>
      <c r="B113" s="87"/>
      <c r="C113" s="39"/>
      <c r="D113" s="126"/>
      <c r="E113" s="126"/>
      <c r="F113" s="39"/>
      <c r="G113" s="39"/>
      <c r="H113" s="87"/>
    </row>
    <row r="114" spans="1:8" x14ac:dyDescent="0.3">
      <c r="A114" s="37"/>
      <c r="B114" s="87"/>
      <c r="C114" s="39"/>
      <c r="D114" s="126"/>
      <c r="E114" s="126"/>
      <c r="F114" s="39"/>
      <c r="G114" s="39"/>
      <c r="H114" s="87"/>
    </row>
    <row r="115" spans="1:8" x14ac:dyDescent="0.3">
      <c r="A115" s="37"/>
      <c r="B115" s="87"/>
      <c r="C115" s="39"/>
      <c r="D115" s="126"/>
      <c r="E115" s="126"/>
      <c r="F115" s="39"/>
      <c r="G115" s="39"/>
      <c r="H115" s="87"/>
    </row>
    <row r="116" spans="1:8" x14ac:dyDescent="0.3">
      <c r="A116" s="37"/>
      <c r="B116" s="87"/>
      <c r="C116" s="39"/>
      <c r="D116" s="126"/>
      <c r="E116" s="126"/>
      <c r="F116" s="39"/>
      <c r="G116" s="39"/>
      <c r="H116" s="87"/>
    </row>
    <row r="117" spans="1:8" x14ac:dyDescent="0.3">
      <c r="A117" s="37"/>
      <c r="B117" s="87"/>
      <c r="C117" s="39"/>
      <c r="D117" s="126"/>
      <c r="E117" s="126"/>
      <c r="F117" s="39"/>
      <c r="G117" s="39"/>
      <c r="H117" s="87"/>
    </row>
    <row r="118" spans="1:8" x14ac:dyDescent="0.3">
      <c r="A118" s="37"/>
      <c r="B118" s="87"/>
      <c r="C118" s="39"/>
      <c r="D118" s="126"/>
      <c r="E118" s="126"/>
      <c r="F118" s="39"/>
      <c r="G118" s="39"/>
      <c r="H118" s="87"/>
    </row>
    <row r="119" spans="1:8" x14ac:dyDescent="0.3">
      <c r="A119" s="37"/>
      <c r="B119" s="87"/>
      <c r="C119" s="39"/>
      <c r="D119" s="126"/>
      <c r="E119" s="126"/>
      <c r="F119" s="39"/>
      <c r="G119" s="39"/>
      <c r="H119" s="87"/>
    </row>
    <row r="120" spans="1:8" x14ac:dyDescent="0.3">
      <c r="A120" s="37"/>
      <c r="B120" s="87"/>
      <c r="C120" s="39"/>
      <c r="D120" s="126"/>
      <c r="E120" s="126"/>
      <c r="F120" s="39"/>
      <c r="G120" s="39"/>
      <c r="H120" s="87"/>
    </row>
    <row r="121" spans="1:8" x14ac:dyDescent="0.3">
      <c r="A121" s="37"/>
      <c r="B121" s="87"/>
      <c r="C121" s="39"/>
      <c r="D121" s="126"/>
      <c r="E121" s="126"/>
      <c r="F121" s="39"/>
      <c r="G121" s="39"/>
      <c r="H121" s="87"/>
    </row>
    <row r="122" spans="1:8" x14ac:dyDescent="0.3">
      <c r="A122" s="37"/>
      <c r="B122" s="87"/>
      <c r="C122" s="39"/>
      <c r="D122" s="126"/>
      <c r="E122" s="126"/>
      <c r="F122" s="39"/>
      <c r="G122" s="39"/>
      <c r="H122" s="87"/>
    </row>
  </sheetData>
  <sortState ref="B5:I15">
    <sortCondition ref="B5:B15"/>
  </sortState>
  <mergeCells count="5">
    <mergeCell ref="P3:P4"/>
    <mergeCell ref="Q3:Q4"/>
    <mergeCell ref="K4:L4"/>
    <mergeCell ref="K3:L3"/>
    <mergeCell ref="O3:O4"/>
  </mergeCells>
  <pageMargins left="0.7" right="0.7" top="0.75" bottom="0.75" header="0.3" footer="0.3"/>
  <pageSetup paperSize="9" scale="60" fitToHeight="0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17"/>
  <sheetViews>
    <sheetView view="pageBreakPreview" zoomScale="90" zoomScaleNormal="100" zoomScaleSheetLayoutView="90" workbookViewId="0">
      <pane ySplit="4" topLeftCell="A5" activePane="bottomLeft" state="frozen"/>
      <selection pane="bottomLeft" activeCell="I2" sqref="I2"/>
    </sheetView>
  </sheetViews>
  <sheetFormatPr defaultRowHeight="16.5" x14ac:dyDescent="0.3"/>
  <cols>
    <col min="1" max="1" width="9.140625" style="27"/>
    <col min="2" max="2" width="63.5703125" style="88" customWidth="1"/>
    <col min="3" max="3" width="11.5703125" style="41" customWidth="1"/>
    <col min="4" max="5" width="17.42578125" style="127" customWidth="1"/>
    <col min="6" max="6" width="12.140625" style="41" customWidth="1"/>
    <col min="7" max="8" width="12" style="41" customWidth="1"/>
    <col min="9" max="9" width="35.85546875" style="88" customWidth="1"/>
    <col min="10" max="10" width="40.5703125" style="27" bestFit="1" customWidth="1"/>
    <col min="11" max="11" width="14" style="141" customWidth="1"/>
    <col min="12" max="12" width="8.5703125" style="141" customWidth="1"/>
    <col min="13" max="13" width="14" style="141" customWidth="1"/>
    <col min="14" max="14" width="15.85546875" style="101" bestFit="1" customWidth="1"/>
    <col min="15" max="15" width="8.7109375" style="142" customWidth="1"/>
    <col min="16" max="16" width="18.7109375" style="142" customWidth="1"/>
    <col min="17" max="17" width="15.140625" style="50" bestFit="1" customWidth="1"/>
    <col min="18" max="18" width="7" style="50" customWidth="1"/>
    <col min="19" max="19" width="9.140625" style="27"/>
    <col min="20" max="20" width="15.140625" style="27" bestFit="1" customWidth="1"/>
    <col min="21" max="21" width="7.140625" style="27" customWidth="1"/>
    <col min="22" max="22" width="9.140625" style="27"/>
    <col min="23" max="23" width="15.140625" style="27" bestFit="1" customWidth="1"/>
    <col min="24" max="24" width="5.85546875" style="27" customWidth="1"/>
    <col min="25" max="25" width="9.140625" style="27"/>
    <col min="26" max="26" width="14" style="27" bestFit="1" customWidth="1"/>
    <col min="27" max="28" width="9.140625" style="27"/>
    <col min="29" max="29" width="14" style="27" bestFit="1" customWidth="1"/>
    <col min="30" max="30" width="17" style="27" bestFit="1" customWidth="1"/>
    <col min="31" max="31" width="19.85546875" style="27" bestFit="1" customWidth="1"/>
    <col min="32" max="32" width="22.7109375" style="27" bestFit="1" customWidth="1"/>
    <col min="33" max="33" width="6.140625" style="27" bestFit="1" customWidth="1"/>
    <col min="34" max="16384" width="9.140625" style="27"/>
  </cols>
  <sheetData>
    <row r="1" spans="1:33" x14ac:dyDescent="0.3">
      <c r="A1" s="36" t="s">
        <v>0</v>
      </c>
      <c r="B1" s="38"/>
      <c r="C1" s="316"/>
      <c r="D1" s="41"/>
      <c r="E1" s="41"/>
      <c r="F1" s="39"/>
      <c r="G1" s="39"/>
      <c r="H1" s="39"/>
      <c r="I1" s="87"/>
    </row>
    <row r="2" spans="1:33" x14ac:dyDescent="0.3">
      <c r="A2" s="36" t="s">
        <v>43</v>
      </c>
      <c r="B2" s="38"/>
      <c r="C2" s="316"/>
      <c r="D2" s="126"/>
      <c r="E2" s="126"/>
      <c r="F2" s="39"/>
      <c r="G2" s="39"/>
      <c r="H2" s="39"/>
      <c r="I2" s="620" t="s">
        <v>3030</v>
      </c>
      <c r="J2" s="27" t="s">
        <v>2757</v>
      </c>
    </row>
    <row r="3" spans="1:33" ht="16.5" customHeight="1" x14ac:dyDescent="0.3">
      <c r="A3" s="50" t="s">
        <v>2835</v>
      </c>
      <c r="K3" s="481" t="s">
        <v>520</v>
      </c>
      <c r="L3" s="661" t="s">
        <v>521</v>
      </c>
      <c r="M3" s="662"/>
      <c r="N3" s="100" t="s">
        <v>522</v>
      </c>
      <c r="O3" s="663" t="s">
        <v>521</v>
      </c>
      <c r="P3" s="663"/>
      <c r="Q3" s="100" t="s">
        <v>522</v>
      </c>
      <c r="R3" s="663" t="s">
        <v>521</v>
      </c>
      <c r="S3" s="663"/>
      <c r="T3" s="100" t="s">
        <v>522</v>
      </c>
      <c r="U3" s="663" t="s">
        <v>521</v>
      </c>
      <c r="V3" s="663"/>
      <c r="W3" s="100" t="s">
        <v>522</v>
      </c>
      <c r="X3" s="663" t="s">
        <v>521</v>
      </c>
      <c r="Y3" s="663"/>
      <c r="Z3" s="540" t="s">
        <v>522</v>
      </c>
      <c r="AA3" s="663" t="s">
        <v>521</v>
      </c>
      <c r="AB3" s="663"/>
      <c r="AC3" s="540" t="s">
        <v>522</v>
      </c>
      <c r="AD3" s="100" t="s">
        <v>523</v>
      </c>
      <c r="AE3" s="659" t="s">
        <v>524</v>
      </c>
      <c r="AF3" s="648" t="s">
        <v>755</v>
      </c>
      <c r="AG3" s="660" t="s">
        <v>571</v>
      </c>
    </row>
    <row r="4" spans="1:33" ht="16.5" customHeight="1" x14ac:dyDescent="0.3">
      <c r="A4" s="91" t="s">
        <v>1</v>
      </c>
      <c r="B4" s="54" t="s">
        <v>2</v>
      </c>
      <c r="C4" s="91" t="s">
        <v>1502</v>
      </c>
      <c r="D4" s="128" t="s">
        <v>3</v>
      </c>
      <c r="E4" s="128" t="s">
        <v>1492</v>
      </c>
      <c r="F4" s="91" t="s">
        <v>4</v>
      </c>
      <c r="G4" s="91" t="s">
        <v>5</v>
      </c>
      <c r="H4" s="91" t="s">
        <v>970</v>
      </c>
      <c r="I4" s="91" t="s">
        <v>6</v>
      </c>
      <c r="J4" s="55" t="s">
        <v>415</v>
      </c>
      <c r="K4" s="177" t="s">
        <v>525</v>
      </c>
      <c r="L4" s="661">
        <v>2016</v>
      </c>
      <c r="M4" s="662"/>
      <c r="N4" s="100" t="s">
        <v>525</v>
      </c>
      <c r="O4" s="663">
        <v>2017</v>
      </c>
      <c r="P4" s="663"/>
      <c r="Q4" s="100" t="s">
        <v>525</v>
      </c>
      <c r="R4" s="663">
        <v>2018</v>
      </c>
      <c r="S4" s="663"/>
      <c r="T4" s="100" t="s">
        <v>525</v>
      </c>
      <c r="U4" s="663">
        <v>2019</v>
      </c>
      <c r="V4" s="663"/>
      <c r="W4" s="100" t="s">
        <v>525</v>
      </c>
      <c r="X4" s="663">
        <v>2020</v>
      </c>
      <c r="Y4" s="663"/>
      <c r="Z4" s="540" t="s">
        <v>525</v>
      </c>
      <c r="AA4" s="663">
        <v>2021</v>
      </c>
      <c r="AB4" s="663"/>
      <c r="AC4" s="540" t="s">
        <v>525</v>
      </c>
      <c r="AD4" s="100" t="s">
        <v>525</v>
      </c>
      <c r="AE4" s="659"/>
      <c r="AF4" s="648"/>
      <c r="AG4" s="660"/>
    </row>
    <row r="5" spans="1:33" x14ac:dyDescent="0.3">
      <c r="A5" s="11">
        <v>1</v>
      </c>
      <c r="B5" s="86" t="s">
        <v>2836</v>
      </c>
      <c r="C5" s="39" t="s">
        <v>2837</v>
      </c>
      <c r="D5" s="124">
        <v>930815035628</v>
      </c>
      <c r="E5" s="129" t="s">
        <v>2838</v>
      </c>
      <c r="F5" s="39" t="s">
        <v>7</v>
      </c>
      <c r="G5" s="12" t="s">
        <v>1494</v>
      </c>
      <c r="H5" s="12" t="s">
        <v>640</v>
      </c>
      <c r="I5" s="86" t="s">
        <v>2839</v>
      </c>
      <c r="J5" s="40" t="s">
        <v>2840</v>
      </c>
      <c r="K5" s="75">
        <v>10000</v>
      </c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x14ac:dyDescent="0.3">
      <c r="A6" s="11">
        <v>2</v>
      </c>
      <c r="B6" s="86" t="s">
        <v>2841</v>
      </c>
      <c r="C6" s="12" t="s">
        <v>2842</v>
      </c>
      <c r="D6" s="545">
        <v>850801035360</v>
      </c>
      <c r="E6" s="310" t="s">
        <v>2843</v>
      </c>
      <c r="F6" s="12" t="s">
        <v>7</v>
      </c>
      <c r="G6" s="12" t="s">
        <v>1494</v>
      </c>
      <c r="H6" s="12" t="s">
        <v>641</v>
      </c>
      <c r="I6" s="86" t="s">
        <v>2844</v>
      </c>
      <c r="J6" s="40" t="s">
        <v>2845</v>
      </c>
      <c r="K6" s="75">
        <v>10000</v>
      </c>
      <c r="L6" s="113"/>
      <c r="M6" s="113"/>
      <c r="N6" s="113"/>
      <c r="O6" s="75"/>
      <c r="P6" s="93"/>
      <c r="Q6" s="95"/>
      <c r="R6" s="75"/>
      <c r="S6" s="93"/>
      <c r="T6" s="95"/>
      <c r="U6" s="75"/>
      <c r="V6" s="93"/>
      <c r="W6" s="95"/>
      <c r="X6" s="95"/>
      <c r="Y6" s="95"/>
      <c r="Z6" s="95"/>
      <c r="AA6" s="40"/>
      <c r="AB6" s="93"/>
      <c r="AC6" s="95"/>
      <c r="AD6" s="95"/>
      <c r="AE6" s="93"/>
      <c r="AF6" s="93"/>
      <c r="AG6" s="482"/>
    </row>
    <row r="7" spans="1:33" x14ac:dyDescent="0.3">
      <c r="A7" s="11">
        <v>3</v>
      </c>
      <c r="B7" s="86" t="s">
        <v>2846</v>
      </c>
      <c r="C7" s="39" t="s">
        <v>2847</v>
      </c>
      <c r="D7" s="131" t="s">
        <v>2848</v>
      </c>
      <c r="E7" s="129" t="s">
        <v>2849</v>
      </c>
      <c r="F7" s="12" t="s">
        <v>7</v>
      </c>
      <c r="G7" s="12" t="s">
        <v>1494</v>
      </c>
      <c r="H7" s="12" t="s">
        <v>640</v>
      </c>
      <c r="I7" s="86" t="s">
        <v>2839</v>
      </c>
      <c r="J7" s="40" t="s">
        <v>430</v>
      </c>
      <c r="K7" s="75">
        <v>10000</v>
      </c>
      <c r="L7" s="113"/>
      <c r="M7" s="113"/>
      <c r="N7" s="113"/>
      <c r="O7" s="75"/>
      <c r="P7" s="93"/>
      <c r="Q7" s="95"/>
      <c r="R7" s="75"/>
      <c r="S7" s="93"/>
      <c r="T7" s="95"/>
      <c r="U7" s="75"/>
      <c r="V7" s="93"/>
      <c r="W7" s="95"/>
      <c r="X7" s="95"/>
      <c r="Y7" s="95"/>
      <c r="Z7" s="95"/>
      <c r="AA7" s="40"/>
      <c r="AB7" s="93"/>
      <c r="AC7" s="95"/>
      <c r="AD7" s="95"/>
      <c r="AE7" s="93"/>
      <c r="AF7" s="93"/>
      <c r="AG7" s="482"/>
    </row>
    <row r="8" spans="1:33" x14ac:dyDescent="0.3">
      <c r="A8" s="11">
        <v>4</v>
      </c>
      <c r="B8" s="86" t="s">
        <v>2850</v>
      </c>
      <c r="C8" s="12" t="s">
        <v>2851</v>
      </c>
      <c r="D8" s="299">
        <v>890415075408</v>
      </c>
      <c r="E8" s="129" t="s">
        <v>2852</v>
      </c>
      <c r="F8" s="12" t="s">
        <v>7</v>
      </c>
      <c r="G8" s="12" t="s">
        <v>1494</v>
      </c>
      <c r="H8" s="12" t="s">
        <v>640</v>
      </c>
      <c r="I8" s="86" t="s">
        <v>2853</v>
      </c>
      <c r="J8" s="40" t="s">
        <v>419</v>
      </c>
      <c r="K8" s="75">
        <v>10000</v>
      </c>
      <c r="L8" s="113"/>
      <c r="M8" s="113"/>
      <c r="N8" s="113"/>
      <c r="O8" s="75"/>
      <c r="P8" s="93"/>
      <c r="Q8" s="95"/>
      <c r="R8" s="75"/>
      <c r="S8" s="93"/>
      <c r="T8" s="95"/>
      <c r="U8" s="75"/>
      <c r="V8" s="93"/>
      <c r="W8" s="95"/>
      <c r="X8" s="95"/>
      <c r="Y8" s="95"/>
      <c r="Z8" s="95"/>
      <c r="AA8" s="40"/>
      <c r="AB8" s="93"/>
      <c r="AC8" s="95"/>
      <c r="AD8" s="95"/>
      <c r="AE8" s="93"/>
      <c r="AF8" s="93"/>
      <c r="AG8" s="482"/>
    </row>
    <row r="9" spans="1:33" x14ac:dyDescent="0.3">
      <c r="A9" s="11">
        <v>5</v>
      </c>
      <c r="B9" s="86" t="s">
        <v>2854</v>
      </c>
      <c r="C9" s="12" t="s">
        <v>2855</v>
      </c>
      <c r="D9" s="124">
        <v>920823035880</v>
      </c>
      <c r="E9" s="129" t="s">
        <v>2856</v>
      </c>
      <c r="F9" s="12" t="s">
        <v>7</v>
      </c>
      <c r="G9" s="12" t="s">
        <v>1494</v>
      </c>
      <c r="H9" s="12" t="s">
        <v>640</v>
      </c>
      <c r="I9" s="86" t="s">
        <v>2820</v>
      </c>
      <c r="J9" s="40" t="s">
        <v>554</v>
      </c>
      <c r="K9" s="75">
        <v>10000</v>
      </c>
      <c r="L9" s="113"/>
      <c r="M9" s="113"/>
      <c r="N9" s="113"/>
      <c r="O9" s="75"/>
      <c r="P9" s="93"/>
      <c r="Q9" s="95"/>
      <c r="R9" s="75"/>
      <c r="S9" s="93"/>
      <c r="T9" s="95"/>
      <c r="U9" s="75"/>
      <c r="V9" s="93"/>
      <c r="W9" s="95"/>
      <c r="X9" s="95"/>
      <c r="Y9" s="95"/>
      <c r="Z9" s="95"/>
      <c r="AA9" s="40"/>
      <c r="AB9" s="93"/>
      <c r="AC9" s="95"/>
      <c r="AD9" s="95"/>
      <c r="AE9" s="93"/>
      <c r="AF9" s="93"/>
      <c r="AG9" s="482"/>
    </row>
    <row r="10" spans="1:33" x14ac:dyDescent="0.3">
      <c r="A10" s="11">
        <v>6</v>
      </c>
      <c r="B10" s="86" t="s">
        <v>2857</v>
      </c>
      <c r="C10" s="12" t="s">
        <v>2858</v>
      </c>
      <c r="D10" s="129" t="s">
        <v>2859</v>
      </c>
      <c r="E10" s="12" t="s">
        <v>2860</v>
      </c>
      <c r="F10" s="12" t="s">
        <v>7</v>
      </c>
      <c r="G10" s="12" t="s">
        <v>1494</v>
      </c>
      <c r="H10" s="12" t="s">
        <v>640</v>
      </c>
      <c r="I10" s="86" t="s">
        <v>2839</v>
      </c>
      <c r="J10" s="40" t="s">
        <v>2861</v>
      </c>
      <c r="K10" s="75">
        <v>10000</v>
      </c>
      <c r="L10" s="122"/>
      <c r="M10" s="122"/>
      <c r="N10" s="95"/>
      <c r="O10" s="93"/>
      <c r="P10" s="93"/>
      <c r="Q10" s="76"/>
      <c r="R10" s="286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x14ac:dyDescent="0.3">
      <c r="A11" s="11">
        <v>7</v>
      </c>
      <c r="B11" s="86" t="s">
        <v>2862</v>
      </c>
      <c r="C11" s="39" t="s">
        <v>2863</v>
      </c>
      <c r="D11" s="129" t="s">
        <v>2864</v>
      </c>
      <c r="E11" s="131" t="s">
        <v>2865</v>
      </c>
      <c r="F11" s="12" t="s">
        <v>7</v>
      </c>
      <c r="G11" s="12" t="s">
        <v>1494</v>
      </c>
      <c r="H11" s="12" t="s">
        <v>640</v>
      </c>
      <c r="I11" s="86" t="s">
        <v>2853</v>
      </c>
      <c r="J11" s="40" t="s">
        <v>419</v>
      </c>
      <c r="K11" s="75">
        <v>10000</v>
      </c>
      <c r="L11" s="122"/>
      <c r="M11" s="122"/>
      <c r="N11" s="95"/>
      <c r="O11" s="93"/>
      <c r="P11" s="93"/>
      <c r="Q11" s="76"/>
      <c r="R11" s="286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x14ac:dyDescent="0.3">
      <c r="A12" s="11">
        <v>8</v>
      </c>
      <c r="B12" s="86" t="s">
        <v>2866</v>
      </c>
      <c r="C12" s="12" t="s">
        <v>2867</v>
      </c>
      <c r="D12" s="299">
        <v>910810075534</v>
      </c>
      <c r="E12" s="129" t="s">
        <v>2868</v>
      </c>
      <c r="F12" s="12" t="s">
        <v>7</v>
      </c>
      <c r="G12" s="12" t="s">
        <v>1494</v>
      </c>
      <c r="H12" s="12" t="s">
        <v>640</v>
      </c>
      <c r="I12" s="86" t="s">
        <v>2853</v>
      </c>
      <c r="J12" s="40" t="s">
        <v>419</v>
      </c>
      <c r="K12" s="75">
        <v>10000</v>
      </c>
      <c r="L12" s="122"/>
      <c r="M12" s="122"/>
      <c r="N12" s="95"/>
      <c r="O12" s="93"/>
      <c r="P12" s="93"/>
      <c r="Q12" s="76"/>
      <c r="R12" s="286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x14ac:dyDescent="0.3">
      <c r="A13" s="11">
        <v>9</v>
      </c>
      <c r="B13" s="86" t="s">
        <v>2869</v>
      </c>
      <c r="C13" s="12" t="s">
        <v>2870</v>
      </c>
      <c r="D13" s="124">
        <v>920514035588</v>
      </c>
      <c r="E13" s="129" t="s">
        <v>2871</v>
      </c>
      <c r="F13" s="12" t="s">
        <v>7</v>
      </c>
      <c r="G13" s="12" t="s">
        <v>1494</v>
      </c>
      <c r="H13" s="12" t="s">
        <v>640</v>
      </c>
      <c r="I13" s="86" t="s">
        <v>2839</v>
      </c>
      <c r="J13" s="40" t="s">
        <v>599</v>
      </c>
      <c r="K13" s="75">
        <v>10000</v>
      </c>
      <c r="L13" s="122"/>
      <c r="M13" s="122"/>
      <c r="N13" s="95"/>
      <c r="O13" s="93"/>
      <c r="P13" s="93"/>
      <c r="Q13" s="76"/>
      <c r="R13" s="286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x14ac:dyDescent="0.3">
      <c r="A14" s="37"/>
      <c r="B14" s="87"/>
      <c r="C14" s="39"/>
      <c r="D14" s="126"/>
      <c r="E14" s="126"/>
      <c r="F14" s="39"/>
      <c r="G14" s="39"/>
      <c r="H14" s="39"/>
      <c r="I14" s="87"/>
    </row>
    <row r="15" spans="1:33" x14ac:dyDescent="0.3">
      <c r="A15" s="37"/>
      <c r="B15" s="87"/>
      <c r="C15" s="39"/>
      <c r="D15" s="126"/>
      <c r="E15" s="126"/>
      <c r="F15" s="39"/>
      <c r="G15" s="39"/>
      <c r="H15" s="39"/>
      <c r="I15" s="87"/>
    </row>
    <row r="16" spans="1:33" x14ac:dyDescent="0.3">
      <c r="A16" s="37"/>
      <c r="B16" s="87"/>
      <c r="C16" s="39"/>
      <c r="D16" s="126"/>
      <c r="E16" s="126"/>
      <c r="F16" s="39"/>
      <c r="G16" s="39"/>
      <c r="H16" s="39"/>
      <c r="I16" s="87"/>
    </row>
    <row r="17" spans="1:9" x14ac:dyDescent="0.3">
      <c r="A17" s="37"/>
      <c r="B17" s="87"/>
      <c r="C17" s="39"/>
      <c r="D17" s="126"/>
      <c r="E17" s="126"/>
      <c r="F17" s="39"/>
      <c r="G17" s="39"/>
      <c r="H17" s="39"/>
      <c r="I17" s="87"/>
    </row>
    <row r="18" spans="1:9" x14ac:dyDescent="0.3">
      <c r="A18" s="37"/>
      <c r="B18" s="87"/>
      <c r="C18" s="39"/>
      <c r="D18" s="126"/>
      <c r="E18" s="126"/>
      <c r="F18" s="39"/>
      <c r="G18" s="39"/>
      <c r="H18" s="39"/>
      <c r="I18" s="87"/>
    </row>
    <row r="19" spans="1:9" x14ac:dyDescent="0.3">
      <c r="A19" s="37"/>
      <c r="B19" s="87"/>
      <c r="C19" s="39"/>
      <c r="D19" s="126"/>
      <c r="E19" s="126"/>
      <c r="F19" s="39"/>
      <c r="G19" s="39"/>
      <c r="H19" s="39"/>
      <c r="I19" s="87"/>
    </row>
    <row r="20" spans="1:9" x14ac:dyDescent="0.3">
      <c r="A20" s="37"/>
      <c r="B20" s="87"/>
      <c r="C20" s="39"/>
      <c r="D20" s="126"/>
      <c r="E20" s="126"/>
      <c r="F20" s="39"/>
      <c r="G20" s="39"/>
      <c r="H20" s="39"/>
      <c r="I20" s="87"/>
    </row>
    <row r="21" spans="1:9" x14ac:dyDescent="0.3">
      <c r="A21" s="37"/>
      <c r="B21" s="87"/>
      <c r="C21" s="39"/>
      <c r="D21" s="126"/>
      <c r="E21" s="126"/>
      <c r="F21" s="39"/>
      <c r="G21" s="39"/>
      <c r="H21" s="39"/>
      <c r="I21" s="87"/>
    </row>
    <row r="22" spans="1:9" x14ac:dyDescent="0.3">
      <c r="A22" s="37"/>
      <c r="B22" s="87"/>
      <c r="C22" s="39"/>
      <c r="D22" s="126"/>
      <c r="E22" s="126"/>
      <c r="F22" s="39"/>
      <c r="G22" s="39"/>
      <c r="H22" s="39"/>
      <c r="I22" s="87"/>
    </row>
    <row r="23" spans="1:9" x14ac:dyDescent="0.3">
      <c r="A23" s="37"/>
      <c r="B23" s="87"/>
      <c r="C23" s="39"/>
      <c r="D23" s="126"/>
      <c r="E23" s="126"/>
      <c r="F23" s="39"/>
      <c r="G23" s="39"/>
      <c r="H23" s="39"/>
      <c r="I23" s="87"/>
    </row>
    <row r="24" spans="1:9" x14ac:dyDescent="0.3">
      <c r="A24" s="37"/>
      <c r="B24" s="87"/>
      <c r="C24" s="39"/>
      <c r="D24" s="126"/>
      <c r="E24" s="126"/>
      <c r="F24" s="39"/>
      <c r="G24" s="39"/>
      <c r="H24" s="39"/>
      <c r="I24" s="87"/>
    </row>
    <row r="25" spans="1:9" x14ac:dyDescent="0.3">
      <c r="A25" s="37"/>
      <c r="B25" s="87"/>
      <c r="C25" s="39"/>
      <c r="D25" s="126"/>
      <c r="E25" s="126"/>
      <c r="F25" s="39"/>
      <c r="G25" s="39"/>
      <c r="H25" s="39"/>
      <c r="I25" s="87"/>
    </row>
    <row r="26" spans="1:9" x14ac:dyDescent="0.3">
      <c r="A26" s="37"/>
      <c r="B26" s="87"/>
      <c r="C26" s="39"/>
      <c r="D26" s="126"/>
      <c r="E26" s="126"/>
      <c r="F26" s="39"/>
      <c r="G26" s="39"/>
      <c r="H26" s="39"/>
      <c r="I26" s="87"/>
    </row>
    <row r="27" spans="1:9" x14ac:dyDescent="0.3">
      <c r="A27" s="37"/>
      <c r="B27" s="87"/>
      <c r="C27" s="39"/>
      <c r="D27" s="126"/>
      <c r="E27" s="126"/>
      <c r="F27" s="39"/>
      <c r="G27" s="39"/>
      <c r="H27" s="39"/>
      <c r="I27" s="87"/>
    </row>
    <row r="28" spans="1:9" x14ac:dyDescent="0.3">
      <c r="A28" s="37"/>
      <c r="B28" s="87"/>
      <c r="C28" s="39"/>
      <c r="D28" s="126"/>
      <c r="E28" s="126"/>
      <c r="F28" s="39"/>
      <c r="G28" s="39"/>
      <c r="H28" s="39"/>
      <c r="I28" s="87"/>
    </row>
    <row r="29" spans="1:9" x14ac:dyDescent="0.3">
      <c r="A29" s="37"/>
      <c r="B29" s="87"/>
      <c r="C29" s="39"/>
      <c r="D29" s="126"/>
      <c r="E29" s="126"/>
      <c r="F29" s="39"/>
      <c r="G29" s="39"/>
      <c r="H29" s="39"/>
      <c r="I29" s="87"/>
    </row>
    <row r="30" spans="1:9" x14ac:dyDescent="0.3">
      <c r="A30" s="37"/>
      <c r="B30" s="87"/>
      <c r="C30" s="39"/>
      <c r="D30" s="126"/>
      <c r="E30" s="126"/>
      <c r="F30" s="39"/>
      <c r="G30" s="39"/>
      <c r="H30" s="39"/>
      <c r="I30" s="87"/>
    </row>
    <row r="31" spans="1:9" x14ac:dyDescent="0.3">
      <c r="A31" s="37"/>
      <c r="B31" s="87"/>
      <c r="C31" s="39"/>
      <c r="D31" s="126"/>
      <c r="E31" s="126"/>
      <c r="F31" s="39"/>
      <c r="G31" s="39"/>
      <c r="H31" s="39"/>
      <c r="I31" s="87"/>
    </row>
    <row r="32" spans="1:9" x14ac:dyDescent="0.3">
      <c r="A32" s="37"/>
      <c r="B32" s="87"/>
      <c r="C32" s="39"/>
      <c r="D32" s="126"/>
      <c r="E32" s="126"/>
      <c r="F32" s="39"/>
      <c r="G32" s="39"/>
      <c r="H32" s="39"/>
      <c r="I32" s="87"/>
    </row>
    <row r="33" spans="1:9" x14ac:dyDescent="0.3">
      <c r="A33" s="37"/>
      <c r="B33" s="87"/>
      <c r="C33" s="39"/>
      <c r="D33" s="126"/>
      <c r="E33" s="126"/>
      <c r="F33" s="39"/>
      <c r="G33" s="39"/>
      <c r="H33" s="39"/>
      <c r="I33" s="87"/>
    </row>
    <row r="34" spans="1:9" x14ac:dyDescent="0.3">
      <c r="A34" s="37"/>
      <c r="B34" s="87"/>
      <c r="C34" s="39"/>
      <c r="D34" s="126"/>
      <c r="E34" s="126"/>
      <c r="F34" s="39"/>
      <c r="G34" s="39"/>
      <c r="H34" s="39"/>
      <c r="I34" s="87"/>
    </row>
    <row r="35" spans="1:9" x14ac:dyDescent="0.3">
      <c r="A35" s="37"/>
      <c r="B35" s="87"/>
      <c r="C35" s="39"/>
      <c r="D35" s="126"/>
      <c r="E35" s="126"/>
      <c r="F35" s="39"/>
      <c r="G35" s="39"/>
      <c r="H35" s="39"/>
      <c r="I35" s="87"/>
    </row>
    <row r="36" spans="1:9" x14ac:dyDescent="0.3">
      <c r="A36" s="37"/>
      <c r="B36" s="87"/>
      <c r="C36" s="39"/>
      <c r="D36" s="126"/>
      <c r="E36" s="126"/>
      <c r="F36" s="39"/>
      <c r="G36" s="39"/>
      <c r="H36" s="39"/>
      <c r="I36" s="87"/>
    </row>
    <row r="37" spans="1:9" x14ac:dyDescent="0.3">
      <c r="A37" s="37"/>
      <c r="B37" s="87"/>
      <c r="C37" s="39"/>
      <c r="D37" s="126"/>
      <c r="E37" s="126"/>
      <c r="F37" s="39"/>
      <c r="G37" s="39"/>
      <c r="H37" s="39"/>
      <c r="I37" s="87"/>
    </row>
    <row r="38" spans="1:9" x14ac:dyDescent="0.3">
      <c r="A38" s="37"/>
      <c r="B38" s="87"/>
      <c r="C38" s="39"/>
      <c r="D38" s="126"/>
      <c r="E38" s="126"/>
      <c r="F38" s="39"/>
      <c r="G38" s="39"/>
      <c r="H38" s="39"/>
      <c r="I38" s="87"/>
    </row>
    <row r="39" spans="1:9" x14ac:dyDescent="0.3">
      <c r="A39" s="37"/>
      <c r="B39" s="87"/>
      <c r="C39" s="39"/>
      <c r="D39" s="126"/>
      <c r="E39" s="126"/>
      <c r="F39" s="39"/>
      <c r="G39" s="39"/>
      <c r="H39" s="39"/>
      <c r="I39" s="87"/>
    </row>
    <row r="40" spans="1:9" x14ac:dyDescent="0.3">
      <c r="A40" s="37"/>
      <c r="B40" s="87"/>
      <c r="C40" s="39"/>
      <c r="D40" s="126"/>
      <c r="E40" s="126"/>
      <c r="F40" s="39"/>
      <c r="G40" s="39"/>
      <c r="H40" s="39"/>
      <c r="I40" s="87"/>
    </row>
    <row r="41" spans="1:9" x14ac:dyDescent="0.3">
      <c r="A41" s="37"/>
      <c r="B41" s="87"/>
      <c r="C41" s="39"/>
      <c r="D41" s="126"/>
      <c r="E41" s="126"/>
      <c r="F41" s="39"/>
      <c r="G41" s="39"/>
      <c r="H41" s="39"/>
      <c r="I41" s="87"/>
    </row>
    <row r="42" spans="1:9" x14ac:dyDescent="0.3">
      <c r="A42" s="37"/>
      <c r="B42" s="87"/>
      <c r="C42" s="39"/>
      <c r="D42" s="126"/>
      <c r="E42" s="126"/>
      <c r="F42" s="39"/>
      <c r="G42" s="39"/>
      <c r="H42" s="39"/>
      <c r="I42" s="87"/>
    </row>
    <row r="43" spans="1:9" x14ac:dyDescent="0.3">
      <c r="A43" s="37"/>
      <c r="B43" s="87"/>
      <c r="C43" s="39"/>
      <c r="D43" s="126"/>
      <c r="E43" s="126"/>
      <c r="F43" s="39"/>
      <c r="G43" s="39"/>
      <c r="H43" s="39"/>
      <c r="I43" s="87"/>
    </row>
    <row r="44" spans="1:9" x14ac:dyDescent="0.3">
      <c r="A44" s="37"/>
      <c r="B44" s="87"/>
      <c r="C44" s="39"/>
      <c r="D44" s="126"/>
      <c r="E44" s="126"/>
      <c r="F44" s="39"/>
      <c r="G44" s="39"/>
      <c r="H44" s="39"/>
      <c r="I44" s="87"/>
    </row>
    <row r="45" spans="1:9" x14ac:dyDescent="0.3">
      <c r="A45" s="37"/>
      <c r="B45" s="87"/>
      <c r="C45" s="39"/>
      <c r="D45" s="126"/>
      <c r="E45" s="126"/>
      <c r="F45" s="39"/>
      <c r="G45" s="39"/>
      <c r="H45" s="39"/>
      <c r="I45" s="87"/>
    </row>
    <row r="46" spans="1:9" x14ac:dyDescent="0.3">
      <c r="A46" s="37"/>
      <c r="B46" s="87"/>
      <c r="C46" s="39"/>
      <c r="D46" s="126"/>
      <c r="E46" s="126"/>
      <c r="F46" s="39"/>
      <c r="G46" s="39"/>
      <c r="H46" s="39"/>
      <c r="I46" s="87"/>
    </row>
    <row r="47" spans="1:9" x14ac:dyDescent="0.3">
      <c r="A47" s="37"/>
      <c r="B47" s="87"/>
      <c r="C47" s="39"/>
      <c r="D47" s="126"/>
      <c r="E47" s="126"/>
      <c r="F47" s="39"/>
      <c r="G47" s="39"/>
      <c r="H47" s="39"/>
      <c r="I47" s="87"/>
    </row>
    <row r="48" spans="1:9" x14ac:dyDescent="0.3">
      <c r="A48" s="37"/>
      <c r="B48" s="87"/>
      <c r="C48" s="39"/>
      <c r="D48" s="126"/>
      <c r="E48" s="126"/>
      <c r="F48" s="39"/>
      <c r="G48" s="39"/>
      <c r="H48" s="39"/>
      <c r="I48" s="87"/>
    </row>
    <row r="49" spans="1:9" x14ac:dyDescent="0.3">
      <c r="A49" s="37"/>
      <c r="B49" s="87"/>
      <c r="C49" s="39"/>
      <c r="D49" s="126"/>
      <c r="E49" s="126"/>
      <c r="F49" s="39"/>
      <c r="G49" s="39"/>
      <c r="H49" s="39"/>
      <c r="I49" s="87"/>
    </row>
    <row r="50" spans="1:9" x14ac:dyDescent="0.3">
      <c r="A50" s="37"/>
      <c r="B50" s="87"/>
      <c r="C50" s="39"/>
      <c r="D50" s="126"/>
      <c r="E50" s="126"/>
      <c r="F50" s="39"/>
      <c r="G50" s="39"/>
      <c r="H50" s="39"/>
      <c r="I50" s="87"/>
    </row>
    <row r="51" spans="1:9" x14ac:dyDescent="0.3">
      <c r="A51" s="37"/>
      <c r="B51" s="87"/>
      <c r="C51" s="39"/>
      <c r="D51" s="126"/>
      <c r="E51" s="126"/>
      <c r="F51" s="39"/>
      <c r="G51" s="39"/>
      <c r="H51" s="39"/>
      <c r="I51" s="87"/>
    </row>
    <row r="52" spans="1:9" x14ac:dyDescent="0.3">
      <c r="A52" s="37"/>
      <c r="B52" s="87"/>
      <c r="C52" s="39"/>
      <c r="D52" s="126"/>
      <c r="E52" s="126"/>
      <c r="F52" s="39"/>
      <c r="G52" s="39"/>
      <c r="H52" s="39"/>
      <c r="I52" s="87"/>
    </row>
    <row r="53" spans="1:9" x14ac:dyDescent="0.3">
      <c r="A53" s="37"/>
      <c r="B53" s="87"/>
      <c r="C53" s="39"/>
      <c r="D53" s="126"/>
      <c r="E53" s="126"/>
      <c r="F53" s="39"/>
      <c r="G53" s="39"/>
      <c r="H53" s="39"/>
      <c r="I53" s="87"/>
    </row>
    <row r="54" spans="1:9" x14ac:dyDescent="0.3">
      <c r="A54" s="37"/>
      <c r="B54" s="87"/>
      <c r="C54" s="39"/>
      <c r="D54" s="126"/>
      <c r="E54" s="126"/>
      <c r="F54" s="39"/>
      <c r="G54" s="39"/>
      <c r="H54" s="39"/>
      <c r="I54" s="87"/>
    </row>
    <row r="55" spans="1:9" x14ac:dyDescent="0.3">
      <c r="A55" s="37"/>
      <c r="B55" s="87"/>
      <c r="C55" s="39"/>
      <c r="D55" s="126"/>
      <c r="E55" s="126"/>
      <c r="F55" s="39"/>
      <c r="G55" s="39"/>
      <c r="H55" s="39"/>
      <c r="I55" s="87"/>
    </row>
    <row r="56" spans="1:9" x14ac:dyDescent="0.3">
      <c r="A56" s="37"/>
      <c r="B56" s="87"/>
      <c r="C56" s="39"/>
      <c r="D56" s="126"/>
      <c r="E56" s="126"/>
      <c r="F56" s="39"/>
      <c r="G56" s="39"/>
      <c r="H56" s="39"/>
      <c r="I56" s="87"/>
    </row>
    <row r="57" spans="1:9" x14ac:dyDescent="0.3">
      <c r="A57" s="37"/>
      <c r="B57" s="87"/>
      <c r="C57" s="39"/>
      <c r="D57" s="126"/>
      <c r="E57" s="126"/>
      <c r="F57" s="39"/>
      <c r="G57" s="39"/>
      <c r="H57" s="39"/>
      <c r="I57" s="87"/>
    </row>
    <row r="58" spans="1:9" x14ac:dyDescent="0.3">
      <c r="A58" s="37"/>
      <c r="B58" s="87"/>
      <c r="C58" s="39"/>
      <c r="D58" s="126"/>
      <c r="E58" s="126"/>
      <c r="F58" s="39"/>
      <c r="G58" s="39"/>
      <c r="H58" s="39"/>
      <c r="I58" s="87"/>
    </row>
    <row r="59" spans="1:9" x14ac:dyDescent="0.3">
      <c r="A59" s="37"/>
      <c r="B59" s="87"/>
      <c r="C59" s="39"/>
      <c r="D59" s="126"/>
      <c r="E59" s="126"/>
      <c r="F59" s="39"/>
      <c r="G59" s="39"/>
      <c r="H59" s="39"/>
      <c r="I59" s="87"/>
    </row>
    <row r="60" spans="1:9" x14ac:dyDescent="0.3">
      <c r="A60" s="37"/>
      <c r="B60" s="87"/>
      <c r="C60" s="39"/>
      <c r="D60" s="126"/>
      <c r="E60" s="126"/>
      <c r="F60" s="39"/>
      <c r="G60" s="39"/>
      <c r="H60" s="39"/>
      <c r="I60" s="87"/>
    </row>
    <row r="61" spans="1:9" x14ac:dyDescent="0.3">
      <c r="A61" s="37"/>
      <c r="B61" s="87"/>
      <c r="C61" s="39"/>
      <c r="D61" s="126"/>
      <c r="E61" s="126"/>
      <c r="F61" s="39"/>
      <c r="G61" s="39"/>
      <c r="H61" s="39"/>
      <c r="I61" s="87"/>
    </row>
    <row r="62" spans="1:9" x14ac:dyDescent="0.3">
      <c r="A62" s="37"/>
      <c r="B62" s="87"/>
      <c r="C62" s="39"/>
      <c r="D62" s="126"/>
      <c r="E62" s="126"/>
      <c r="F62" s="39"/>
      <c r="G62" s="39"/>
      <c r="H62" s="39"/>
      <c r="I62" s="87"/>
    </row>
    <row r="63" spans="1:9" x14ac:dyDescent="0.3">
      <c r="A63" s="37"/>
      <c r="B63" s="87"/>
      <c r="C63" s="39"/>
      <c r="D63" s="126"/>
      <c r="E63" s="126"/>
      <c r="F63" s="39"/>
      <c r="G63" s="39"/>
      <c r="H63" s="39"/>
      <c r="I63" s="87"/>
    </row>
    <row r="64" spans="1:9" x14ac:dyDescent="0.3">
      <c r="A64" s="37"/>
      <c r="B64" s="87"/>
      <c r="C64" s="39"/>
      <c r="D64" s="126"/>
      <c r="E64" s="126"/>
      <c r="F64" s="39"/>
      <c r="G64" s="39"/>
      <c r="H64" s="39"/>
      <c r="I64" s="87"/>
    </row>
    <row r="65" spans="1:9" x14ac:dyDescent="0.3">
      <c r="A65" s="37"/>
      <c r="B65" s="87"/>
      <c r="C65" s="39"/>
      <c r="D65" s="126"/>
      <c r="E65" s="126"/>
      <c r="F65" s="39"/>
      <c r="G65" s="39"/>
      <c r="H65" s="39"/>
      <c r="I65" s="87"/>
    </row>
    <row r="66" spans="1:9" x14ac:dyDescent="0.3">
      <c r="A66" s="37"/>
      <c r="B66" s="87"/>
      <c r="C66" s="39"/>
      <c r="D66" s="126"/>
      <c r="E66" s="126"/>
      <c r="F66" s="39"/>
      <c r="G66" s="39"/>
      <c r="H66" s="39"/>
      <c r="I66" s="87"/>
    </row>
    <row r="67" spans="1:9" x14ac:dyDescent="0.3">
      <c r="A67" s="37"/>
      <c r="B67" s="87"/>
      <c r="C67" s="39"/>
      <c r="D67" s="126"/>
      <c r="E67" s="126"/>
      <c r="F67" s="39"/>
      <c r="G67" s="39"/>
      <c r="H67" s="39"/>
      <c r="I67" s="87"/>
    </row>
    <row r="68" spans="1:9" x14ac:dyDescent="0.3">
      <c r="A68" s="37"/>
      <c r="B68" s="87"/>
      <c r="C68" s="39"/>
      <c r="D68" s="126"/>
      <c r="E68" s="126"/>
      <c r="F68" s="39"/>
      <c r="G68" s="39"/>
      <c r="H68" s="39"/>
      <c r="I68" s="87"/>
    </row>
    <row r="69" spans="1:9" x14ac:dyDescent="0.3">
      <c r="A69" s="37"/>
      <c r="B69" s="87"/>
      <c r="C69" s="39"/>
      <c r="D69" s="126"/>
      <c r="E69" s="126"/>
      <c r="F69" s="39"/>
      <c r="G69" s="39"/>
      <c r="H69" s="39"/>
      <c r="I69" s="87"/>
    </row>
    <row r="70" spans="1:9" x14ac:dyDescent="0.3">
      <c r="A70" s="37"/>
      <c r="B70" s="87"/>
      <c r="C70" s="39"/>
      <c r="D70" s="126"/>
      <c r="E70" s="126"/>
      <c r="F70" s="39"/>
      <c r="G70" s="39"/>
      <c r="H70" s="39"/>
      <c r="I70" s="87"/>
    </row>
    <row r="71" spans="1:9" x14ac:dyDescent="0.3">
      <c r="A71" s="37"/>
      <c r="B71" s="87"/>
      <c r="C71" s="39"/>
      <c r="D71" s="126"/>
      <c r="E71" s="126"/>
      <c r="F71" s="39"/>
      <c r="G71" s="39"/>
      <c r="H71" s="39"/>
      <c r="I71" s="87"/>
    </row>
    <row r="72" spans="1:9" x14ac:dyDescent="0.3">
      <c r="A72" s="37"/>
      <c r="B72" s="87"/>
      <c r="C72" s="39"/>
      <c r="D72" s="126"/>
      <c r="E72" s="126"/>
      <c r="F72" s="39"/>
      <c r="G72" s="39"/>
      <c r="H72" s="39"/>
      <c r="I72" s="87"/>
    </row>
    <row r="73" spans="1:9" x14ac:dyDescent="0.3">
      <c r="A73" s="37"/>
      <c r="B73" s="87"/>
      <c r="C73" s="39"/>
      <c r="D73" s="126"/>
      <c r="E73" s="126"/>
      <c r="F73" s="39"/>
      <c r="G73" s="39"/>
      <c r="H73" s="39"/>
      <c r="I73" s="87"/>
    </row>
    <row r="74" spans="1:9" x14ac:dyDescent="0.3">
      <c r="A74" s="37"/>
      <c r="B74" s="87"/>
      <c r="C74" s="39"/>
      <c r="D74" s="126"/>
      <c r="E74" s="126"/>
      <c r="F74" s="39"/>
      <c r="G74" s="39"/>
      <c r="H74" s="39"/>
      <c r="I74" s="87"/>
    </row>
    <row r="75" spans="1:9" x14ac:dyDescent="0.3">
      <c r="A75" s="37"/>
      <c r="B75" s="87"/>
      <c r="C75" s="39"/>
      <c r="D75" s="126"/>
      <c r="E75" s="126"/>
      <c r="F75" s="39"/>
      <c r="G75" s="39"/>
      <c r="H75" s="39"/>
      <c r="I75" s="87"/>
    </row>
    <row r="76" spans="1:9" x14ac:dyDescent="0.3">
      <c r="A76" s="37"/>
      <c r="B76" s="87"/>
      <c r="C76" s="39"/>
      <c r="D76" s="126"/>
      <c r="E76" s="126"/>
      <c r="F76" s="39"/>
      <c r="G76" s="39"/>
      <c r="H76" s="39"/>
      <c r="I76" s="87"/>
    </row>
    <row r="77" spans="1:9" x14ac:dyDescent="0.3">
      <c r="A77" s="37"/>
      <c r="B77" s="87"/>
      <c r="C77" s="39"/>
      <c r="D77" s="126"/>
      <c r="E77" s="126"/>
      <c r="F77" s="39"/>
      <c r="G77" s="39"/>
      <c r="H77" s="39"/>
      <c r="I77" s="87"/>
    </row>
    <row r="78" spans="1:9" x14ac:dyDescent="0.3">
      <c r="A78" s="37"/>
      <c r="B78" s="87"/>
      <c r="C78" s="39"/>
      <c r="D78" s="126"/>
      <c r="E78" s="126"/>
      <c r="F78" s="39"/>
      <c r="G78" s="39"/>
      <c r="H78" s="39"/>
      <c r="I78" s="87"/>
    </row>
    <row r="79" spans="1:9" x14ac:dyDescent="0.3">
      <c r="A79" s="37"/>
      <c r="B79" s="87"/>
      <c r="C79" s="39"/>
      <c r="D79" s="126"/>
      <c r="E79" s="126"/>
      <c r="F79" s="39"/>
      <c r="G79" s="39"/>
      <c r="H79" s="39"/>
      <c r="I79" s="87"/>
    </row>
    <row r="80" spans="1:9" x14ac:dyDescent="0.3">
      <c r="A80" s="37"/>
      <c r="B80" s="87"/>
      <c r="C80" s="39"/>
      <c r="D80" s="126"/>
      <c r="E80" s="126"/>
      <c r="F80" s="39"/>
      <c r="G80" s="39"/>
      <c r="H80" s="39"/>
      <c r="I80" s="87"/>
    </row>
    <row r="81" spans="1:9" x14ac:dyDescent="0.3">
      <c r="A81" s="37"/>
      <c r="B81" s="87"/>
      <c r="C81" s="39"/>
      <c r="D81" s="126"/>
      <c r="E81" s="126"/>
      <c r="F81" s="39"/>
      <c r="G81" s="39"/>
      <c r="H81" s="39"/>
      <c r="I81" s="87"/>
    </row>
    <row r="82" spans="1:9" x14ac:dyDescent="0.3">
      <c r="A82" s="37"/>
      <c r="B82" s="87"/>
      <c r="C82" s="39"/>
      <c r="D82" s="126"/>
      <c r="E82" s="126"/>
      <c r="F82" s="39"/>
      <c r="G82" s="39"/>
      <c r="H82" s="39"/>
      <c r="I82" s="87"/>
    </row>
    <row r="83" spans="1:9" x14ac:dyDescent="0.3">
      <c r="A83" s="37"/>
      <c r="B83" s="87"/>
      <c r="C83" s="39"/>
      <c r="D83" s="126"/>
      <c r="E83" s="126"/>
      <c r="F83" s="39"/>
      <c r="G83" s="39"/>
      <c r="H83" s="39"/>
      <c r="I83" s="87"/>
    </row>
    <row r="84" spans="1:9" x14ac:dyDescent="0.3">
      <c r="A84" s="37"/>
      <c r="B84" s="87"/>
      <c r="C84" s="39"/>
      <c r="D84" s="126"/>
      <c r="E84" s="126"/>
      <c r="F84" s="39"/>
      <c r="G84" s="39"/>
      <c r="H84" s="39"/>
      <c r="I84" s="87"/>
    </row>
    <row r="85" spans="1:9" x14ac:dyDescent="0.3">
      <c r="A85" s="37"/>
      <c r="B85" s="87"/>
      <c r="C85" s="39"/>
      <c r="D85" s="126"/>
      <c r="E85" s="126"/>
      <c r="F85" s="39"/>
      <c r="G85" s="39"/>
      <c r="H85" s="39"/>
      <c r="I85" s="87"/>
    </row>
    <row r="86" spans="1:9" x14ac:dyDescent="0.3">
      <c r="A86" s="37"/>
      <c r="B86" s="87"/>
      <c r="C86" s="39"/>
      <c r="D86" s="126"/>
      <c r="E86" s="126"/>
      <c r="F86" s="39"/>
      <c r="G86" s="39"/>
      <c r="H86" s="39"/>
      <c r="I86" s="87"/>
    </row>
    <row r="87" spans="1:9" x14ac:dyDescent="0.3">
      <c r="A87" s="37"/>
      <c r="B87" s="87"/>
      <c r="C87" s="39"/>
      <c r="D87" s="126"/>
      <c r="E87" s="126"/>
      <c r="F87" s="39"/>
      <c r="G87" s="39"/>
      <c r="H87" s="39"/>
      <c r="I87" s="87"/>
    </row>
    <row r="88" spans="1:9" x14ac:dyDescent="0.3">
      <c r="A88" s="37"/>
      <c r="B88" s="87"/>
      <c r="C88" s="39"/>
      <c r="D88" s="126"/>
      <c r="E88" s="126"/>
      <c r="F88" s="39"/>
      <c r="G88" s="39"/>
      <c r="H88" s="39"/>
      <c r="I88" s="87"/>
    </row>
    <row r="89" spans="1:9" x14ac:dyDescent="0.3">
      <c r="A89" s="37"/>
      <c r="B89" s="87"/>
      <c r="C89" s="39"/>
      <c r="D89" s="126"/>
      <c r="E89" s="126"/>
      <c r="F89" s="39"/>
      <c r="G89" s="39"/>
      <c r="H89" s="39"/>
      <c r="I89" s="87"/>
    </row>
    <row r="90" spans="1:9" x14ac:dyDescent="0.3">
      <c r="A90" s="37"/>
      <c r="B90" s="87"/>
      <c r="C90" s="39"/>
      <c r="D90" s="126"/>
      <c r="E90" s="126"/>
      <c r="F90" s="39"/>
      <c r="G90" s="39"/>
      <c r="H90" s="39"/>
      <c r="I90" s="87"/>
    </row>
    <row r="91" spans="1:9" x14ac:dyDescent="0.3">
      <c r="A91" s="37"/>
      <c r="B91" s="87"/>
      <c r="C91" s="39"/>
      <c r="D91" s="126"/>
      <c r="E91" s="126"/>
      <c r="F91" s="39"/>
      <c r="G91" s="39"/>
      <c r="H91" s="39"/>
      <c r="I91" s="87"/>
    </row>
    <row r="92" spans="1:9" x14ac:dyDescent="0.3">
      <c r="A92" s="37"/>
      <c r="B92" s="87"/>
      <c r="C92" s="39"/>
      <c r="D92" s="126"/>
      <c r="E92" s="126"/>
      <c r="F92" s="39"/>
      <c r="G92" s="39"/>
      <c r="H92" s="39"/>
      <c r="I92" s="87"/>
    </row>
    <row r="93" spans="1:9" x14ac:dyDescent="0.3">
      <c r="A93" s="37"/>
      <c r="B93" s="87"/>
      <c r="C93" s="39"/>
      <c r="D93" s="126"/>
      <c r="E93" s="126"/>
      <c r="F93" s="39"/>
      <c r="G93" s="39"/>
      <c r="H93" s="39"/>
      <c r="I93" s="87"/>
    </row>
    <row r="94" spans="1:9" x14ac:dyDescent="0.3">
      <c r="A94" s="37"/>
      <c r="B94" s="87"/>
      <c r="C94" s="39"/>
      <c r="D94" s="126"/>
      <c r="E94" s="126"/>
      <c r="F94" s="39"/>
      <c r="G94" s="39"/>
      <c r="H94" s="39"/>
      <c r="I94" s="87"/>
    </row>
    <row r="95" spans="1:9" x14ac:dyDescent="0.3">
      <c r="A95" s="37"/>
      <c r="B95" s="87"/>
      <c r="C95" s="39"/>
      <c r="D95" s="126"/>
      <c r="E95" s="126"/>
      <c r="F95" s="39"/>
      <c r="G95" s="39"/>
      <c r="H95" s="39"/>
      <c r="I95" s="87"/>
    </row>
    <row r="96" spans="1:9" x14ac:dyDescent="0.3">
      <c r="A96" s="37"/>
      <c r="B96" s="87"/>
      <c r="C96" s="39"/>
      <c r="D96" s="126"/>
      <c r="E96" s="126"/>
      <c r="F96" s="39"/>
      <c r="G96" s="39"/>
      <c r="H96" s="39"/>
      <c r="I96" s="87"/>
    </row>
    <row r="97" spans="1:9" x14ac:dyDescent="0.3">
      <c r="A97" s="37"/>
      <c r="B97" s="87"/>
      <c r="C97" s="39"/>
      <c r="D97" s="126"/>
      <c r="E97" s="126"/>
      <c r="F97" s="39"/>
      <c r="G97" s="39"/>
      <c r="H97" s="39"/>
      <c r="I97" s="87"/>
    </row>
    <row r="98" spans="1:9" x14ac:dyDescent="0.3">
      <c r="A98" s="37"/>
      <c r="B98" s="87"/>
      <c r="C98" s="39"/>
      <c r="D98" s="126"/>
      <c r="E98" s="126"/>
      <c r="F98" s="39"/>
      <c r="G98" s="39"/>
      <c r="H98" s="39"/>
      <c r="I98" s="87"/>
    </row>
    <row r="99" spans="1:9" x14ac:dyDescent="0.3">
      <c r="A99" s="37"/>
      <c r="B99" s="87"/>
      <c r="C99" s="39"/>
      <c r="D99" s="126"/>
      <c r="E99" s="126"/>
      <c r="F99" s="39"/>
      <c r="G99" s="39"/>
      <c r="H99" s="39"/>
      <c r="I99" s="87"/>
    </row>
    <row r="100" spans="1:9" x14ac:dyDescent="0.3">
      <c r="A100" s="37"/>
      <c r="B100" s="87"/>
      <c r="C100" s="39"/>
      <c r="D100" s="126"/>
      <c r="E100" s="126"/>
      <c r="F100" s="39"/>
      <c r="G100" s="39"/>
      <c r="H100" s="39"/>
      <c r="I100" s="87"/>
    </row>
    <row r="101" spans="1:9" x14ac:dyDescent="0.3">
      <c r="A101" s="37"/>
      <c r="B101" s="87"/>
      <c r="C101" s="39"/>
      <c r="D101" s="126"/>
      <c r="E101" s="126"/>
      <c r="F101" s="39"/>
      <c r="G101" s="39"/>
      <c r="H101" s="39"/>
      <c r="I101" s="87"/>
    </row>
    <row r="102" spans="1:9" x14ac:dyDescent="0.3">
      <c r="A102" s="37"/>
      <c r="B102" s="87"/>
      <c r="C102" s="39"/>
      <c r="D102" s="126"/>
      <c r="E102" s="126"/>
      <c r="F102" s="39"/>
      <c r="G102" s="39"/>
      <c r="H102" s="39"/>
      <c r="I102" s="87"/>
    </row>
    <row r="103" spans="1:9" x14ac:dyDescent="0.3">
      <c r="A103" s="37"/>
      <c r="B103" s="87"/>
      <c r="C103" s="39"/>
      <c r="D103" s="126"/>
      <c r="E103" s="126"/>
      <c r="F103" s="39"/>
      <c r="G103" s="39"/>
      <c r="H103" s="39"/>
      <c r="I103" s="87"/>
    </row>
    <row r="104" spans="1:9" x14ac:dyDescent="0.3">
      <c r="A104" s="37"/>
      <c r="B104" s="87"/>
      <c r="C104" s="39"/>
      <c r="D104" s="126"/>
      <c r="E104" s="126"/>
      <c r="F104" s="39"/>
      <c r="G104" s="39"/>
      <c r="H104" s="39"/>
      <c r="I104" s="87"/>
    </row>
    <row r="105" spans="1:9" x14ac:dyDescent="0.3">
      <c r="A105" s="37"/>
      <c r="B105" s="87"/>
      <c r="C105" s="39"/>
      <c r="D105" s="126"/>
      <c r="E105" s="126"/>
      <c r="F105" s="39"/>
      <c r="G105" s="39"/>
      <c r="H105" s="39"/>
      <c r="I105" s="87"/>
    </row>
    <row r="106" spans="1:9" x14ac:dyDescent="0.3">
      <c r="A106" s="37"/>
      <c r="B106" s="87"/>
      <c r="C106" s="39"/>
      <c r="D106" s="126"/>
      <c r="E106" s="126"/>
      <c r="F106" s="39"/>
      <c r="G106" s="39"/>
      <c r="H106" s="39"/>
      <c r="I106" s="87"/>
    </row>
    <row r="107" spans="1:9" x14ac:dyDescent="0.3">
      <c r="A107" s="37"/>
      <c r="B107" s="87"/>
      <c r="C107" s="39"/>
      <c r="D107" s="126"/>
      <c r="E107" s="126"/>
      <c r="F107" s="39"/>
      <c r="G107" s="39"/>
      <c r="H107" s="39"/>
      <c r="I107" s="87"/>
    </row>
    <row r="108" spans="1:9" x14ac:dyDescent="0.3">
      <c r="A108" s="37"/>
      <c r="B108" s="87"/>
      <c r="C108" s="39"/>
      <c r="D108" s="126"/>
      <c r="E108" s="126"/>
      <c r="F108" s="39"/>
      <c r="G108" s="39"/>
      <c r="H108" s="39"/>
      <c r="I108" s="87"/>
    </row>
    <row r="109" spans="1:9" x14ac:dyDescent="0.3">
      <c r="A109" s="37"/>
      <c r="B109" s="87"/>
      <c r="C109" s="39"/>
      <c r="D109" s="126"/>
      <c r="E109" s="126"/>
      <c r="F109" s="39"/>
      <c r="G109" s="39"/>
      <c r="H109" s="39"/>
      <c r="I109" s="87"/>
    </row>
    <row r="110" spans="1:9" x14ac:dyDescent="0.3">
      <c r="A110" s="37"/>
      <c r="B110" s="87"/>
      <c r="C110" s="39"/>
      <c r="D110" s="126"/>
      <c r="E110" s="126"/>
      <c r="F110" s="39"/>
      <c r="G110" s="39"/>
      <c r="H110" s="39"/>
      <c r="I110" s="87"/>
    </row>
    <row r="111" spans="1:9" x14ac:dyDescent="0.3">
      <c r="A111" s="37"/>
      <c r="B111" s="87"/>
      <c r="C111" s="39"/>
      <c r="D111" s="126"/>
      <c r="E111" s="126"/>
      <c r="F111" s="39"/>
      <c r="G111" s="39"/>
      <c r="H111" s="39"/>
      <c r="I111" s="87"/>
    </row>
    <row r="112" spans="1:9" x14ac:dyDescent="0.3">
      <c r="A112" s="37"/>
      <c r="B112" s="87"/>
      <c r="C112" s="39"/>
      <c r="D112" s="126"/>
      <c r="E112" s="126"/>
      <c r="F112" s="39"/>
      <c r="G112" s="39"/>
      <c r="H112" s="39"/>
      <c r="I112" s="87"/>
    </row>
    <row r="113" spans="1:9" x14ac:dyDescent="0.3">
      <c r="A113" s="37"/>
      <c r="B113" s="87"/>
      <c r="C113" s="39"/>
      <c r="D113" s="126"/>
      <c r="E113" s="126"/>
      <c r="F113" s="39"/>
      <c r="G113" s="39"/>
      <c r="H113" s="39"/>
      <c r="I113" s="87"/>
    </row>
    <row r="114" spans="1:9" x14ac:dyDescent="0.3">
      <c r="A114" s="37"/>
      <c r="B114" s="87"/>
      <c r="C114" s="39"/>
      <c r="D114" s="126"/>
      <c r="E114" s="126"/>
      <c r="F114" s="39"/>
      <c r="G114" s="39"/>
      <c r="H114" s="39"/>
      <c r="I114" s="87"/>
    </row>
    <row r="115" spans="1:9" x14ac:dyDescent="0.3">
      <c r="A115" s="37"/>
      <c r="B115" s="87"/>
      <c r="C115" s="39"/>
      <c r="D115" s="126"/>
      <c r="E115" s="126"/>
      <c r="F115" s="39"/>
      <c r="G115" s="39"/>
      <c r="H115" s="39"/>
      <c r="I115" s="87"/>
    </row>
    <row r="116" spans="1:9" x14ac:dyDescent="0.3">
      <c r="A116" s="37"/>
      <c r="B116" s="87"/>
      <c r="C116" s="39"/>
      <c r="D116" s="126"/>
      <c r="E116" s="126"/>
      <c r="F116" s="39"/>
      <c r="G116" s="39"/>
      <c r="H116" s="39"/>
      <c r="I116" s="87"/>
    </row>
    <row r="117" spans="1:9" x14ac:dyDescent="0.3">
      <c r="A117" s="37"/>
      <c r="B117" s="87"/>
      <c r="C117" s="39"/>
      <c r="D117" s="126"/>
      <c r="E117" s="126"/>
      <c r="F117" s="39"/>
      <c r="G117" s="39"/>
      <c r="H117" s="39"/>
      <c r="I117" s="87"/>
    </row>
  </sheetData>
  <mergeCells count="15">
    <mergeCell ref="AE3:AE4"/>
    <mergeCell ref="AF3:AF4"/>
    <mergeCell ref="AG3:AG4"/>
    <mergeCell ref="L4:M4"/>
    <mergeCell ref="O4:P4"/>
    <mergeCell ref="R4:S4"/>
    <mergeCell ref="U4:V4"/>
    <mergeCell ref="X4:Y4"/>
    <mergeCell ref="AA4:AB4"/>
    <mergeCell ref="L3:M3"/>
    <mergeCell ref="O3:P3"/>
    <mergeCell ref="R3:S3"/>
    <mergeCell ref="U3:V3"/>
    <mergeCell ref="X3:Y3"/>
    <mergeCell ref="AA3:AB3"/>
  </mergeCells>
  <pageMargins left="0.7" right="0.7" top="0.75" bottom="0.75" header="0.3" footer="0.3"/>
  <pageSetup paperSize="9" scale="56" fitToHeight="0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3"/>
  <sheetViews>
    <sheetView tabSelected="1" view="pageBreakPreview" topLeftCell="B1" zoomScale="90" zoomScaleNormal="100" zoomScaleSheetLayoutView="90" workbookViewId="0">
      <pane ySplit="4" topLeftCell="A7" activePane="bottomLeft" state="frozen"/>
      <selection activeCell="B1" sqref="B1"/>
      <selection pane="bottomLeft" activeCell="B7" sqref="B7"/>
    </sheetView>
  </sheetViews>
  <sheetFormatPr defaultRowHeight="16.5" x14ac:dyDescent="0.3"/>
  <cols>
    <col min="1" max="1" width="5.7109375" style="1" customWidth="1"/>
    <col min="2" max="2" width="61.5703125" style="1" customWidth="1"/>
    <col min="3" max="3" width="11.140625" style="15" bestFit="1" customWidth="1"/>
    <col min="4" max="4" width="17.5703125" style="621" bestFit="1" customWidth="1"/>
    <col min="5" max="5" width="17.5703125" style="139" customWidth="1"/>
    <col min="6" max="6" width="7.42578125" style="139" bestFit="1" customWidth="1"/>
    <col min="7" max="7" width="12.7109375" style="15" bestFit="1" customWidth="1"/>
    <col min="8" max="8" width="15.85546875" style="15" bestFit="1" customWidth="1"/>
    <col min="9" max="9" width="78" style="1" customWidth="1"/>
    <col min="10" max="10" width="61.42578125" style="21" bestFit="1" customWidth="1"/>
    <col min="11" max="11" width="15.5703125" style="78" bestFit="1" customWidth="1"/>
    <col min="12" max="12" width="23" style="570" bestFit="1" customWidth="1"/>
    <col min="13" max="13" width="9" style="78" bestFit="1" customWidth="1"/>
    <col min="14" max="14" width="15.140625" style="120" bestFit="1" customWidth="1"/>
    <col min="15" max="15" width="32.5703125" style="78" bestFit="1" customWidth="1"/>
    <col min="16" max="16" width="9" style="78" bestFit="1" customWidth="1"/>
    <col min="17" max="17" width="15.140625" style="120" bestFit="1" customWidth="1"/>
    <col min="18" max="18" width="42.28515625" style="78" bestFit="1" customWidth="1"/>
    <col min="19" max="19" width="9" style="78" bestFit="1" customWidth="1"/>
    <col min="20" max="20" width="15.28515625" style="120" bestFit="1" customWidth="1"/>
    <col min="21" max="21" width="23" style="78" bestFit="1" customWidth="1"/>
    <col min="22" max="22" width="9" style="78" bestFit="1" customWidth="1"/>
    <col min="23" max="23" width="15.28515625" style="120" bestFit="1" customWidth="1"/>
    <col min="24" max="24" width="39.7109375" style="106" bestFit="1" customWidth="1"/>
    <col min="25" max="25" width="10" style="78" bestFit="1" customWidth="1"/>
    <col min="26" max="26" width="15.28515625" style="120" bestFit="1" customWidth="1"/>
    <col min="27" max="27" width="41" style="1" bestFit="1" customWidth="1"/>
    <col min="28" max="28" width="10" style="78" bestFit="1" customWidth="1"/>
    <col min="29" max="29" width="15.28515625" style="120" bestFit="1" customWidth="1"/>
    <col min="30" max="32" width="15.140625" style="108" hidden="1" customWidth="1"/>
    <col min="33" max="33" width="15.140625" style="108" customWidth="1"/>
    <col min="34" max="35" width="15.140625" style="120" customWidth="1"/>
    <col min="36" max="36" width="17" style="108" bestFit="1" customWidth="1"/>
    <col min="37" max="37" width="12.42578125" style="106" customWidth="1"/>
    <col min="38" max="38" width="17" style="108" customWidth="1"/>
    <col min="39" max="39" width="43.28515625" style="584" bestFit="1" customWidth="1"/>
    <col min="40" max="40" width="30.42578125" style="43" bestFit="1" customWidth="1"/>
    <col min="41" max="41" width="10.28515625" style="1" bestFit="1" customWidth="1"/>
    <col min="42" max="16384" width="9.140625" style="1"/>
  </cols>
  <sheetData>
    <row r="1" spans="1:41" x14ac:dyDescent="0.3">
      <c r="A1" s="4" t="s">
        <v>0</v>
      </c>
      <c r="B1" s="5"/>
      <c r="C1" s="306"/>
    </row>
    <row r="2" spans="1:41" x14ac:dyDescent="0.3">
      <c r="A2" s="4" t="s">
        <v>43</v>
      </c>
      <c r="B2" s="5"/>
      <c r="C2" s="306"/>
      <c r="E2" s="183" t="s">
        <v>570</v>
      </c>
      <c r="F2" s="385"/>
      <c r="J2" s="21" t="s">
        <v>2757</v>
      </c>
    </row>
    <row r="3" spans="1:41" x14ac:dyDescent="0.3">
      <c r="A3" s="43" t="s">
        <v>493</v>
      </c>
      <c r="K3" s="121" t="s">
        <v>520</v>
      </c>
      <c r="L3" s="661" t="s">
        <v>521</v>
      </c>
      <c r="M3" s="662"/>
      <c r="N3" s="100" t="s">
        <v>522</v>
      </c>
      <c r="O3" s="661" t="s">
        <v>521</v>
      </c>
      <c r="P3" s="662"/>
      <c r="Q3" s="290" t="s">
        <v>522</v>
      </c>
      <c r="R3" s="661" t="s">
        <v>521</v>
      </c>
      <c r="S3" s="662"/>
      <c r="T3" s="290" t="s">
        <v>522</v>
      </c>
      <c r="U3" s="661" t="s">
        <v>521</v>
      </c>
      <c r="V3" s="662"/>
      <c r="W3" s="290" t="s">
        <v>522</v>
      </c>
      <c r="X3" s="661" t="s">
        <v>521</v>
      </c>
      <c r="Y3" s="662"/>
      <c r="Z3" s="290" t="s">
        <v>522</v>
      </c>
      <c r="AA3" s="661" t="s">
        <v>521</v>
      </c>
      <c r="AB3" s="662"/>
      <c r="AC3" s="290" t="s">
        <v>522</v>
      </c>
      <c r="AD3" s="664" t="s">
        <v>521</v>
      </c>
      <c r="AE3" s="665"/>
      <c r="AF3" s="100" t="s">
        <v>522</v>
      </c>
      <c r="AG3" s="661" t="s">
        <v>521</v>
      </c>
      <c r="AH3" s="662"/>
      <c r="AI3" s="290" t="s">
        <v>522</v>
      </c>
      <c r="AJ3" s="100" t="s">
        <v>523</v>
      </c>
      <c r="AK3" s="668" t="s">
        <v>524</v>
      </c>
      <c r="AL3" s="635" t="s">
        <v>755</v>
      </c>
      <c r="AM3" s="670" t="s">
        <v>571</v>
      </c>
      <c r="AN3" s="666"/>
    </row>
    <row r="4" spans="1:41" x14ac:dyDescent="0.3">
      <c r="A4" s="2" t="s">
        <v>1</v>
      </c>
      <c r="B4" s="546" t="s">
        <v>2</v>
      </c>
      <c r="C4" s="546" t="s">
        <v>1502</v>
      </c>
      <c r="D4" s="3" t="s">
        <v>3</v>
      </c>
      <c r="E4" s="161" t="s">
        <v>1499</v>
      </c>
      <c r="F4" s="161" t="s">
        <v>970</v>
      </c>
      <c r="G4" s="2" t="s">
        <v>4</v>
      </c>
      <c r="H4" s="2" t="s">
        <v>5</v>
      </c>
      <c r="I4" s="7" t="s">
        <v>6</v>
      </c>
      <c r="J4" s="69" t="s">
        <v>415</v>
      </c>
      <c r="K4" s="177" t="s">
        <v>525</v>
      </c>
      <c r="L4" s="661">
        <v>2011</v>
      </c>
      <c r="M4" s="662"/>
      <c r="N4" s="100" t="s">
        <v>525</v>
      </c>
      <c r="O4" s="661">
        <v>2012</v>
      </c>
      <c r="P4" s="662"/>
      <c r="Q4" s="290" t="s">
        <v>525</v>
      </c>
      <c r="R4" s="661">
        <v>2013</v>
      </c>
      <c r="S4" s="662"/>
      <c r="T4" s="290" t="s">
        <v>525</v>
      </c>
      <c r="U4" s="661">
        <v>2014</v>
      </c>
      <c r="V4" s="662"/>
      <c r="W4" s="290" t="s">
        <v>525</v>
      </c>
      <c r="X4" s="661">
        <v>2015</v>
      </c>
      <c r="Y4" s="662"/>
      <c r="Z4" s="290" t="s">
        <v>525</v>
      </c>
      <c r="AA4" s="661">
        <v>2016</v>
      </c>
      <c r="AB4" s="662"/>
      <c r="AC4" s="290" t="s">
        <v>525</v>
      </c>
      <c r="AD4" s="661">
        <v>2017</v>
      </c>
      <c r="AE4" s="662"/>
      <c r="AF4" s="100" t="s">
        <v>525</v>
      </c>
      <c r="AG4" s="661">
        <v>2017</v>
      </c>
      <c r="AH4" s="662"/>
      <c r="AI4" s="290" t="s">
        <v>525</v>
      </c>
      <c r="AJ4" s="100" t="s">
        <v>525</v>
      </c>
      <c r="AK4" s="669"/>
      <c r="AL4" s="636"/>
      <c r="AM4" s="671"/>
      <c r="AN4" s="667"/>
    </row>
    <row r="5" spans="1:41" s="119" customFormat="1" x14ac:dyDescent="0.3">
      <c r="A5" s="16">
        <v>1</v>
      </c>
      <c r="B5" s="65" t="s">
        <v>253</v>
      </c>
      <c r="C5" s="495" t="s">
        <v>2099</v>
      </c>
      <c r="D5" s="622" t="s">
        <v>1314</v>
      </c>
      <c r="E5" s="528" t="s">
        <v>2100</v>
      </c>
      <c r="F5" s="528"/>
      <c r="G5" s="497" t="s">
        <v>113</v>
      </c>
      <c r="H5" s="497" t="s">
        <v>112</v>
      </c>
      <c r="I5" s="529" t="s">
        <v>1315</v>
      </c>
      <c r="J5" s="530" t="s">
        <v>469</v>
      </c>
      <c r="K5" s="531">
        <v>10070</v>
      </c>
      <c r="L5" s="531">
        <v>0</v>
      </c>
      <c r="M5" s="531">
        <v>0</v>
      </c>
      <c r="N5" s="576">
        <v>0</v>
      </c>
      <c r="O5" s="532" t="s">
        <v>652</v>
      </c>
      <c r="P5" s="117">
        <f>1520+1250</f>
        <v>2770</v>
      </c>
      <c r="Q5" s="123">
        <f>1520+1250</f>
        <v>2770</v>
      </c>
      <c r="R5" s="117" t="s">
        <v>653</v>
      </c>
      <c r="S5" s="117">
        <f>1250+1250</f>
        <v>2500</v>
      </c>
      <c r="T5" s="123">
        <f>1250+1250</f>
        <v>2500</v>
      </c>
      <c r="U5" s="117" t="s">
        <v>654</v>
      </c>
      <c r="V5" s="117">
        <v>1250</v>
      </c>
      <c r="W5" s="123">
        <v>1250</v>
      </c>
      <c r="X5" s="151" t="s">
        <v>655</v>
      </c>
      <c r="Y5" s="117">
        <v>1200</v>
      </c>
      <c r="Z5" s="123">
        <v>1150</v>
      </c>
      <c r="AA5" s="151" t="s">
        <v>1325</v>
      </c>
      <c r="AB5" s="117">
        <f>1200+1200</f>
        <v>2400</v>
      </c>
      <c r="AC5" s="123">
        <f>1200+1200</f>
        <v>2400</v>
      </c>
      <c r="AD5" s="115"/>
      <c r="AE5" s="115"/>
      <c r="AF5" s="115"/>
      <c r="AG5" s="115"/>
      <c r="AH5" s="123"/>
      <c r="AI5" s="123"/>
      <c r="AJ5" s="115">
        <f>K5-N5-Q5-T5-W5-Z5-AC5-AF5</f>
        <v>0</v>
      </c>
      <c r="AK5" s="116">
        <f>K5-M5-P5-S5-V5-Y5-AB5-AE5</f>
        <v>-50</v>
      </c>
      <c r="AL5" s="115">
        <f>N5+Q5+T5+W5+Z5+AC5+AF5</f>
        <v>10070</v>
      </c>
      <c r="AM5" s="552" t="s">
        <v>570</v>
      </c>
      <c r="AN5" s="151" t="s">
        <v>2769</v>
      </c>
      <c r="AO5" s="119" t="s">
        <v>2874</v>
      </c>
    </row>
    <row r="6" spans="1:41" s="27" customFormat="1" x14ac:dyDescent="0.3">
      <c r="A6" s="16">
        <v>2</v>
      </c>
      <c r="B6" s="59" t="s">
        <v>297</v>
      </c>
      <c r="C6" s="318" t="s">
        <v>2101</v>
      </c>
      <c r="D6" s="623" t="s">
        <v>1293</v>
      </c>
      <c r="E6" s="135" t="s">
        <v>2102</v>
      </c>
      <c r="F6" s="135"/>
      <c r="G6" s="12" t="s">
        <v>113</v>
      </c>
      <c r="H6" s="12" t="s">
        <v>112</v>
      </c>
      <c r="I6" s="40" t="s">
        <v>431</v>
      </c>
      <c r="J6" s="302" t="s">
        <v>428</v>
      </c>
      <c r="K6" s="113">
        <v>24000</v>
      </c>
      <c r="L6" s="113">
        <v>0</v>
      </c>
      <c r="M6" s="113">
        <v>0</v>
      </c>
      <c r="N6" s="577">
        <v>0</v>
      </c>
      <c r="O6" s="75">
        <v>0</v>
      </c>
      <c r="P6" s="75">
        <v>0</v>
      </c>
      <c r="Q6" s="122">
        <v>0</v>
      </c>
      <c r="R6" s="75">
        <v>0</v>
      </c>
      <c r="S6" s="75">
        <v>0</v>
      </c>
      <c r="T6" s="122">
        <v>0</v>
      </c>
      <c r="U6" s="75">
        <v>0</v>
      </c>
      <c r="V6" s="75">
        <v>0</v>
      </c>
      <c r="W6" s="122">
        <v>0</v>
      </c>
      <c r="X6" s="40" t="s">
        <v>1207</v>
      </c>
      <c r="Y6" s="75">
        <v>5720</v>
      </c>
      <c r="Z6" s="122">
        <v>5670</v>
      </c>
      <c r="AA6" s="40" t="s">
        <v>2801</v>
      </c>
      <c r="AB6" s="75">
        <f>2150+1250+1250+1250</f>
        <v>5900</v>
      </c>
      <c r="AC6" s="122">
        <f>2150+1250</f>
        <v>3400</v>
      </c>
      <c r="AD6" s="95"/>
      <c r="AE6" s="95"/>
      <c r="AF6" s="95"/>
      <c r="AG6" s="95"/>
      <c r="AH6" s="122"/>
      <c r="AI6" s="122"/>
      <c r="AJ6" s="115">
        <f t="shared" ref="AJ6:AJ32" si="0">K6-N6-Q6-T6-W6-Z6-AC6-AF6</f>
        <v>14930</v>
      </c>
      <c r="AK6" s="116">
        <f t="shared" ref="AK6:AK32" si="1">K6-M6-P6-S6-V6-Y6-AB6-AE6</f>
        <v>12380</v>
      </c>
      <c r="AL6" s="115">
        <f t="shared" ref="AL6:AL32" si="2">N6+Q6+T6+W6+Z6+AC6+AF6</f>
        <v>9070</v>
      </c>
      <c r="AM6" s="235"/>
      <c r="AN6" s="426">
        <f>K6-Z6</f>
        <v>18330</v>
      </c>
    </row>
    <row r="7" spans="1:41" s="27" customFormat="1" x14ac:dyDescent="0.3">
      <c r="A7" s="16">
        <v>3</v>
      </c>
      <c r="B7" s="26" t="s">
        <v>3039</v>
      </c>
      <c r="C7" s="314" t="s">
        <v>2103</v>
      </c>
      <c r="D7" s="297" t="s">
        <v>1209</v>
      </c>
      <c r="E7" s="134" t="s">
        <v>2104</v>
      </c>
      <c r="F7" s="134"/>
      <c r="G7" s="12" t="s">
        <v>113</v>
      </c>
      <c r="H7" s="12" t="s">
        <v>112</v>
      </c>
      <c r="I7" s="34" t="s">
        <v>114</v>
      </c>
      <c r="J7" s="70" t="s">
        <v>428</v>
      </c>
      <c r="K7" s="77">
        <v>24000</v>
      </c>
      <c r="L7" s="77">
        <v>0</v>
      </c>
      <c r="M7" s="77">
        <v>0</v>
      </c>
      <c r="N7" s="578">
        <v>0</v>
      </c>
      <c r="O7" s="75">
        <v>0</v>
      </c>
      <c r="P7" s="75">
        <v>0</v>
      </c>
      <c r="Q7" s="122">
        <v>0</v>
      </c>
      <c r="R7" s="75">
        <v>0</v>
      </c>
      <c r="S7" s="75">
        <v>0</v>
      </c>
      <c r="T7" s="122">
        <v>0</v>
      </c>
      <c r="U7" s="75" t="s">
        <v>580</v>
      </c>
      <c r="V7" s="75">
        <v>5920</v>
      </c>
      <c r="W7" s="122">
        <v>5920</v>
      </c>
      <c r="X7" s="75">
        <v>0</v>
      </c>
      <c r="Y7" s="75">
        <v>0</v>
      </c>
      <c r="Z7" s="122">
        <v>0</v>
      </c>
      <c r="AA7" s="40" t="s">
        <v>2872</v>
      </c>
      <c r="AB7" s="75">
        <f>2350+1450+1450+1450</f>
        <v>6700</v>
      </c>
      <c r="AC7" s="122">
        <f>2350+1450+1450</f>
        <v>5250</v>
      </c>
      <c r="AD7" s="95"/>
      <c r="AE7" s="95"/>
      <c r="AF7" s="95"/>
      <c r="AG7" s="95"/>
      <c r="AH7" s="122"/>
      <c r="AI7" s="122"/>
      <c r="AJ7" s="115">
        <f t="shared" si="0"/>
        <v>12830</v>
      </c>
      <c r="AK7" s="116">
        <f t="shared" si="1"/>
        <v>11380</v>
      </c>
      <c r="AL7" s="115">
        <f t="shared" si="2"/>
        <v>11170</v>
      </c>
      <c r="AM7" s="300" t="s">
        <v>1047</v>
      </c>
      <c r="AN7" s="426">
        <f>K7-W7-AB7</f>
        <v>11380</v>
      </c>
    </row>
    <row r="8" spans="1:41" s="27" customFormat="1" x14ac:dyDescent="0.3">
      <c r="A8" s="16">
        <v>4</v>
      </c>
      <c r="B8" s="40" t="s">
        <v>351</v>
      </c>
      <c r="C8" s="12" t="s">
        <v>2175</v>
      </c>
      <c r="D8" s="124" t="s">
        <v>1118</v>
      </c>
      <c r="E8" s="129" t="s">
        <v>2176</v>
      </c>
      <c r="F8" s="129"/>
      <c r="G8" s="12" t="s">
        <v>113</v>
      </c>
      <c r="H8" s="12" t="s">
        <v>112</v>
      </c>
      <c r="I8" s="40" t="s">
        <v>1313</v>
      </c>
      <c r="J8" s="302" t="s">
        <v>428</v>
      </c>
      <c r="K8" s="301">
        <v>24000</v>
      </c>
      <c r="L8" s="301">
        <v>0</v>
      </c>
      <c r="M8" s="301">
        <v>0</v>
      </c>
      <c r="N8" s="579">
        <v>0</v>
      </c>
      <c r="O8" s="75">
        <v>0</v>
      </c>
      <c r="P8" s="75">
        <v>0</v>
      </c>
      <c r="Q8" s="122">
        <v>0</v>
      </c>
      <c r="R8" s="75">
        <v>0</v>
      </c>
      <c r="S8" s="75">
        <v>0</v>
      </c>
      <c r="T8" s="122">
        <v>0</v>
      </c>
      <c r="U8" s="75">
        <v>0</v>
      </c>
      <c r="V8" s="75">
        <v>0</v>
      </c>
      <c r="W8" s="122">
        <v>0</v>
      </c>
      <c r="X8" s="40" t="s">
        <v>619</v>
      </c>
      <c r="Y8" s="75">
        <v>5670</v>
      </c>
      <c r="Z8" s="122">
        <v>5620</v>
      </c>
      <c r="AA8" s="40" t="s">
        <v>2873</v>
      </c>
      <c r="AB8" s="75">
        <f>2150+1250+1250</f>
        <v>4650</v>
      </c>
      <c r="AC8" s="122">
        <v>2150</v>
      </c>
      <c r="AD8" s="95"/>
      <c r="AE8" s="95"/>
      <c r="AF8" s="95"/>
      <c r="AG8" s="95"/>
      <c r="AH8" s="122"/>
      <c r="AI8" s="122"/>
      <c r="AJ8" s="115">
        <f t="shared" si="0"/>
        <v>16230</v>
      </c>
      <c r="AK8" s="116">
        <f t="shared" si="1"/>
        <v>13680</v>
      </c>
      <c r="AL8" s="115">
        <f t="shared" si="2"/>
        <v>7770</v>
      </c>
      <c r="AM8" s="235"/>
      <c r="AN8" s="426">
        <f>K8-Z8-AB8</f>
        <v>13730</v>
      </c>
      <c r="AO8" s="119" t="s">
        <v>2874</v>
      </c>
    </row>
    <row r="9" spans="1:41" s="27" customFormat="1" x14ac:dyDescent="0.3">
      <c r="A9" s="16">
        <v>5</v>
      </c>
      <c r="B9" s="40" t="s">
        <v>719</v>
      </c>
      <c r="C9" s="12" t="s">
        <v>2212</v>
      </c>
      <c r="D9" s="299" t="s">
        <v>721</v>
      </c>
      <c r="E9" s="131" t="s">
        <v>2213</v>
      </c>
      <c r="F9" s="131" t="s">
        <v>641</v>
      </c>
      <c r="G9" s="12" t="s">
        <v>7</v>
      </c>
      <c r="H9" s="12" t="s">
        <v>112</v>
      </c>
      <c r="I9" s="40" t="s">
        <v>350</v>
      </c>
      <c r="J9" s="86" t="s">
        <v>720</v>
      </c>
      <c r="K9" s="301">
        <v>4950</v>
      </c>
      <c r="L9" s="301">
        <v>0</v>
      </c>
      <c r="M9" s="301">
        <v>0</v>
      </c>
      <c r="N9" s="579">
        <v>0</v>
      </c>
      <c r="O9" s="75">
        <v>0</v>
      </c>
      <c r="P9" s="75">
        <v>0</v>
      </c>
      <c r="Q9" s="122">
        <v>0</v>
      </c>
      <c r="R9" s="75">
        <v>0</v>
      </c>
      <c r="S9" s="75">
        <v>0</v>
      </c>
      <c r="T9" s="122">
        <v>0</v>
      </c>
      <c r="U9" s="75">
        <v>0</v>
      </c>
      <c r="V9" s="75">
        <v>0</v>
      </c>
      <c r="W9" s="122">
        <v>0</v>
      </c>
      <c r="X9" s="40" t="s">
        <v>1198</v>
      </c>
      <c r="Y9" s="75">
        <f>1650+1650</f>
        <v>3300</v>
      </c>
      <c r="Z9" s="122">
        <f>1650+1650</f>
        <v>3300</v>
      </c>
      <c r="AA9" s="40"/>
      <c r="AB9" s="75"/>
      <c r="AC9" s="122"/>
      <c r="AD9" s="95"/>
      <c r="AE9" s="95"/>
      <c r="AF9" s="95"/>
      <c r="AG9" s="95"/>
      <c r="AH9" s="122"/>
      <c r="AI9" s="122"/>
      <c r="AJ9" s="115">
        <f t="shared" si="0"/>
        <v>1650</v>
      </c>
      <c r="AK9" s="116">
        <f t="shared" si="1"/>
        <v>1650</v>
      </c>
      <c r="AL9" s="115">
        <f t="shared" si="2"/>
        <v>3300</v>
      </c>
      <c r="AM9" s="235"/>
      <c r="AN9" s="426">
        <f>K9-Y9</f>
        <v>1650</v>
      </c>
    </row>
    <row r="10" spans="1:41" s="27" customFormat="1" x14ac:dyDescent="0.3">
      <c r="A10" s="16">
        <v>6</v>
      </c>
      <c r="B10" s="40" t="s">
        <v>601</v>
      </c>
      <c r="C10" s="12" t="s">
        <v>2205</v>
      </c>
      <c r="D10" s="299" t="s">
        <v>1055</v>
      </c>
      <c r="E10" s="131" t="s">
        <v>2206</v>
      </c>
      <c r="F10" s="131"/>
      <c r="G10" s="12" t="s">
        <v>113</v>
      </c>
      <c r="H10" s="12" t="s">
        <v>112</v>
      </c>
      <c r="I10" s="40" t="s">
        <v>487</v>
      </c>
      <c r="J10" s="86" t="s">
        <v>497</v>
      </c>
      <c r="K10" s="301">
        <v>24000</v>
      </c>
      <c r="L10" s="301">
        <v>0</v>
      </c>
      <c r="M10" s="301">
        <v>0</v>
      </c>
      <c r="N10" s="579">
        <v>0</v>
      </c>
      <c r="O10" s="75">
        <v>0</v>
      </c>
      <c r="P10" s="75">
        <v>0</v>
      </c>
      <c r="Q10" s="122">
        <v>0</v>
      </c>
      <c r="R10" s="75">
        <v>0</v>
      </c>
      <c r="S10" s="75">
        <v>0</v>
      </c>
      <c r="T10" s="122">
        <v>0</v>
      </c>
      <c r="U10" s="75">
        <v>0</v>
      </c>
      <c r="V10" s="75">
        <v>0</v>
      </c>
      <c r="W10" s="122">
        <v>0</v>
      </c>
      <c r="X10" s="40" t="s">
        <v>630</v>
      </c>
      <c r="Y10" s="75">
        <v>5670</v>
      </c>
      <c r="Z10" s="122">
        <v>5670</v>
      </c>
      <c r="AA10" s="40" t="s">
        <v>2875</v>
      </c>
      <c r="AB10" s="75">
        <f>2150+1250+1250</f>
        <v>4650</v>
      </c>
      <c r="AC10" s="122">
        <v>2150</v>
      </c>
      <c r="AD10" s="95"/>
      <c r="AE10" s="95"/>
      <c r="AF10" s="95"/>
      <c r="AG10" s="95"/>
      <c r="AH10" s="122"/>
      <c r="AI10" s="122"/>
      <c r="AJ10" s="115">
        <f t="shared" si="0"/>
        <v>16180</v>
      </c>
      <c r="AK10" s="116">
        <f t="shared" si="1"/>
        <v>13680</v>
      </c>
      <c r="AL10" s="115">
        <f t="shared" si="2"/>
        <v>7820</v>
      </c>
      <c r="AM10" s="235"/>
      <c r="AN10" s="426">
        <f>K10-Z10-AB10</f>
        <v>13680</v>
      </c>
    </row>
    <row r="11" spans="1:41" s="27" customFormat="1" x14ac:dyDescent="0.3">
      <c r="A11" s="16">
        <v>7</v>
      </c>
      <c r="B11" s="40" t="s">
        <v>382</v>
      </c>
      <c r="C11" s="12" t="s">
        <v>2177</v>
      </c>
      <c r="D11" s="124" t="s">
        <v>383</v>
      </c>
      <c r="E11" s="129" t="s">
        <v>2178</v>
      </c>
      <c r="F11" s="129"/>
      <c r="G11" s="12" t="s">
        <v>113</v>
      </c>
      <c r="H11" s="12" t="s">
        <v>384</v>
      </c>
      <c r="I11" s="86" t="s">
        <v>385</v>
      </c>
      <c r="J11" s="302" t="s">
        <v>354</v>
      </c>
      <c r="K11" s="301">
        <v>24000</v>
      </c>
      <c r="L11" s="301">
        <v>0</v>
      </c>
      <c r="M11" s="301">
        <v>0</v>
      </c>
      <c r="N11" s="579">
        <v>0</v>
      </c>
      <c r="O11" s="75">
        <v>0</v>
      </c>
      <c r="P11" s="75">
        <v>0</v>
      </c>
      <c r="Q11" s="122">
        <v>0</v>
      </c>
      <c r="R11" s="75">
        <v>0</v>
      </c>
      <c r="S11" s="75">
        <v>0</v>
      </c>
      <c r="T11" s="122">
        <v>0</v>
      </c>
      <c r="U11" s="75">
        <v>0</v>
      </c>
      <c r="V11" s="75">
        <v>0</v>
      </c>
      <c r="W11" s="122">
        <v>0</v>
      </c>
      <c r="X11" s="40" t="s">
        <v>1437</v>
      </c>
      <c r="Y11" s="75">
        <f>2150+1250+1250</f>
        <v>4650</v>
      </c>
      <c r="Z11" s="122"/>
      <c r="AA11" s="40" t="s">
        <v>2876</v>
      </c>
      <c r="AB11" s="75">
        <f>1250+1250</f>
        <v>2500</v>
      </c>
      <c r="AC11" s="122"/>
      <c r="AD11" s="95"/>
      <c r="AE11" s="95"/>
      <c r="AF11" s="95"/>
      <c r="AG11" s="95"/>
      <c r="AH11" s="122"/>
      <c r="AI11" s="122"/>
      <c r="AJ11" s="115">
        <f t="shared" si="0"/>
        <v>24000</v>
      </c>
      <c r="AK11" s="116">
        <f t="shared" si="1"/>
        <v>16850</v>
      </c>
      <c r="AL11" s="115">
        <f t="shared" si="2"/>
        <v>0</v>
      </c>
      <c r="AM11" s="235"/>
      <c r="AN11" s="426">
        <f>K11-Y11</f>
        <v>19350</v>
      </c>
    </row>
    <row r="12" spans="1:41" s="27" customFormat="1" x14ac:dyDescent="0.3">
      <c r="A12" s="16">
        <v>8</v>
      </c>
      <c r="B12" s="40" t="s">
        <v>388</v>
      </c>
      <c r="C12" s="315" t="s">
        <v>2179</v>
      </c>
      <c r="D12" s="297" t="s">
        <v>1076</v>
      </c>
      <c r="E12" s="134" t="s">
        <v>2180</v>
      </c>
      <c r="F12" s="134"/>
      <c r="G12" s="12" t="s">
        <v>113</v>
      </c>
      <c r="H12" s="12" t="s">
        <v>112</v>
      </c>
      <c r="I12" s="40" t="s">
        <v>389</v>
      </c>
      <c r="J12" s="302" t="s">
        <v>656</v>
      </c>
      <c r="K12" s="301">
        <v>24000</v>
      </c>
      <c r="L12" s="301">
        <v>0</v>
      </c>
      <c r="M12" s="301">
        <v>0</v>
      </c>
      <c r="N12" s="579">
        <v>0</v>
      </c>
      <c r="O12" s="75">
        <v>0</v>
      </c>
      <c r="P12" s="75">
        <v>0</v>
      </c>
      <c r="Q12" s="122">
        <v>0</v>
      </c>
      <c r="R12" s="75">
        <v>0</v>
      </c>
      <c r="S12" s="75">
        <v>0</v>
      </c>
      <c r="T12" s="122">
        <v>0</v>
      </c>
      <c r="U12" s="75">
        <v>0</v>
      </c>
      <c r="V12" s="75">
        <v>0</v>
      </c>
      <c r="W12" s="122">
        <v>0</v>
      </c>
      <c r="X12" s="40" t="s">
        <v>1208</v>
      </c>
      <c r="Y12" s="75">
        <f>3300+1650</f>
        <v>4950</v>
      </c>
      <c r="Z12" s="122">
        <v>3300</v>
      </c>
      <c r="AA12" s="40" t="s">
        <v>1317</v>
      </c>
      <c r="AB12" s="75">
        <v>3920</v>
      </c>
      <c r="AC12" s="122">
        <v>3920</v>
      </c>
      <c r="AD12" s="95"/>
      <c r="AE12" s="95"/>
      <c r="AF12" s="95"/>
      <c r="AG12" s="95"/>
      <c r="AH12" s="122"/>
      <c r="AI12" s="122"/>
      <c r="AJ12" s="115">
        <f t="shared" si="0"/>
        <v>16780</v>
      </c>
      <c r="AK12" s="116">
        <f t="shared" si="1"/>
        <v>15130</v>
      </c>
      <c r="AL12" s="115">
        <f t="shared" si="2"/>
        <v>7220</v>
      </c>
      <c r="AM12" s="235"/>
      <c r="AN12" s="426">
        <f>K12-Y12-AB12</f>
        <v>15130</v>
      </c>
    </row>
    <row r="13" spans="1:41" x14ac:dyDescent="0.3">
      <c r="A13" s="16">
        <v>9</v>
      </c>
      <c r="B13" s="26" t="s">
        <v>255</v>
      </c>
      <c r="C13" s="314" t="s">
        <v>2105</v>
      </c>
      <c r="D13" s="297" t="s">
        <v>427</v>
      </c>
      <c r="E13" s="134" t="s">
        <v>2106</v>
      </c>
      <c r="F13" s="134"/>
      <c r="G13" s="12" t="s">
        <v>113</v>
      </c>
      <c r="H13" s="12" t="s">
        <v>112</v>
      </c>
      <c r="I13" s="35" t="s">
        <v>117</v>
      </c>
      <c r="J13" s="71" t="s">
        <v>428</v>
      </c>
      <c r="K13" s="77">
        <v>24000</v>
      </c>
      <c r="L13" s="77">
        <v>0</v>
      </c>
      <c r="M13" s="77">
        <v>0</v>
      </c>
      <c r="N13" s="578">
        <v>0</v>
      </c>
      <c r="O13" s="89">
        <v>0</v>
      </c>
      <c r="P13" s="89">
        <v>0</v>
      </c>
      <c r="Q13" s="121">
        <v>0</v>
      </c>
      <c r="R13" s="89">
        <v>0</v>
      </c>
      <c r="S13" s="89">
        <v>0</v>
      </c>
      <c r="T13" s="121">
        <v>0</v>
      </c>
      <c r="U13" s="89">
        <v>0</v>
      </c>
      <c r="V13" s="89">
        <v>0</v>
      </c>
      <c r="W13" s="121">
        <v>0</v>
      </c>
      <c r="X13" s="83" t="s">
        <v>1434</v>
      </c>
      <c r="Y13" s="89">
        <f>5720+2200+1250+1250</f>
        <v>10420</v>
      </c>
      <c r="Z13" s="121">
        <f>5670+2150</f>
        <v>7820</v>
      </c>
      <c r="AA13" s="83" t="s">
        <v>2877</v>
      </c>
      <c r="AB13" s="89">
        <f>1250+1250</f>
        <v>2500</v>
      </c>
      <c r="AC13" s="121"/>
      <c r="AD13" s="94"/>
      <c r="AE13" s="94"/>
      <c r="AF13" s="94"/>
      <c r="AG13" s="94"/>
      <c r="AH13" s="121"/>
      <c r="AI13" s="121"/>
      <c r="AJ13" s="115">
        <f t="shared" si="0"/>
        <v>16180</v>
      </c>
      <c r="AK13" s="116">
        <f t="shared" si="1"/>
        <v>11080</v>
      </c>
      <c r="AL13" s="115">
        <f t="shared" si="2"/>
        <v>7820</v>
      </c>
      <c r="AM13" s="235"/>
      <c r="AN13" s="427">
        <f>K13-Y13</f>
        <v>13580</v>
      </c>
    </row>
    <row r="14" spans="1:41" s="27" customFormat="1" x14ac:dyDescent="0.3">
      <c r="A14" s="16">
        <v>10</v>
      </c>
      <c r="B14" s="40" t="s">
        <v>605</v>
      </c>
      <c r="C14" s="12" t="s">
        <v>2207</v>
      </c>
      <c r="D14" s="299" t="s">
        <v>1054</v>
      </c>
      <c r="E14" s="131" t="s">
        <v>2398</v>
      </c>
      <c r="F14" s="131"/>
      <c r="G14" s="12" t="s">
        <v>113</v>
      </c>
      <c r="H14" s="12" t="s">
        <v>112</v>
      </c>
      <c r="I14" s="40" t="s">
        <v>606</v>
      </c>
      <c r="J14" s="86" t="s">
        <v>607</v>
      </c>
      <c r="K14" s="301">
        <v>24000</v>
      </c>
      <c r="L14" s="301">
        <v>0</v>
      </c>
      <c r="M14" s="301">
        <v>0</v>
      </c>
      <c r="N14" s="579">
        <v>0</v>
      </c>
      <c r="O14" s="75">
        <v>0</v>
      </c>
      <c r="P14" s="75">
        <v>0</v>
      </c>
      <c r="Q14" s="122">
        <v>0</v>
      </c>
      <c r="R14" s="75">
        <v>0</v>
      </c>
      <c r="S14" s="75">
        <v>0</v>
      </c>
      <c r="T14" s="122">
        <v>0</v>
      </c>
      <c r="U14" s="75">
        <v>0</v>
      </c>
      <c r="V14" s="75">
        <v>0</v>
      </c>
      <c r="W14" s="122">
        <v>0</v>
      </c>
      <c r="X14" s="40" t="s">
        <v>631</v>
      </c>
      <c r="Y14" s="75">
        <v>5270</v>
      </c>
      <c r="Z14" s="122">
        <v>5270</v>
      </c>
      <c r="AA14" s="40" t="s">
        <v>2878</v>
      </c>
      <c r="AB14" s="75">
        <f>1750+850</f>
        <v>2600</v>
      </c>
      <c r="AC14" s="122"/>
      <c r="AD14" s="95"/>
      <c r="AE14" s="95"/>
      <c r="AF14" s="95"/>
      <c r="AG14" s="95"/>
      <c r="AH14" s="122"/>
      <c r="AI14" s="122"/>
      <c r="AJ14" s="115">
        <f t="shared" si="0"/>
        <v>18730</v>
      </c>
      <c r="AK14" s="116">
        <f t="shared" si="1"/>
        <v>16130</v>
      </c>
      <c r="AL14" s="115">
        <f t="shared" si="2"/>
        <v>5270</v>
      </c>
      <c r="AM14" s="235"/>
      <c r="AN14" s="426">
        <f>K14-Z14</f>
        <v>18730</v>
      </c>
    </row>
    <row r="15" spans="1:41" s="27" customFormat="1" x14ac:dyDescent="0.3">
      <c r="A15" s="16">
        <v>11</v>
      </c>
      <c r="B15" s="26" t="s">
        <v>468</v>
      </c>
      <c r="C15" s="132" t="s">
        <v>2107</v>
      </c>
      <c r="D15" s="624" t="s">
        <v>1254</v>
      </c>
      <c r="E15" s="132" t="s">
        <v>2108</v>
      </c>
      <c r="F15" s="132"/>
      <c r="G15" s="11" t="s">
        <v>7</v>
      </c>
      <c r="H15" s="11" t="s">
        <v>112</v>
      </c>
      <c r="I15" s="44" t="s">
        <v>115</v>
      </c>
      <c r="J15" s="72" t="s">
        <v>469</v>
      </c>
      <c r="K15" s="113">
        <v>7620</v>
      </c>
      <c r="L15" s="113">
        <v>0</v>
      </c>
      <c r="M15" s="113">
        <v>0</v>
      </c>
      <c r="N15" s="577">
        <v>0</v>
      </c>
      <c r="O15" s="75">
        <v>0</v>
      </c>
      <c r="P15" s="75">
        <v>0</v>
      </c>
      <c r="Q15" s="122">
        <v>0</v>
      </c>
      <c r="R15" s="75" t="s">
        <v>1255</v>
      </c>
      <c r="S15" s="75">
        <f>1520+1250</f>
        <v>2770</v>
      </c>
      <c r="T15" s="122">
        <f>1520+1250</f>
        <v>2770</v>
      </c>
      <c r="U15" s="75" t="s">
        <v>1256</v>
      </c>
      <c r="V15" s="75">
        <v>1250</v>
      </c>
      <c r="W15" s="122">
        <v>1250</v>
      </c>
      <c r="X15" s="93">
        <v>0</v>
      </c>
      <c r="Y15" s="75">
        <v>0</v>
      </c>
      <c r="Z15" s="122">
        <v>0</v>
      </c>
      <c r="AA15" s="40" t="s">
        <v>1257</v>
      </c>
      <c r="AB15" s="75">
        <f>1200+1200+1200</f>
        <v>3600</v>
      </c>
      <c r="AC15" s="122">
        <f>1200+1200+1200</f>
        <v>3600</v>
      </c>
      <c r="AD15" s="95"/>
      <c r="AE15" s="95"/>
      <c r="AF15" s="95"/>
      <c r="AG15" s="95"/>
      <c r="AH15" s="122"/>
      <c r="AI15" s="122"/>
      <c r="AJ15" s="95">
        <f t="shared" si="0"/>
        <v>0</v>
      </c>
      <c r="AK15" s="93">
        <f t="shared" si="1"/>
        <v>0</v>
      </c>
      <c r="AL15" s="95">
        <f t="shared" si="2"/>
        <v>7620</v>
      </c>
      <c r="AM15" s="235" t="s">
        <v>570</v>
      </c>
      <c r="AN15" s="426">
        <f>K15-T15-W15-AB15</f>
        <v>0</v>
      </c>
    </row>
    <row r="16" spans="1:41" s="27" customFormat="1" x14ac:dyDescent="0.3">
      <c r="A16" s="16">
        <v>12</v>
      </c>
      <c r="B16" s="26" t="s">
        <v>257</v>
      </c>
      <c r="C16" s="314" t="s">
        <v>2109</v>
      </c>
      <c r="D16" s="623" t="s">
        <v>1305</v>
      </c>
      <c r="E16" s="135" t="s">
        <v>2110</v>
      </c>
      <c r="F16" s="135"/>
      <c r="G16" s="12" t="s">
        <v>113</v>
      </c>
      <c r="H16" s="12" t="s">
        <v>112</v>
      </c>
      <c r="I16" s="34" t="s">
        <v>116</v>
      </c>
      <c r="J16" s="70" t="s">
        <v>497</v>
      </c>
      <c r="K16" s="77">
        <v>24000</v>
      </c>
      <c r="L16" s="77">
        <v>0</v>
      </c>
      <c r="M16" s="77">
        <v>0</v>
      </c>
      <c r="N16" s="578">
        <v>0</v>
      </c>
      <c r="O16" s="75">
        <v>0</v>
      </c>
      <c r="P16" s="75">
        <v>0</v>
      </c>
      <c r="Q16" s="122">
        <v>0</v>
      </c>
      <c r="R16" s="75">
        <v>0</v>
      </c>
      <c r="S16" s="75">
        <v>0</v>
      </c>
      <c r="T16" s="122">
        <v>0</v>
      </c>
      <c r="U16" s="75" t="s">
        <v>1306</v>
      </c>
      <c r="V16" s="75">
        <v>2200</v>
      </c>
      <c r="W16" s="122">
        <v>2200</v>
      </c>
      <c r="X16" s="93">
        <v>0</v>
      </c>
      <c r="Y16" s="75">
        <v>0</v>
      </c>
      <c r="Z16" s="122">
        <v>0</v>
      </c>
      <c r="AA16" s="40" t="s">
        <v>2879</v>
      </c>
      <c r="AB16" s="75">
        <f>1250+1250+1250+1250</f>
        <v>5000</v>
      </c>
      <c r="AC16" s="122">
        <f>1250+1250+1250</f>
        <v>3750</v>
      </c>
      <c r="AD16" s="95"/>
      <c r="AE16" s="95"/>
      <c r="AF16" s="95"/>
      <c r="AG16" s="95"/>
      <c r="AH16" s="122"/>
      <c r="AI16" s="122"/>
      <c r="AJ16" s="115">
        <f t="shared" si="0"/>
        <v>18050</v>
      </c>
      <c r="AK16" s="116">
        <f t="shared" si="1"/>
        <v>16800</v>
      </c>
      <c r="AL16" s="115">
        <f t="shared" si="2"/>
        <v>5950</v>
      </c>
      <c r="AM16" s="235"/>
      <c r="AN16" s="426">
        <f>K16-W16-AB16</f>
        <v>16800</v>
      </c>
    </row>
    <row r="17" spans="1:41" s="119" customFormat="1" ht="17.25" customHeight="1" x14ac:dyDescent="0.3">
      <c r="A17" s="16">
        <v>13</v>
      </c>
      <c r="B17" s="65" t="s">
        <v>258</v>
      </c>
      <c r="C17" s="495" t="s">
        <v>2111</v>
      </c>
      <c r="D17" s="622" t="s">
        <v>2728</v>
      </c>
      <c r="E17" s="528" t="s">
        <v>2112</v>
      </c>
      <c r="F17" s="528"/>
      <c r="G17" s="497" t="s">
        <v>7</v>
      </c>
      <c r="H17" s="497" t="s">
        <v>112</v>
      </c>
      <c r="I17" s="515" t="s">
        <v>314</v>
      </c>
      <c r="J17" s="554"/>
      <c r="K17" s="531">
        <v>4020</v>
      </c>
      <c r="L17" s="531"/>
      <c r="M17" s="531"/>
      <c r="N17" s="576"/>
      <c r="O17" s="117"/>
      <c r="P17" s="117"/>
      <c r="Q17" s="123"/>
      <c r="R17" s="117" t="s">
        <v>1446</v>
      </c>
      <c r="S17" s="117">
        <f>1520+1250+1250</f>
        <v>4020</v>
      </c>
      <c r="T17" s="123">
        <f>1520+1250+1250</f>
        <v>4020</v>
      </c>
      <c r="U17" s="117"/>
      <c r="V17" s="117"/>
      <c r="W17" s="123"/>
      <c r="X17" s="116"/>
      <c r="Y17" s="117"/>
      <c r="Z17" s="123"/>
      <c r="AA17" s="151"/>
      <c r="AB17" s="117"/>
      <c r="AC17" s="123"/>
      <c r="AD17" s="115"/>
      <c r="AE17" s="115"/>
      <c r="AF17" s="115"/>
      <c r="AG17" s="115"/>
      <c r="AH17" s="123"/>
      <c r="AI17" s="123"/>
      <c r="AJ17" s="115">
        <f t="shared" si="0"/>
        <v>0</v>
      </c>
      <c r="AK17" s="116">
        <f t="shared" si="1"/>
        <v>0</v>
      </c>
      <c r="AL17" s="115">
        <f t="shared" si="2"/>
        <v>4020</v>
      </c>
      <c r="AM17" s="236" t="s">
        <v>570</v>
      </c>
      <c r="AN17" s="553">
        <f>K17-T17</f>
        <v>0</v>
      </c>
    </row>
    <row r="18" spans="1:41" s="27" customFormat="1" x14ac:dyDescent="0.3">
      <c r="A18" s="16">
        <v>14</v>
      </c>
      <c r="B18" s="40" t="s">
        <v>392</v>
      </c>
      <c r="C18" s="315" t="s">
        <v>2181</v>
      </c>
      <c r="D18" s="297" t="s">
        <v>1318</v>
      </c>
      <c r="E18" s="134" t="s">
        <v>2182</v>
      </c>
      <c r="F18" s="134"/>
      <c r="G18" s="12" t="s">
        <v>113</v>
      </c>
      <c r="H18" s="12" t="s">
        <v>112</v>
      </c>
      <c r="I18" s="40" t="s">
        <v>389</v>
      </c>
      <c r="J18" s="302" t="s">
        <v>657</v>
      </c>
      <c r="K18" s="301">
        <v>24000</v>
      </c>
      <c r="L18" s="301">
        <v>0</v>
      </c>
      <c r="M18" s="301">
        <v>0</v>
      </c>
      <c r="N18" s="579">
        <v>0</v>
      </c>
      <c r="O18" s="75">
        <v>0</v>
      </c>
      <c r="P18" s="75">
        <v>0</v>
      </c>
      <c r="Q18" s="122">
        <v>0</v>
      </c>
      <c r="R18" s="75">
        <v>0</v>
      </c>
      <c r="S18" s="75">
        <v>0</v>
      </c>
      <c r="T18" s="122">
        <v>0</v>
      </c>
      <c r="U18" s="75">
        <v>0</v>
      </c>
      <c r="V18" s="75">
        <v>0</v>
      </c>
      <c r="W18" s="122">
        <v>0</v>
      </c>
      <c r="X18" s="40" t="s">
        <v>658</v>
      </c>
      <c r="Y18" s="75">
        <v>3300</v>
      </c>
      <c r="Z18" s="122">
        <v>3300</v>
      </c>
      <c r="AA18" s="40" t="s">
        <v>1324</v>
      </c>
      <c r="AB18" s="75">
        <f>1650+3920</f>
        <v>5570</v>
      </c>
      <c r="AC18" s="122"/>
      <c r="AD18" s="95"/>
      <c r="AE18" s="95"/>
      <c r="AF18" s="95"/>
      <c r="AG18" s="95"/>
      <c r="AH18" s="122"/>
      <c r="AI18" s="122"/>
      <c r="AJ18" s="115">
        <f t="shared" si="0"/>
        <v>20700</v>
      </c>
      <c r="AK18" s="116">
        <f t="shared" si="1"/>
        <v>15130</v>
      </c>
      <c r="AL18" s="115">
        <f t="shared" si="2"/>
        <v>3300</v>
      </c>
      <c r="AM18" s="235"/>
      <c r="AN18" s="426">
        <f>K18-Z18-AB18</f>
        <v>15130</v>
      </c>
    </row>
    <row r="19" spans="1:41" s="27" customFormat="1" x14ac:dyDescent="0.3">
      <c r="A19" s="16">
        <v>15</v>
      </c>
      <c r="B19" s="26" t="s">
        <v>1249</v>
      </c>
      <c r="C19" s="314" t="s">
        <v>2113</v>
      </c>
      <c r="D19" s="624" t="s">
        <v>1250</v>
      </c>
      <c r="E19" s="132" t="s">
        <v>2114</v>
      </c>
      <c r="F19" s="132" t="s">
        <v>640</v>
      </c>
      <c r="G19" s="11" t="s">
        <v>113</v>
      </c>
      <c r="H19" s="11" t="s">
        <v>112</v>
      </c>
      <c r="I19" s="42" t="s">
        <v>115</v>
      </c>
      <c r="J19" s="72" t="s">
        <v>469</v>
      </c>
      <c r="K19" s="113">
        <v>7620</v>
      </c>
      <c r="L19" s="113">
        <v>0</v>
      </c>
      <c r="M19" s="113">
        <v>0</v>
      </c>
      <c r="N19" s="577">
        <v>0</v>
      </c>
      <c r="O19" s="75">
        <v>0</v>
      </c>
      <c r="P19" s="75">
        <v>0</v>
      </c>
      <c r="Q19" s="122">
        <v>0</v>
      </c>
      <c r="R19" s="75" t="s">
        <v>1251</v>
      </c>
      <c r="S19" s="75">
        <f>1520+1250</f>
        <v>2770</v>
      </c>
      <c r="T19" s="122">
        <f>1520+1250</f>
        <v>2770</v>
      </c>
      <c r="U19" s="75" t="s">
        <v>1252</v>
      </c>
      <c r="V19" s="75">
        <v>1250</v>
      </c>
      <c r="W19" s="122">
        <v>1250</v>
      </c>
      <c r="X19" s="93">
        <v>0</v>
      </c>
      <c r="Y19" s="75">
        <v>0</v>
      </c>
      <c r="Z19" s="122">
        <v>0</v>
      </c>
      <c r="AA19" s="40" t="s">
        <v>1253</v>
      </c>
      <c r="AB19" s="75">
        <f>1200+1200+1200</f>
        <v>3600</v>
      </c>
      <c r="AC19" s="122"/>
      <c r="AD19" s="95"/>
      <c r="AE19" s="95"/>
      <c r="AF19" s="95"/>
      <c r="AG19" s="95"/>
      <c r="AH19" s="122"/>
      <c r="AI19" s="122"/>
      <c r="AJ19" s="115">
        <f t="shared" si="0"/>
        <v>3600</v>
      </c>
      <c r="AK19" s="116">
        <f t="shared" si="1"/>
        <v>0</v>
      </c>
      <c r="AL19" s="115">
        <f t="shared" si="2"/>
        <v>4020</v>
      </c>
      <c r="AM19" s="235"/>
      <c r="AN19" s="426">
        <f>K19-T19-W19-AB19</f>
        <v>0</v>
      </c>
    </row>
    <row r="20" spans="1:41" x14ac:dyDescent="0.3">
      <c r="A20" s="16">
        <v>16</v>
      </c>
      <c r="B20" s="30" t="s">
        <v>260</v>
      </c>
      <c r="C20" s="327" t="s">
        <v>2115</v>
      </c>
      <c r="D20" s="625" t="s">
        <v>2729</v>
      </c>
      <c r="E20" s="133" t="s">
        <v>2116</v>
      </c>
      <c r="F20" s="133"/>
      <c r="G20" s="31" t="s">
        <v>113</v>
      </c>
      <c r="H20" s="31" t="s">
        <v>112</v>
      </c>
      <c r="I20" s="32" t="s">
        <v>117</v>
      </c>
      <c r="J20" s="73"/>
      <c r="K20" s="77">
        <v>24000</v>
      </c>
      <c r="L20" s="77">
        <v>0</v>
      </c>
      <c r="M20" s="77">
        <v>0</v>
      </c>
      <c r="N20" s="578">
        <v>0</v>
      </c>
      <c r="O20" s="89">
        <v>0</v>
      </c>
      <c r="P20" s="89">
        <v>0</v>
      </c>
      <c r="Q20" s="121">
        <v>0</v>
      </c>
      <c r="R20" s="89">
        <v>0</v>
      </c>
      <c r="S20" s="89">
        <v>0</v>
      </c>
      <c r="T20" s="121">
        <v>0</v>
      </c>
      <c r="U20" s="89" t="s">
        <v>1447</v>
      </c>
      <c r="V20" s="89">
        <v>5920</v>
      </c>
      <c r="W20" s="121">
        <v>5920</v>
      </c>
      <c r="X20" s="92"/>
      <c r="Y20" s="89"/>
      <c r="Z20" s="121"/>
      <c r="AA20" s="83"/>
      <c r="AB20" s="89"/>
      <c r="AC20" s="121"/>
      <c r="AD20" s="94"/>
      <c r="AE20" s="94"/>
      <c r="AF20" s="94"/>
      <c r="AG20" s="94"/>
      <c r="AH20" s="121"/>
      <c r="AI20" s="121"/>
      <c r="AJ20" s="115">
        <f t="shared" si="0"/>
        <v>18080</v>
      </c>
      <c r="AK20" s="116">
        <f t="shared" si="1"/>
        <v>18080</v>
      </c>
      <c r="AL20" s="115">
        <f t="shared" si="2"/>
        <v>5920</v>
      </c>
      <c r="AM20" s="235" t="s">
        <v>2881</v>
      </c>
      <c r="AN20" s="427">
        <f>K20-W20</f>
        <v>18080</v>
      </c>
    </row>
    <row r="21" spans="1:41" s="27" customFormat="1" x14ac:dyDescent="0.3">
      <c r="A21" s="16">
        <v>17</v>
      </c>
      <c r="B21" s="40" t="s">
        <v>535</v>
      </c>
      <c r="C21" s="12" t="s">
        <v>2195</v>
      </c>
      <c r="D21" s="299" t="s">
        <v>744</v>
      </c>
      <c r="E21" s="131" t="s">
        <v>2196</v>
      </c>
      <c r="F21" s="131"/>
      <c r="G21" s="12" t="s">
        <v>113</v>
      </c>
      <c r="H21" s="12" t="s">
        <v>112</v>
      </c>
      <c r="I21" s="40" t="s">
        <v>487</v>
      </c>
      <c r="J21" s="302" t="s">
        <v>497</v>
      </c>
      <c r="K21" s="301">
        <v>24000</v>
      </c>
      <c r="L21" s="301">
        <v>0</v>
      </c>
      <c r="M21" s="301">
        <v>0</v>
      </c>
      <c r="N21" s="579">
        <v>0</v>
      </c>
      <c r="O21" s="75">
        <v>0</v>
      </c>
      <c r="P21" s="75">
        <v>0</v>
      </c>
      <c r="Q21" s="122">
        <v>0</v>
      </c>
      <c r="R21" s="75">
        <v>0</v>
      </c>
      <c r="S21" s="75">
        <v>0</v>
      </c>
      <c r="T21" s="122">
        <v>0</v>
      </c>
      <c r="U21" s="75">
        <v>0</v>
      </c>
      <c r="V21" s="75">
        <v>0</v>
      </c>
      <c r="W21" s="122">
        <v>0</v>
      </c>
      <c r="X21" s="40" t="s">
        <v>922</v>
      </c>
      <c r="Y21" s="75">
        <v>5670</v>
      </c>
      <c r="Z21" s="122">
        <v>5670</v>
      </c>
      <c r="AA21" s="40" t="s">
        <v>1292</v>
      </c>
      <c r="AB21" s="75">
        <v>2150</v>
      </c>
      <c r="AC21" s="122">
        <v>2150</v>
      </c>
      <c r="AD21" s="95"/>
      <c r="AE21" s="95"/>
      <c r="AF21" s="95"/>
      <c r="AG21" s="95"/>
      <c r="AH21" s="122"/>
      <c r="AI21" s="122"/>
      <c r="AJ21" s="115">
        <f t="shared" si="0"/>
        <v>16180</v>
      </c>
      <c r="AK21" s="116">
        <f t="shared" si="1"/>
        <v>16180</v>
      </c>
      <c r="AL21" s="115">
        <f t="shared" si="2"/>
        <v>7820</v>
      </c>
      <c r="AM21" s="235"/>
      <c r="AN21" s="426">
        <f>K21-Z21-AB21</f>
        <v>16180</v>
      </c>
    </row>
    <row r="22" spans="1:41" s="27" customFormat="1" x14ac:dyDescent="0.3">
      <c r="A22" s="16">
        <v>18</v>
      </c>
      <c r="B22" s="40" t="s">
        <v>551</v>
      </c>
      <c r="C22" s="12" t="s">
        <v>2199</v>
      </c>
      <c r="D22" s="299" t="s">
        <v>904</v>
      </c>
      <c r="E22" s="131" t="s">
        <v>2200</v>
      </c>
      <c r="F22" s="131"/>
      <c r="G22" s="12" t="s">
        <v>113</v>
      </c>
      <c r="H22" s="12" t="s">
        <v>112</v>
      </c>
      <c r="I22" s="40" t="s">
        <v>487</v>
      </c>
      <c r="J22" s="302" t="s">
        <v>428</v>
      </c>
      <c r="K22" s="301">
        <v>24000</v>
      </c>
      <c r="L22" s="301">
        <v>0</v>
      </c>
      <c r="M22" s="301">
        <v>0</v>
      </c>
      <c r="N22" s="579">
        <v>0</v>
      </c>
      <c r="O22" s="75">
        <v>0</v>
      </c>
      <c r="P22" s="75">
        <v>0</v>
      </c>
      <c r="Q22" s="122">
        <v>0</v>
      </c>
      <c r="R22" s="75">
        <v>0</v>
      </c>
      <c r="S22" s="75">
        <v>0</v>
      </c>
      <c r="T22" s="122">
        <v>0</v>
      </c>
      <c r="U22" s="75">
        <v>0</v>
      </c>
      <c r="V22" s="75">
        <v>0</v>
      </c>
      <c r="W22" s="122">
        <v>0</v>
      </c>
      <c r="X22" s="40" t="s">
        <v>622</v>
      </c>
      <c r="Y22" s="75">
        <v>5670</v>
      </c>
      <c r="Z22" s="122">
        <v>5670</v>
      </c>
      <c r="AA22" s="40" t="s">
        <v>1322</v>
      </c>
      <c r="AB22" s="75">
        <v>2150</v>
      </c>
      <c r="AC22" s="122"/>
      <c r="AD22" s="95"/>
      <c r="AE22" s="95"/>
      <c r="AF22" s="95"/>
      <c r="AG22" s="95"/>
      <c r="AH22" s="122"/>
      <c r="AI22" s="122"/>
      <c r="AJ22" s="115">
        <f t="shared" si="0"/>
        <v>18330</v>
      </c>
      <c r="AK22" s="116">
        <f t="shared" si="1"/>
        <v>16180</v>
      </c>
      <c r="AL22" s="115">
        <f t="shared" si="2"/>
        <v>5670</v>
      </c>
      <c r="AM22" s="235"/>
      <c r="AN22" s="426">
        <f>K22-Z22-AB22</f>
        <v>16180</v>
      </c>
    </row>
    <row r="23" spans="1:41" s="27" customFormat="1" x14ac:dyDescent="0.3">
      <c r="A23" s="16">
        <v>19</v>
      </c>
      <c r="B23" s="40" t="s">
        <v>587</v>
      </c>
      <c r="C23" s="12" t="s">
        <v>2203</v>
      </c>
      <c r="D23" s="299" t="s">
        <v>1067</v>
      </c>
      <c r="E23" s="131" t="s">
        <v>2204</v>
      </c>
      <c r="F23" s="131"/>
      <c r="G23" s="12" t="s">
        <v>113</v>
      </c>
      <c r="H23" s="12" t="s">
        <v>112</v>
      </c>
      <c r="I23" s="40" t="s">
        <v>487</v>
      </c>
      <c r="J23" s="86" t="s">
        <v>588</v>
      </c>
      <c r="K23" s="301">
        <v>24000</v>
      </c>
      <c r="L23" s="301">
        <v>0</v>
      </c>
      <c r="M23" s="301">
        <v>0</v>
      </c>
      <c r="N23" s="579">
        <v>0</v>
      </c>
      <c r="O23" s="75">
        <v>0</v>
      </c>
      <c r="P23" s="75">
        <v>0</v>
      </c>
      <c r="Q23" s="122">
        <v>0</v>
      </c>
      <c r="R23" s="75">
        <v>0</v>
      </c>
      <c r="S23" s="75">
        <v>0</v>
      </c>
      <c r="T23" s="122">
        <v>0</v>
      </c>
      <c r="U23" s="75">
        <v>0</v>
      </c>
      <c r="V23" s="75">
        <v>0</v>
      </c>
      <c r="W23" s="122">
        <v>0</v>
      </c>
      <c r="X23" s="40" t="s">
        <v>923</v>
      </c>
      <c r="Y23" s="75">
        <v>5670</v>
      </c>
      <c r="Z23" s="122">
        <v>5670</v>
      </c>
      <c r="AA23" s="40" t="s">
        <v>1323</v>
      </c>
      <c r="AB23" s="75">
        <v>2150</v>
      </c>
      <c r="AC23" s="122">
        <v>2150</v>
      </c>
      <c r="AD23" s="95"/>
      <c r="AE23" s="95"/>
      <c r="AF23" s="95"/>
      <c r="AG23" s="95"/>
      <c r="AH23" s="122"/>
      <c r="AI23" s="122"/>
      <c r="AJ23" s="115">
        <f t="shared" si="0"/>
        <v>16180</v>
      </c>
      <c r="AK23" s="116">
        <f t="shared" si="1"/>
        <v>16180</v>
      </c>
      <c r="AL23" s="115">
        <f t="shared" si="2"/>
        <v>7820</v>
      </c>
      <c r="AM23" s="235"/>
      <c r="AN23" s="426">
        <f>K23-Z23-AB23</f>
        <v>16180</v>
      </c>
    </row>
    <row r="24" spans="1:41" s="526" customFormat="1" ht="33" x14ac:dyDescent="0.3">
      <c r="A24" s="16">
        <v>20</v>
      </c>
      <c r="B24" s="65" t="s">
        <v>446</v>
      </c>
      <c r="C24" s="495" t="s">
        <v>2117</v>
      </c>
      <c r="D24" s="626" t="s">
        <v>1083</v>
      </c>
      <c r="E24" s="558" t="s">
        <v>2118</v>
      </c>
      <c r="F24" s="558"/>
      <c r="G24" s="559" t="s">
        <v>113</v>
      </c>
      <c r="H24" s="519" t="s">
        <v>112</v>
      </c>
      <c r="I24" s="560" t="s">
        <v>1095</v>
      </c>
      <c r="J24" s="530" t="s">
        <v>447</v>
      </c>
      <c r="K24" s="531">
        <v>9120</v>
      </c>
      <c r="L24" s="531">
        <v>0</v>
      </c>
      <c r="M24" s="531">
        <v>0</v>
      </c>
      <c r="N24" s="576">
        <v>0</v>
      </c>
      <c r="O24" s="523">
        <v>0</v>
      </c>
      <c r="P24" s="523">
        <v>0</v>
      </c>
      <c r="Q24" s="522">
        <v>0</v>
      </c>
      <c r="R24" s="523" t="s">
        <v>1082</v>
      </c>
      <c r="S24" s="523">
        <v>5720</v>
      </c>
      <c r="T24" s="522">
        <v>5670</v>
      </c>
      <c r="U24" s="523" t="s">
        <v>1081</v>
      </c>
      <c r="V24" s="523">
        <v>2200</v>
      </c>
      <c r="W24" s="522">
        <v>2200</v>
      </c>
      <c r="X24" s="524">
        <v>0</v>
      </c>
      <c r="Y24" s="523">
        <v>0</v>
      </c>
      <c r="Z24" s="522">
        <v>0</v>
      </c>
      <c r="AA24" s="562" t="s">
        <v>2614</v>
      </c>
      <c r="AB24" s="523">
        <v>1250</v>
      </c>
      <c r="AC24" s="522">
        <v>0</v>
      </c>
      <c r="AD24" s="561"/>
      <c r="AE24" s="561"/>
      <c r="AF24" s="561"/>
      <c r="AG24" s="561"/>
      <c r="AH24" s="522"/>
      <c r="AI24" s="522"/>
      <c r="AJ24" s="115">
        <f t="shared" si="0"/>
        <v>1250</v>
      </c>
      <c r="AK24" s="116">
        <f t="shared" si="1"/>
        <v>-50</v>
      </c>
      <c r="AL24" s="115">
        <f t="shared" si="2"/>
        <v>7870</v>
      </c>
      <c r="AM24" s="563" t="s">
        <v>570</v>
      </c>
      <c r="AN24" s="562"/>
      <c r="AO24" s="564"/>
    </row>
    <row r="25" spans="1:41" s="119" customFormat="1" x14ac:dyDescent="0.3">
      <c r="A25" s="16">
        <v>21</v>
      </c>
      <c r="B25" s="65" t="s">
        <v>261</v>
      </c>
      <c r="C25" s="495" t="s">
        <v>2141</v>
      </c>
      <c r="D25" s="627" t="s">
        <v>1294</v>
      </c>
      <c r="E25" s="565" t="s">
        <v>2142</v>
      </c>
      <c r="F25" s="565"/>
      <c r="G25" s="66" t="s">
        <v>113</v>
      </c>
      <c r="H25" s="66" t="s">
        <v>112</v>
      </c>
      <c r="I25" s="518" t="s">
        <v>118</v>
      </c>
      <c r="J25" s="566" t="s">
        <v>428</v>
      </c>
      <c r="K25" s="531">
        <v>11670</v>
      </c>
      <c r="L25" s="531">
        <v>0</v>
      </c>
      <c r="M25" s="531">
        <v>0</v>
      </c>
      <c r="N25" s="576">
        <v>0</v>
      </c>
      <c r="O25" s="117">
        <v>0</v>
      </c>
      <c r="P25" s="117">
        <v>0</v>
      </c>
      <c r="Q25" s="123">
        <v>0</v>
      </c>
      <c r="R25" s="117" t="s">
        <v>1295</v>
      </c>
      <c r="S25" s="117">
        <v>5720</v>
      </c>
      <c r="T25" s="123">
        <v>5720</v>
      </c>
      <c r="U25" s="117" t="s">
        <v>1296</v>
      </c>
      <c r="V25" s="117">
        <v>2200</v>
      </c>
      <c r="W25" s="123">
        <v>2200</v>
      </c>
      <c r="X25" s="116">
        <v>0</v>
      </c>
      <c r="Y25" s="117">
        <v>0</v>
      </c>
      <c r="Z25" s="123">
        <v>0</v>
      </c>
      <c r="AA25" s="151" t="s">
        <v>1297</v>
      </c>
      <c r="AB25" s="117">
        <f>1250+1250+1250</f>
        <v>3750</v>
      </c>
      <c r="AC25" s="123">
        <f>1250+1250+1250</f>
        <v>3750</v>
      </c>
      <c r="AD25" s="115"/>
      <c r="AE25" s="115"/>
      <c r="AF25" s="115"/>
      <c r="AG25" s="115"/>
      <c r="AH25" s="123"/>
      <c r="AI25" s="123"/>
      <c r="AJ25" s="115">
        <f t="shared" si="0"/>
        <v>0</v>
      </c>
      <c r="AK25" s="116">
        <f t="shared" si="1"/>
        <v>0</v>
      </c>
      <c r="AL25" s="115">
        <f t="shared" si="2"/>
        <v>11670</v>
      </c>
      <c r="AM25" s="236" t="s">
        <v>570</v>
      </c>
      <c r="AN25" s="553">
        <f>K25-T25-V25-AB25</f>
        <v>0</v>
      </c>
    </row>
    <row r="26" spans="1:41" s="27" customFormat="1" x14ac:dyDescent="0.3">
      <c r="A26" s="16">
        <v>22</v>
      </c>
      <c r="B26" s="26" t="s">
        <v>262</v>
      </c>
      <c r="C26" s="314" t="s">
        <v>2143</v>
      </c>
      <c r="D26" s="624" t="s">
        <v>724</v>
      </c>
      <c r="E26" s="132" t="s">
        <v>2144</v>
      </c>
      <c r="F26" s="132"/>
      <c r="G26" s="11" t="s">
        <v>113</v>
      </c>
      <c r="H26" s="11" t="s">
        <v>112</v>
      </c>
      <c r="I26" s="42" t="s">
        <v>119</v>
      </c>
      <c r="J26" s="74" t="s">
        <v>496</v>
      </c>
      <c r="K26" s="113">
        <v>8820</v>
      </c>
      <c r="L26" s="113">
        <v>0</v>
      </c>
      <c r="M26" s="113">
        <v>0</v>
      </c>
      <c r="N26" s="577">
        <v>0</v>
      </c>
      <c r="O26" s="75">
        <v>0</v>
      </c>
      <c r="P26" s="75">
        <v>0</v>
      </c>
      <c r="Q26" s="122">
        <v>0</v>
      </c>
      <c r="R26" s="75" t="s">
        <v>722</v>
      </c>
      <c r="S26" s="75">
        <f>1520+1250</f>
        <v>2770</v>
      </c>
      <c r="T26" s="122">
        <f>1520+1250</f>
        <v>2770</v>
      </c>
      <c r="U26" s="75" t="s">
        <v>723</v>
      </c>
      <c r="V26" s="75">
        <v>1250</v>
      </c>
      <c r="W26" s="122">
        <v>1250</v>
      </c>
      <c r="X26" s="40" t="s">
        <v>1210</v>
      </c>
      <c r="Y26" s="75">
        <f>1200+1200</f>
        <v>2400</v>
      </c>
      <c r="Z26" s="122">
        <f>1200+1200</f>
        <v>2400</v>
      </c>
      <c r="AA26" s="40" t="s">
        <v>1298</v>
      </c>
      <c r="AB26" s="75">
        <v>1200</v>
      </c>
      <c r="AC26" s="122"/>
      <c r="AD26" s="95"/>
      <c r="AE26" s="95"/>
      <c r="AF26" s="95"/>
      <c r="AG26" s="95"/>
      <c r="AH26" s="122"/>
      <c r="AI26" s="122"/>
      <c r="AJ26" s="95">
        <f t="shared" si="0"/>
        <v>2400</v>
      </c>
      <c r="AK26" s="93">
        <f t="shared" si="1"/>
        <v>1200</v>
      </c>
      <c r="AL26" s="95">
        <f t="shared" si="2"/>
        <v>6420</v>
      </c>
      <c r="AM26" s="235"/>
      <c r="AN26" s="426">
        <f>K26-T26-W26-Z26-AB26</f>
        <v>1200</v>
      </c>
    </row>
    <row r="27" spans="1:41" s="27" customFormat="1" x14ac:dyDescent="0.3">
      <c r="A27" s="16">
        <v>23</v>
      </c>
      <c r="B27" s="26" t="s">
        <v>263</v>
      </c>
      <c r="C27" s="314" t="s">
        <v>2145</v>
      </c>
      <c r="D27" s="297" t="s">
        <v>425</v>
      </c>
      <c r="E27" s="134" t="s">
        <v>2146</v>
      </c>
      <c r="F27" s="134"/>
      <c r="G27" s="12" t="s">
        <v>113</v>
      </c>
      <c r="H27" s="12" t="s">
        <v>112</v>
      </c>
      <c r="I27" s="34" t="s">
        <v>120</v>
      </c>
      <c r="J27" s="70" t="s">
        <v>354</v>
      </c>
      <c r="K27" s="77">
        <v>24000</v>
      </c>
      <c r="L27" s="77">
        <v>0</v>
      </c>
      <c r="M27" s="77">
        <v>0</v>
      </c>
      <c r="N27" s="578">
        <v>0</v>
      </c>
      <c r="O27" s="75">
        <v>0</v>
      </c>
      <c r="P27" s="75">
        <v>0</v>
      </c>
      <c r="Q27" s="122">
        <v>0</v>
      </c>
      <c r="R27" s="75">
        <v>0</v>
      </c>
      <c r="S27" s="75">
        <v>0</v>
      </c>
      <c r="T27" s="122">
        <v>0</v>
      </c>
      <c r="U27" s="75" t="s">
        <v>1215</v>
      </c>
      <c r="V27" s="75">
        <v>5720</v>
      </c>
      <c r="W27" s="122">
        <v>5720</v>
      </c>
      <c r="X27" s="93">
        <v>0</v>
      </c>
      <c r="Y27" s="75">
        <v>0</v>
      </c>
      <c r="Z27" s="122">
        <v>0</v>
      </c>
      <c r="AA27" s="40" t="s">
        <v>1316</v>
      </c>
      <c r="AB27" s="75">
        <f>2150+1250+1250</f>
        <v>4650</v>
      </c>
      <c r="AC27" s="122">
        <f>2150+1250+1250</f>
        <v>4650</v>
      </c>
      <c r="AD27" s="95"/>
      <c r="AE27" s="95"/>
      <c r="AF27" s="95"/>
      <c r="AG27" s="95"/>
      <c r="AH27" s="122"/>
      <c r="AI27" s="122"/>
      <c r="AJ27" s="115">
        <f t="shared" si="0"/>
        <v>13630</v>
      </c>
      <c r="AK27" s="116">
        <f t="shared" si="1"/>
        <v>13630</v>
      </c>
      <c r="AL27" s="115">
        <f t="shared" si="2"/>
        <v>10370</v>
      </c>
      <c r="AM27" s="235"/>
      <c r="AN27" s="426">
        <f>K27-W27-AB27</f>
        <v>13630</v>
      </c>
    </row>
    <row r="28" spans="1:41" s="119" customFormat="1" x14ac:dyDescent="0.3">
      <c r="A28" s="16">
        <v>24</v>
      </c>
      <c r="B28" s="65" t="s">
        <v>264</v>
      </c>
      <c r="C28" s="495" t="s">
        <v>2147</v>
      </c>
      <c r="D28" s="627" t="s">
        <v>1236</v>
      </c>
      <c r="E28" s="565" t="s">
        <v>2148</v>
      </c>
      <c r="F28" s="565"/>
      <c r="G28" s="66" t="s">
        <v>7</v>
      </c>
      <c r="H28" s="66" t="s">
        <v>112</v>
      </c>
      <c r="I28" s="518" t="s">
        <v>121</v>
      </c>
      <c r="J28" s="554" t="s">
        <v>428</v>
      </c>
      <c r="K28" s="531">
        <v>6150</v>
      </c>
      <c r="L28" s="531">
        <v>0</v>
      </c>
      <c r="M28" s="531">
        <v>0</v>
      </c>
      <c r="N28" s="576">
        <v>0</v>
      </c>
      <c r="O28" s="117">
        <v>0</v>
      </c>
      <c r="P28" s="117">
        <v>0</v>
      </c>
      <c r="Q28" s="123">
        <v>0</v>
      </c>
      <c r="R28" s="117" t="s">
        <v>1237</v>
      </c>
      <c r="S28" s="117">
        <f>1250+1250</f>
        <v>2500</v>
      </c>
      <c r="T28" s="123">
        <f>1250+1250</f>
        <v>2500</v>
      </c>
      <c r="U28" s="117" t="s">
        <v>1239</v>
      </c>
      <c r="V28" s="117">
        <v>1250</v>
      </c>
      <c r="W28" s="123">
        <v>1250</v>
      </c>
      <c r="X28" s="116">
        <v>0</v>
      </c>
      <c r="Y28" s="117">
        <v>0</v>
      </c>
      <c r="Z28" s="123">
        <v>0</v>
      </c>
      <c r="AA28" s="151" t="s">
        <v>1240</v>
      </c>
      <c r="AB28" s="117">
        <f>1200+1200</f>
        <v>2400</v>
      </c>
      <c r="AC28" s="123">
        <f>1200+1200</f>
        <v>2400</v>
      </c>
      <c r="AD28" s="115"/>
      <c r="AE28" s="115"/>
      <c r="AF28" s="115"/>
      <c r="AG28" s="115"/>
      <c r="AH28" s="123"/>
      <c r="AI28" s="123"/>
      <c r="AJ28" s="115">
        <f t="shared" si="0"/>
        <v>0</v>
      </c>
      <c r="AK28" s="116">
        <f t="shared" si="1"/>
        <v>0</v>
      </c>
      <c r="AL28" s="115">
        <f t="shared" si="2"/>
        <v>6150</v>
      </c>
      <c r="AM28" s="236" t="s">
        <v>570</v>
      </c>
      <c r="AN28" s="553">
        <f>K28-T28-W28-AB28</f>
        <v>0</v>
      </c>
    </row>
    <row r="29" spans="1:41" x14ac:dyDescent="0.3">
      <c r="A29" s="16">
        <v>25</v>
      </c>
      <c r="B29" s="83" t="s">
        <v>1070</v>
      </c>
      <c r="C29" s="82" t="s">
        <v>2216</v>
      </c>
      <c r="D29" s="125" t="s">
        <v>775</v>
      </c>
      <c r="E29" s="138" t="s">
        <v>2217</v>
      </c>
      <c r="F29" s="138"/>
      <c r="G29" s="82" t="s">
        <v>7</v>
      </c>
      <c r="H29" s="82" t="s">
        <v>112</v>
      </c>
      <c r="I29" s="83" t="s">
        <v>776</v>
      </c>
      <c r="J29" s="85" t="s">
        <v>777</v>
      </c>
      <c r="K29" s="98">
        <v>24000</v>
      </c>
      <c r="L29" s="98">
        <v>0</v>
      </c>
      <c r="M29" s="98">
        <v>0</v>
      </c>
      <c r="N29" s="580">
        <v>0</v>
      </c>
      <c r="O29" s="89">
        <v>0</v>
      </c>
      <c r="P29" s="89">
        <v>0</v>
      </c>
      <c r="Q29" s="121">
        <v>0</v>
      </c>
      <c r="R29" s="89">
        <v>0</v>
      </c>
      <c r="S29" s="89">
        <v>0</v>
      </c>
      <c r="T29" s="121">
        <v>0</v>
      </c>
      <c r="U29" s="89">
        <v>0</v>
      </c>
      <c r="V29" s="89">
        <v>0</v>
      </c>
      <c r="W29" s="121">
        <v>0</v>
      </c>
      <c r="X29" s="92">
        <v>0</v>
      </c>
      <c r="Y29" s="89">
        <v>0</v>
      </c>
      <c r="Z29" s="121">
        <v>0</v>
      </c>
      <c r="AA29" s="83" t="s">
        <v>1261</v>
      </c>
      <c r="AB29" s="89">
        <v>2150</v>
      </c>
      <c r="AC29" s="121">
        <v>2150</v>
      </c>
      <c r="AD29" s="94"/>
      <c r="AE29" s="94"/>
      <c r="AF29" s="94"/>
      <c r="AG29" s="94"/>
      <c r="AH29" s="121"/>
      <c r="AI29" s="121"/>
      <c r="AJ29" s="115">
        <f t="shared" si="0"/>
        <v>21850</v>
      </c>
      <c r="AK29" s="116">
        <f t="shared" si="1"/>
        <v>21850</v>
      </c>
      <c r="AL29" s="115">
        <f t="shared" si="2"/>
        <v>2150</v>
      </c>
      <c r="AM29" s="235"/>
      <c r="AN29" s="427">
        <f>K29-AB29</f>
        <v>21850</v>
      </c>
    </row>
    <row r="30" spans="1:41" s="27" customFormat="1" x14ac:dyDescent="0.3">
      <c r="A30" s="16">
        <v>26</v>
      </c>
      <c r="B30" s="26" t="s">
        <v>265</v>
      </c>
      <c r="C30" s="314" t="s">
        <v>2149</v>
      </c>
      <c r="D30" s="623" t="s">
        <v>1129</v>
      </c>
      <c r="E30" s="135" t="s">
        <v>2150</v>
      </c>
      <c r="F30" s="135"/>
      <c r="G30" s="12" t="s">
        <v>113</v>
      </c>
      <c r="H30" s="12" t="s">
        <v>112</v>
      </c>
      <c r="I30" s="40" t="s">
        <v>377</v>
      </c>
      <c r="J30" s="302" t="s">
        <v>428</v>
      </c>
      <c r="K30" s="113">
        <v>24000</v>
      </c>
      <c r="L30" s="113">
        <v>0</v>
      </c>
      <c r="M30" s="113">
        <v>0</v>
      </c>
      <c r="N30" s="577">
        <v>0</v>
      </c>
      <c r="O30" s="75">
        <v>0</v>
      </c>
      <c r="P30" s="75">
        <v>0</v>
      </c>
      <c r="Q30" s="122">
        <v>0</v>
      </c>
      <c r="R30" s="75">
        <v>0</v>
      </c>
      <c r="S30" s="75">
        <v>0</v>
      </c>
      <c r="T30" s="122">
        <v>0</v>
      </c>
      <c r="U30" s="75">
        <v>0</v>
      </c>
      <c r="V30" s="75">
        <v>0</v>
      </c>
      <c r="W30" s="122">
        <v>0</v>
      </c>
      <c r="X30" s="93" t="s">
        <v>1435</v>
      </c>
      <c r="Y30" s="75">
        <f>5720+2150+1250</f>
        <v>9120</v>
      </c>
      <c r="Z30" s="122">
        <f>5670</f>
        <v>5670</v>
      </c>
      <c r="AA30" s="75">
        <v>0</v>
      </c>
      <c r="AB30" s="75">
        <v>0</v>
      </c>
      <c r="AC30" s="122">
        <v>0</v>
      </c>
      <c r="AD30" s="95"/>
      <c r="AE30" s="95"/>
      <c r="AF30" s="95"/>
      <c r="AG30" s="95"/>
      <c r="AH30" s="122"/>
      <c r="AI30" s="122"/>
      <c r="AJ30" s="115">
        <f t="shared" si="0"/>
        <v>18330</v>
      </c>
      <c r="AK30" s="116">
        <f t="shared" si="1"/>
        <v>14880</v>
      </c>
      <c r="AL30" s="115">
        <f t="shared" si="2"/>
        <v>5670</v>
      </c>
      <c r="AM30" s="235"/>
      <c r="AN30" s="426">
        <f>K30-Y30</f>
        <v>14880</v>
      </c>
    </row>
    <row r="31" spans="1:41" s="27" customFormat="1" x14ac:dyDescent="0.3">
      <c r="A31" s="16">
        <v>27</v>
      </c>
      <c r="B31" s="40" t="s">
        <v>403</v>
      </c>
      <c r="C31" s="12" t="s">
        <v>2185</v>
      </c>
      <c r="D31" s="124" t="s">
        <v>958</v>
      </c>
      <c r="E31" s="129" t="s">
        <v>2186</v>
      </c>
      <c r="F31" s="129"/>
      <c r="G31" s="12" t="s">
        <v>113</v>
      </c>
      <c r="H31" s="12" t="s">
        <v>112</v>
      </c>
      <c r="I31" s="40" t="s">
        <v>404</v>
      </c>
      <c r="J31" s="302" t="s">
        <v>497</v>
      </c>
      <c r="K31" s="301">
        <v>24000</v>
      </c>
      <c r="L31" s="301">
        <v>0</v>
      </c>
      <c r="M31" s="301">
        <v>0</v>
      </c>
      <c r="N31" s="579">
        <v>0</v>
      </c>
      <c r="O31" s="75">
        <v>0</v>
      </c>
      <c r="P31" s="75">
        <v>0</v>
      </c>
      <c r="Q31" s="122">
        <v>0</v>
      </c>
      <c r="R31" s="75">
        <v>0</v>
      </c>
      <c r="S31" s="75">
        <v>0</v>
      </c>
      <c r="T31" s="122">
        <v>0</v>
      </c>
      <c r="U31" s="75">
        <v>0</v>
      </c>
      <c r="V31" s="75">
        <v>0</v>
      </c>
      <c r="W31" s="122">
        <v>0</v>
      </c>
      <c r="X31" s="93">
        <v>0</v>
      </c>
      <c r="Y31" s="75">
        <v>0</v>
      </c>
      <c r="Z31" s="122">
        <v>0</v>
      </c>
      <c r="AA31" s="40" t="s">
        <v>1304</v>
      </c>
      <c r="AB31" s="75">
        <f>2150+1250</f>
        <v>3400</v>
      </c>
      <c r="AC31" s="122"/>
      <c r="AD31" s="95"/>
      <c r="AE31" s="95"/>
      <c r="AF31" s="95"/>
      <c r="AG31" s="95"/>
      <c r="AH31" s="122"/>
      <c r="AI31" s="122"/>
      <c r="AJ31" s="115">
        <f t="shared" si="0"/>
        <v>24000</v>
      </c>
      <c r="AK31" s="116">
        <f t="shared" si="1"/>
        <v>20600</v>
      </c>
      <c r="AL31" s="115">
        <f t="shared" si="2"/>
        <v>0</v>
      </c>
      <c r="AM31" s="235"/>
      <c r="AN31" s="426">
        <f>K31-AB31</f>
        <v>20600</v>
      </c>
    </row>
    <row r="32" spans="1:41" s="27" customFormat="1" x14ac:dyDescent="0.3">
      <c r="A32" s="16">
        <v>28</v>
      </c>
      <c r="B32" s="40" t="s">
        <v>615</v>
      </c>
      <c r="C32" s="12" t="s">
        <v>2209</v>
      </c>
      <c r="D32" s="299" t="s">
        <v>1060</v>
      </c>
      <c r="E32" s="131" t="s">
        <v>1271</v>
      </c>
      <c r="F32" s="131"/>
      <c r="G32" s="12" t="s">
        <v>113</v>
      </c>
      <c r="H32" s="12" t="s">
        <v>112</v>
      </c>
      <c r="I32" s="40" t="s">
        <v>487</v>
      </c>
      <c r="J32" s="86" t="s">
        <v>428</v>
      </c>
      <c r="K32" s="301">
        <v>24000</v>
      </c>
      <c r="L32" s="301">
        <v>0</v>
      </c>
      <c r="M32" s="301">
        <v>0</v>
      </c>
      <c r="N32" s="579">
        <v>0</v>
      </c>
      <c r="O32" s="75">
        <v>0</v>
      </c>
      <c r="P32" s="75">
        <v>0</v>
      </c>
      <c r="Q32" s="122">
        <v>0</v>
      </c>
      <c r="R32" s="75">
        <v>0</v>
      </c>
      <c r="S32" s="75">
        <v>0</v>
      </c>
      <c r="T32" s="122">
        <v>0</v>
      </c>
      <c r="U32" s="75">
        <v>0</v>
      </c>
      <c r="V32" s="75">
        <v>0</v>
      </c>
      <c r="W32" s="122">
        <v>0</v>
      </c>
      <c r="X32" s="40" t="s">
        <v>910</v>
      </c>
      <c r="Y32" s="75">
        <v>5670</v>
      </c>
      <c r="Z32" s="122">
        <v>5670</v>
      </c>
      <c r="AA32" s="40" t="s">
        <v>1307</v>
      </c>
      <c r="AB32" s="75">
        <v>2150</v>
      </c>
      <c r="AC32" s="122">
        <v>2150</v>
      </c>
      <c r="AD32" s="95"/>
      <c r="AE32" s="95"/>
      <c r="AF32" s="95"/>
      <c r="AG32" s="95"/>
      <c r="AH32" s="122"/>
      <c r="AI32" s="122"/>
      <c r="AJ32" s="115">
        <f t="shared" si="0"/>
        <v>16180</v>
      </c>
      <c r="AK32" s="116">
        <f t="shared" si="1"/>
        <v>16180</v>
      </c>
      <c r="AL32" s="115">
        <f t="shared" si="2"/>
        <v>7820</v>
      </c>
      <c r="AM32" s="235"/>
      <c r="AN32" s="426">
        <f>K32-Z32-AB32</f>
        <v>16180</v>
      </c>
    </row>
    <row r="33" spans="1:40" s="119" customFormat="1" x14ac:dyDescent="0.3">
      <c r="A33" s="16">
        <v>29</v>
      </c>
      <c r="B33" s="151" t="s">
        <v>2220</v>
      </c>
      <c r="C33" s="517" t="s">
        <v>2221</v>
      </c>
      <c r="D33" s="627" t="s">
        <v>2219</v>
      </c>
      <c r="E33" s="565" t="s">
        <v>2218</v>
      </c>
      <c r="F33" s="565"/>
      <c r="G33" s="66" t="s">
        <v>7</v>
      </c>
      <c r="H33" s="497" t="s">
        <v>112</v>
      </c>
      <c r="I33" s="151" t="s">
        <v>2222</v>
      </c>
      <c r="J33" s="573" t="s">
        <v>2223</v>
      </c>
      <c r="K33" s="574">
        <v>3615</v>
      </c>
      <c r="L33" s="575" t="s">
        <v>2781</v>
      </c>
      <c r="M33" s="574">
        <v>1205</v>
      </c>
      <c r="N33" s="581">
        <v>1205</v>
      </c>
      <c r="O33" s="117" t="s">
        <v>2782</v>
      </c>
      <c r="P33" s="117">
        <v>1205</v>
      </c>
      <c r="Q33" s="123">
        <v>1205</v>
      </c>
      <c r="R33" s="117" t="s">
        <v>2783</v>
      </c>
      <c r="S33" s="117">
        <v>1205</v>
      </c>
      <c r="T33" s="123">
        <v>1205</v>
      </c>
      <c r="U33" s="117"/>
      <c r="V33" s="117"/>
      <c r="W33" s="123"/>
      <c r="X33" s="151"/>
      <c r="Y33" s="117"/>
      <c r="Z33" s="123"/>
      <c r="AA33" s="151"/>
      <c r="AB33" s="117"/>
      <c r="AC33" s="123"/>
      <c r="AD33" s="115"/>
      <c r="AE33" s="115"/>
      <c r="AF33" s="115"/>
      <c r="AG33" s="115"/>
      <c r="AH33" s="123"/>
      <c r="AI33" s="123"/>
      <c r="AJ33" s="115">
        <f>K33-N33-Q33-T33-W33-Z33-AC33-AF33</f>
        <v>0</v>
      </c>
      <c r="AK33" s="116">
        <f>K33-M33-P33-S33-V33-Y33-AB33-AE33</f>
        <v>0</v>
      </c>
      <c r="AL33" s="115">
        <f>N33+Q33+T33+W33+Z33+AC33+AF33</f>
        <v>3615</v>
      </c>
      <c r="AM33" s="236" t="s">
        <v>570</v>
      </c>
      <c r="AN33" s="553"/>
    </row>
    <row r="34" spans="1:40" s="27" customFormat="1" x14ac:dyDescent="0.3">
      <c r="A34" s="16">
        <v>30</v>
      </c>
      <c r="B34" s="26" t="s">
        <v>267</v>
      </c>
      <c r="C34" s="314" t="s">
        <v>2151</v>
      </c>
      <c r="D34" s="623" t="s">
        <v>1319</v>
      </c>
      <c r="E34" s="135" t="s">
        <v>2152</v>
      </c>
      <c r="F34" s="135"/>
      <c r="G34" s="12" t="s">
        <v>113</v>
      </c>
      <c r="H34" s="12" t="s">
        <v>112</v>
      </c>
      <c r="I34" s="34" t="s">
        <v>118</v>
      </c>
      <c r="J34" s="70" t="s">
        <v>432</v>
      </c>
      <c r="K34" s="113">
        <v>24000</v>
      </c>
      <c r="L34" s="113">
        <v>0</v>
      </c>
      <c r="M34" s="113">
        <v>0</v>
      </c>
      <c r="N34" s="577">
        <v>0</v>
      </c>
      <c r="O34" s="75">
        <v>0</v>
      </c>
      <c r="P34" s="75">
        <v>0</v>
      </c>
      <c r="Q34" s="122">
        <v>0</v>
      </c>
      <c r="R34" s="75">
        <v>0</v>
      </c>
      <c r="S34" s="75">
        <v>0</v>
      </c>
      <c r="T34" s="122">
        <v>0</v>
      </c>
      <c r="U34" s="75" t="s">
        <v>1320</v>
      </c>
      <c r="V34" s="75">
        <f>5920+2400</f>
        <v>8320</v>
      </c>
      <c r="W34" s="122">
        <f>5870+2400</f>
        <v>8270</v>
      </c>
      <c r="X34" s="93">
        <v>0</v>
      </c>
      <c r="Y34" s="75">
        <v>0</v>
      </c>
      <c r="Z34" s="122">
        <v>0</v>
      </c>
      <c r="AA34" s="40" t="s">
        <v>1321</v>
      </c>
      <c r="AB34" s="75">
        <f>1450+1450+1450</f>
        <v>4350</v>
      </c>
      <c r="AC34" s="122">
        <f>1450+1450+1450</f>
        <v>4350</v>
      </c>
      <c r="AD34" s="95"/>
      <c r="AE34" s="95"/>
      <c r="AF34" s="95"/>
      <c r="AG34" s="95"/>
      <c r="AH34" s="122"/>
      <c r="AI34" s="122"/>
      <c r="AJ34" s="115">
        <f>K34-N34-Q34-T34-W34-Z34-AC34-AF34</f>
        <v>11380</v>
      </c>
      <c r="AK34" s="116">
        <f>K34-M34-P34-S34-V34-Y34-AB34-AE34</f>
        <v>11330</v>
      </c>
      <c r="AL34" s="115">
        <f>N34+Q34+T34+W34+Z34+AC34+AF34</f>
        <v>12620</v>
      </c>
      <c r="AM34" s="235"/>
      <c r="AN34" s="426">
        <f>K34-W34-AB34</f>
        <v>11380</v>
      </c>
    </row>
    <row r="35" spans="1:40" s="526" customFormat="1" ht="33" x14ac:dyDescent="0.3">
      <c r="A35" s="16">
        <v>31</v>
      </c>
      <c r="B35" s="65" t="s">
        <v>313</v>
      </c>
      <c r="C35" s="495" t="s">
        <v>2153</v>
      </c>
      <c r="D35" s="626" t="s">
        <v>1056</v>
      </c>
      <c r="E35" s="558" t="s">
        <v>2154</v>
      </c>
      <c r="F35" s="558"/>
      <c r="G35" s="559" t="s">
        <v>448</v>
      </c>
      <c r="H35" s="519" t="s">
        <v>112</v>
      </c>
      <c r="I35" s="560" t="s">
        <v>583</v>
      </c>
      <c r="J35" s="530" t="s">
        <v>449</v>
      </c>
      <c r="K35" s="531">
        <v>9170</v>
      </c>
      <c r="L35" s="531">
        <v>0</v>
      </c>
      <c r="M35" s="531">
        <v>0</v>
      </c>
      <c r="N35" s="576">
        <v>0</v>
      </c>
      <c r="O35" s="523" t="s">
        <v>627</v>
      </c>
      <c r="P35" s="523">
        <f>1495+1105+1105</f>
        <v>3705</v>
      </c>
      <c r="Q35" s="522">
        <f>1495+1105+1105</f>
        <v>3705</v>
      </c>
      <c r="R35" s="523" t="s">
        <v>628</v>
      </c>
      <c r="S35" s="523">
        <f>1105+1105</f>
        <v>2210</v>
      </c>
      <c r="T35" s="522">
        <f>1105+1105</f>
        <v>2210</v>
      </c>
      <c r="U35" s="523" t="s">
        <v>629</v>
      </c>
      <c r="V35" s="523">
        <v>1105</v>
      </c>
      <c r="W35" s="522">
        <v>1105</v>
      </c>
      <c r="X35" s="562" t="s">
        <v>626</v>
      </c>
      <c r="Y35" s="523">
        <f>1075+1075</f>
        <v>2150</v>
      </c>
      <c r="Z35" s="522">
        <f>1075+1075</f>
        <v>2150</v>
      </c>
      <c r="AA35" s="562"/>
      <c r="AB35" s="523"/>
      <c r="AC35" s="522"/>
      <c r="AD35" s="561"/>
      <c r="AE35" s="561"/>
      <c r="AF35" s="561"/>
      <c r="AG35" s="561"/>
      <c r="AH35" s="522"/>
      <c r="AI35" s="522"/>
      <c r="AJ35" s="115">
        <f t="shared" ref="AJ35:AJ47" si="3">K35-N35-Q35-T35-W35-Z35-AC35-AF35</f>
        <v>0</v>
      </c>
      <c r="AK35" s="116">
        <f t="shared" ref="AK35:AK47" si="4">K35-M35-P35-S35-V35-Y35-AB35-AE35</f>
        <v>0</v>
      </c>
      <c r="AL35" s="115">
        <f t="shared" ref="AL35:AL47" si="5">N35+Q35+T35+W35+Z35+AC35+AF35</f>
        <v>9170</v>
      </c>
      <c r="AM35" s="585" t="s">
        <v>570</v>
      </c>
      <c r="AN35" s="583">
        <f>K35-Q35-T35-W35-Z35</f>
        <v>0</v>
      </c>
    </row>
    <row r="36" spans="1:40" s="27" customFormat="1" x14ac:dyDescent="0.3">
      <c r="A36" s="16">
        <v>32</v>
      </c>
      <c r="B36" s="40" t="s">
        <v>727</v>
      </c>
      <c r="C36" s="12" t="s">
        <v>2214</v>
      </c>
      <c r="D36" s="299" t="s">
        <v>728</v>
      </c>
      <c r="E36" s="131" t="s">
        <v>2215</v>
      </c>
      <c r="F36" s="131"/>
      <c r="G36" s="12" t="s">
        <v>7</v>
      </c>
      <c r="H36" s="12" t="s">
        <v>112</v>
      </c>
      <c r="I36" s="40" t="s">
        <v>487</v>
      </c>
      <c r="J36" s="86" t="s">
        <v>729</v>
      </c>
      <c r="K36" s="301">
        <v>24000</v>
      </c>
      <c r="L36" s="301">
        <v>0</v>
      </c>
      <c r="M36" s="301">
        <v>0</v>
      </c>
      <c r="N36" s="579">
        <v>0</v>
      </c>
      <c r="O36" s="75">
        <v>0</v>
      </c>
      <c r="P36" s="75">
        <v>0</v>
      </c>
      <c r="Q36" s="122">
        <v>0</v>
      </c>
      <c r="R36" s="75">
        <v>0</v>
      </c>
      <c r="S36" s="75">
        <v>0</v>
      </c>
      <c r="T36" s="122">
        <v>0</v>
      </c>
      <c r="U36" s="75">
        <v>0</v>
      </c>
      <c r="V36" s="75">
        <v>0</v>
      </c>
      <c r="W36" s="122">
        <v>0</v>
      </c>
      <c r="X36" s="40" t="s">
        <v>921</v>
      </c>
      <c r="Y36" s="75">
        <v>5670</v>
      </c>
      <c r="Z36" s="122"/>
      <c r="AA36" s="40" t="s">
        <v>1302</v>
      </c>
      <c r="AB36" s="75">
        <v>2150</v>
      </c>
      <c r="AC36" s="122">
        <v>2150</v>
      </c>
      <c r="AD36" s="95"/>
      <c r="AE36" s="95"/>
      <c r="AF36" s="95"/>
      <c r="AG36" s="95"/>
      <c r="AH36" s="122"/>
      <c r="AI36" s="122"/>
      <c r="AJ36" s="115">
        <f t="shared" si="3"/>
        <v>21850</v>
      </c>
      <c r="AK36" s="116">
        <f t="shared" si="4"/>
        <v>16180</v>
      </c>
      <c r="AL36" s="115">
        <f t="shared" si="5"/>
        <v>2150</v>
      </c>
      <c r="AM36" s="235" t="s">
        <v>3037</v>
      </c>
      <c r="AN36" s="426">
        <f>K36-Y36-AB36</f>
        <v>16180</v>
      </c>
    </row>
    <row r="37" spans="1:40" s="27" customFormat="1" x14ac:dyDescent="0.3">
      <c r="A37" s="16">
        <v>33</v>
      </c>
      <c r="B37" s="26" t="s">
        <v>268</v>
      </c>
      <c r="C37" s="314" t="s">
        <v>2155</v>
      </c>
      <c r="D37" s="297" t="s">
        <v>426</v>
      </c>
      <c r="E37" s="134" t="s">
        <v>2156</v>
      </c>
      <c r="F37" s="134"/>
      <c r="G37" s="12" t="s">
        <v>113</v>
      </c>
      <c r="H37" s="12" t="s">
        <v>112</v>
      </c>
      <c r="I37" s="34" t="s">
        <v>1561</v>
      </c>
      <c r="J37" s="70" t="s">
        <v>657</v>
      </c>
      <c r="K37" s="113">
        <v>11620</v>
      </c>
      <c r="L37" s="113">
        <v>0</v>
      </c>
      <c r="M37" s="113">
        <v>0</v>
      </c>
      <c r="N37" s="577">
        <v>0</v>
      </c>
      <c r="O37" s="75">
        <v>0</v>
      </c>
      <c r="P37" s="75">
        <v>0</v>
      </c>
      <c r="Q37" s="122">
        <v>0</v>
      </c>
      <c r="R37" s="75">
        <v>0</v>
      </c>
      <c r="S37" s="75">
        <v>0</v>
      </c>
      <c r="T37" s="122">
        <v>0</v>
      </c>
      <c r="U37" s="75" t="s">
        <v>1214</v>
      </c>
      <c r="V37" s="75">
        <v>5720</v>
      </c>
      <c r="W37" s="122">
        <v>5720</v>
      </c>
      <c r="X37" s="93">
        <v>0</v>
      </c>
      <c r="Y37" s="75">
        <v>0</v>
      </c>
      <c r="Z37" s="122">
        <v>0</v>
      </c>
      <c r="AA37" s="40" t="s">
        <v>1238</v>
      </c>
      <c r="AB37" s="75">
        <f>2150+1250+1250</f>
        <v>4650</v>
      </c>
      <c r="AC37" s="122">
        <f>2150+1250+1250</f>
        <v>4650</v>
      </c>
      <c r="AD37" s="95"/>
      <c r="AE37" s="95"/>
      <c r="AF37" s="95"/>
      <c r="AG37" s="95"/>
      <c r="AH37" s="122"/>
      <c r="AI37" s="122"/>
      <c r="AJ37" s="115">
        <f t="shared" si="3"/>
        <v>1250</v>
      </c>
      <c r="AK37" s="116">
        <f t="shared" si="4"/>
        <v>1250</v>
      </c>
      <c r="AL37" s="115">
        <f t="shared" si="5"/>
        <v>10370</v>
      </c>
      <c r="AM37" s="235"/>
      <c r="AN37" s="426">
        <f>K37-W37-AB37</f>
        <v>1250</v>
      </c>
    </row>
    <row r="38" spans="1:40" s="27" customFormat="1" x14ac:dyDescent="0.3">
      <c r="A38" s="16">
        <v>34</v>
      </c>
      <c r="B38" s="40" t="s">
        <v>555</v>
      </c>
      <c r="C38" s="12" t="s">
        <v>2201</v>
      </c>
      <c r="D38" s="299" t="s">
        <v>1290</v>
      </c>
      <c r="E38" s="131" t="s">
        <v>2202</v>
      </c>
      <c r="F38" s="131"/>
      <c r="G38" s="12" t="s">
        <v>113</v>
      </c>
      <c r="H38" s="12" t="s">
        <v>112</v>
      </c>
      <c r="I38" s="40" t="s">
        <v>487</v>
      </c>
      <c r="J38" s="86" t="s">
        <v>556</v>
      </c>
      <c r="K38" s="301">
        <v>24000</v>
      </c>
      <c r="L38" s="301">
        <v>0</v>
      </c>
      <c r="M38" s="301">
        <v>0</v>
      </c>
      <c r="N38" s="579">
        <v>0</v>
      </c>
      <c r="O38" s="75">
        <v>0</v>
      </c>
      <c r="P38" s="75">
        <v>0</v>
      </c>
      <c r="Q38" s="122">
        <v>0</v>
      </c>
      <c r="R38" s="75">
        <v>0</v>
      </c>
      <c r="S38" s="75">
        <v>0</v>
      </c>
      <c r="T38" s="122">
        <v>0</v>
      </c>
      <c r="U38" s="75">
        <v>0</v>
      </c>
      <c r="V38" s="75">
        <v>0</v>
      </c>
      <c r="W38" s="122">
        <v>0</v>
      </c>
      <c r="X38" s="75">
        <v>0</v>
      </c>
      <c r="Y38" s="75">
        <v>0</v>
      </c>
      <c r="Z38" s="122">
        <v>0</v>
      </c>
      <c r="AA38" s="40" t="s">
        <v>1291</v>
      </c>
      <c r="AB38" s="75">
        <f>5670+2150</f>
        <v>7820</v>
      </c>
      <c r="AC38" s="122">
        <f>5670+2150</f>
        <v>7820</v>
      </c>
      <c r="AD38" s="95"/>
      <c r="AE38" s="95"/>
      <c r="AF38" s="95"/>
      <c r="AG38" s="95"/>
      <c r="AH38" s="122"/>
      <c r="AI38" s="122"/>
      <c r="AJ38" s="115">
        <f t="shared" si="3"/>
        <v>16180</v>
      </c>
      <c r="AK38" s="116">
        <f t="shared" si="4"/>
        <v>16180</v>
      </c>
      <c r="AL38" s="115">
        <f t="shared" si="5"/>
        <v>7820</v>
      </c>
      <c r="AM38" s="235"/>
      <c r="AN38" s="426">
        <f>K38-AB38</f>
        <v>16180</v>
      </c>
    </row>
    <row r="39" spans="1:40" s="27" customFormat="1" x14ac:dyDescent="0.3">
      <c r="A39" s="16">
        <v>35</v>
      </c>
      <c r="B39" s="26" t="s">
        <v>269</v>
      </c>
      <c r="C39" s="314" t="s">
        <v>2157</v>
      </c>
      <c r="D39" s="624" t="s">
        <v>1308</v>
      </c>
      <c r="E39" s="132" t="s">
        <v>2158</v>
      </c>
      <c r="F39" s="132"/>
      <c r="G39" s="11" t="s">
        <v>113</v>
      </c>
      <c r="H39" s="11" t="s">
        <v>112</v>
      </c>
      <c r="I39" s="42" t="s">
        <v>1309</v>
      </c>
      <c r="J39" s="74" t="s">
        <v>476</v>
      </c>
      <c r="K39" s="113">
        <v>8795</v>
      </c>
      <c r="L39" s="113">
        <v>0</v>
      </c>
      <c r="M39" s="113">
        <v>0</v>
      </c>
      <c r="N39" s="577">
        <v>0</v>
      </c>
      <c r="O39" s="75" t="s">
        <v>1310</v>
      </c>
      <c r="P39" s="75">
        <f>1595+1205+1205</f>
        <v>4005</v>
      </c>
      <c r="Q39" s="122">
        <v>1205</v>
      </c>
      <c r="R39" s="75" t="s">
        <v>1311</v>
      </c>
      <c r="S39" s="75">
        <f>1205+1205+1595+1205</f>
        <v>5210</v>
      </c>
      <c r="T39" s="122">
        <f>1205+1205+1595+1205</f>
        <v>5210</v>
      </c>
      <c r="U39" s="75" t="s">
        <v>1312</v>
      </c>
      <c r="V39" s="75">
        <v>1205</v>
      </c>
      <c r="W39" s="122">
        <v>1205</v>
      </c>
      <c r="X39" s="93">
        <v>0</v>
      </c>
      <c r="Y39" s="75">
        <v>0</v>
      </c>
      <c r="Z39" s="122">
        <v>0</v>
      </c>
      <c r="AA39" s="40" t="s">
        <v>2784</v>
      </c>
      <c r="AB39" s="75">
        <f>1175+1175</f>
        <v>2350</v>
      </c>
      <c r="AC39" s="122">
        <v>1175</v>
      </c>
      <c r="AD39" s="95"/>
      <c r="AE39" s="95"/>
      <c r="AF39" s="95"/>
      <c r="AG39" s="95"/>
      <c r="AH39" s="122"/>
      <c r="AI39" s="122"/>
      <c r="AJ39" s="115">
        <f t="shared" si="3"/>
        <v>0</v>
      </c>
      <c r="AK39" s="116">
        <f t="shared" si="4"/>
        <v>-3975</v>
      </c>
      <c r="AL39" s="115">
        <f t="shared" si="5"/>
        <v>8795</v>
      </c>
      <c r="AM39" s="235"/>
      <c r="AN39" s="426">
        <f>K39-Q39-T39-V39-AB39</f>
        <v>-1175</v>
      </c>
    </row>
    <row r="40" spans="1:40" s="119" customFormat="1" x14ac:dyDescent="0.3">
      <c r="A40" s="16">
        <v>36</v>
      </c>
      <c r="B40" s="65" t="s">
        <v>270</v>
      </c>
      <c r="C40" s="495" t="s">
        <v>2159</v>
      </c>
      <c r="D40" s="622" t="s">
        <v>2730</v>
      </c>
      <c r="E40" s="528" t="s">
        <v>2160</v>
      </c>
      <c r="F40" s="528"/>
      <c r="G40" s="497" t="s">
        <v>113</v>
      </c>
      <c r="H40" s="66" t="s">
        <v>112</v>
      </c>
      <c r="I40" s="515" t="s">
        <v>119</v>
      </c>
      <c r="J40" s="554"/>
      <c r="K40" s="531">
        <v>5270</v>
      </c>
      <c r="L40" s="531">
        <v>0</v>
      </c>
      <c r="M40" s="531">
        <v>0</v>
      </c>
      <c r="N40" s="576">
        <v>0</v>
      </c>
      <c r="O40" s="117">
        <v>0</v>
      </c>
      <c r="P40" s="117">
        <v>0</v>
      </c>
      <c r="Q40" s="123">
        <v>0</v>
      </c>
      <c r="R40" s="117" t="s">
        <v>1448</v>
      </c>
      <c r="S40" s="117">
        <f t="shared" ref="S40:T42" si="6">1520+1250</f>
        <v>2770</v>
      </c>
      <c r="T40" s="123">
        <f t="shared" si="6"/>
        <v>2770</v>
      </c>
      <c r="U40" s="117" t="s">
        <v>1449</v>
      </c>
      <c r="V40" s="117">
        <v>1250</v>
      </c>
      <c r="W40" s="123">
        <v>1250</v>
      </c>
      <c r="X40" s="116"/>
      <c r="Y40" s="117"/>
      <c r="Z40" s="123"/>
      <c r="AA40" s="151"/>
      <c r="AB40" s="117"/>
      <c r="AC40" s="123"/>
      <c r="AD40" s="115"/>
      <c r="AE40" s="115"/>
      <c r="AF40" s="115"/>
      <c r="AG40" s="115"/>
      <c r="AH40" s="123"/>
      <c r="AI40" s="123"/>
      <c r="AJ40" s="115">
        <f t="shared" si="3"/>
        <v>1250</v>
      </c>
      <c r="AK40" s="116">
        <f t="shared" si="4"/>
        <v>1250</v>
      </c>
      <c r="AL40" s="115">
        <f t="shared" si="5"/>
        <v>4020</v>
      </c>
      <c r="AM40" s="236"/>
      <c r="AN40" s="553">
        <f>K40-T40-W40</f>
        <v>1250</v>
      </c>
    </row>
    <row r="41" spans="1:40" s="27" customFormat="1" x14ac:dyDescent="0.3">
      <c r="A41" s="16">
        <v>37</v>
      </c>
      <c r="B41" s="26" t="s">
        <v>271</v>
      </c>
      <c r="C41" s="314" t="s">
        <v>2161</v>
      </c>
      <c r="D41" s="624" t="s">
        <v>1241</v>
      </c>
      <c r="E41" s="132" t="s">
        <v>2162</v>
      </c>
      <c r="F41" s="132"/>
      <c r="G41" s="11" t="s">
        <v>113</v>
      </c>
      <c r="H41" s="12" t="s">
        <v>112</v>
      </c>
      <c r="I41" s="42" t="s">
        <v>119</v>
      </c>
      <c r="J41" s="72" t="s">
        <v>469</v>
      </c>
      <c r="K41" s="113">
        <v>8820</v>
      </c>
      <c r="L41" s="113">
        <v>0</v>
      </c>
      <c r="M41" s="113">
        <v>0</v>
      </c>
      <c r="N41" s="577">
        <v>0</v>
      </c>
      <c r="O41" s="75">
        <v>0</v>
      </c>
      <c r="P41" s="75">
        <v>0</v>
      </c>
      <c r="Q41" s="122">
        <v>0</v>
      </c>
      <c r="R41" s="75" t="s">
        <v>1242</v>
      </c>
      <c r="S41" s="75">
        <f t="shared" si="6"/>
        <v>2770</v>
      </c>
      <c r="T41" s="122">
        <f t="shared" si="6"/>
        <v>2770</v>
      </c>
      <c r="U41" s="75" t="s">
        <v>1243</v>
      </c>
      <c r="V41" s="75">
        <v>1250</v>
      </c>
      <c r="W41" s="122">
        <v>1250</v>
      </c>
      <c r="X41" s="93">
        <v>0</v>
      </c>
      <c r="Y41" s="75">
        <v>0</v>
      </c>
      <c r="Z41" s="122">
        <v>0</v>
      </c>
      <c r="AA41" s="40" t="s">
        <v>1244</v>
      </c>
      <c r="AB41" s="75">
        <f>1200+1200+1200</f>
        <v>3600</v>
      </c>
      <c r="AC41" s="122">
        <f>1200+1200+1200</f>
        <v>3600</v>
      </c>
      <c r="AD41" s="95"/>
      <c r="AE41" s="95"/>
      <c r="AF41" s="95"/>
      <c r="AG41" s="95"/>
      <c r="AH41" s="122"/>
      <c r="AI41" s="122"/>
      <c r="AJ41" s="115">
        <f t="shared" si="3"/>
        <v>1200</v>
      </c>
      <c r="AK41" s="116">
        <f t="shared" si="4"/>
        <v>1200</v>
      </c>
      <c r="AL41" s="115">
        <f t="shared" si="5"/>
        <v>7620</v>
      </c>
      <c r="AM41" s="235"/>
      <c r="AN41" s="426">
        <f>K41-T41-W41-AB41</f>
        <v>1200</v>
      </c>
    </row>
    <row r="42" spans="1:40" s="27" customFormat="1" x14ac:dyDescent="0.3">
      <c r="A42" s="16">
        <v>38</v>
      </c>
      <c r="B42" s="26" t="s">
        <v>272</v>
      </c>
      <c r="C42" s="314" t="s">
        <v>2163</v>
      </c>
      <c r="D42" s="624" t="s">
        <v>1245</v>
      </c>
      <c r="E42" s="132" t="s">
        <v>2164</v>
      </c>
      <c r="F42" s="132"/>
      <c r="G42" s="11" t="s">
        <v>7</v>
      </c>
      <c r="H42" s="12" t="s">
        <v>112</v>
      </c>
      <c r="I42" s="42" t="s">
        <v>119</v>
      </c>
      <c r="J42" s="74" t="s">
        <v>428</v>
      </c>
      <c r="K42" s="113">
        <v>8820</v>
      </c>
      <c r="L42" s="113">
        <v>0</v>
      </c>
      <c r="M42" s="113">
        <v>0</v>
      </c>
      <c r="N42" s="577">
        <v>0</v>
      </c>
      <c r="O42" s="75">
        <v>0</v>
      </c>
      <c r="P42" s="75">
        <v>0</v>
      </c>
      <c r="Q42" s="122">
        <v>0</v>
      </c>
      <c r="R42" s="75" t="s">
        <v>1246</v>
      </c>
      <c r="S42" s="75">
        <f t="shared" si="6"/>
        <v>2770</v>
      </c>
      <c r="T42" s="122">
        <f t="shared" si="6"/>
        <v>2770</v>
      </c>
      <c r="U42" s="75" t="s">
        <v>1247</v>
      </c>
      <c r="V42" s="75">
        <v>1250</v>
      </c>
      <c r="W42" s="122">
        <v>1250</v>
      </c>
      <c r="X42" s="93">
        <v>0</v>
      </c>
      <c r="Y42" s="75">
        <v>0</v>
      </c>
      <c r="Z42" s="122">
        <v>0</v>
      </c>
      <c r="AA42" s="40" t="s">
        <v>1248</v>
      </c>
      <c r="AB42" s="75">
        <f>1200+1200+1200</f>
        <v>3600</v>
      </c>
      <c r="AC42" s="122">
        <f>1200+1200+1200</f>
        <v>3600</v>
      </c>
      <c r="AD42" s="95"/>
      <c r="AE42" s="95"/>
      <c r="AF42" s="95"/>
      <c r="AG42" s="95"/>
      <c r="AH42" s="122"/>
      <c r="AI42" s="122"/>
      <c r="AJ42" s="115">
        <f t="shared" si="3"/>
        <v>1200</v>
      </c>
      <c r="AK42" s="116">
        <f t="shared" si="4"/>
        <v>1200</v>
      </c>
      <c r="AL42" s="115">
        <f t="shared" si="5"/>
        <v>7620</v>
      </c>
      <c r="AM42" s="235"/>
      <c r="AN42" s="426">
        <f>K42-T42-W42-AB42</f>
        <v>1200</v>
      </c>
    </row>
    <row r="43" spans="1:40" s="27" customFormat="1" x14ac:dyDescent="0.3">
      <c r="A43" s="16">
        <v>39</v>
      </c>
      <c r="B43" s="40" t="s">
        <v>402</v>
      </c>
      <c r="C43" s="315" t="s">
        <v>2183</v>
      </c>
      <c r="D43" s="297" t="s">
        <v>1128</v>
      </c>
      <c r="E43" s="134" t="s">
        <v>2184</v>
      </c>
      <c r="F43" s="134"/>
      <c r="G43" s="12" t="s">
        <v>405</v>
      </c>
      <c r="H43" s="12" t="s">
        <v>112</v>
      </c>
      <c r="I43" s="40" t="s">
        <v>431</v>
      </c>
      <c r="J43" s="302" t="s">
        <v>428</v>
      </c>
      <c r="K43" s="301">
        <v>24000</v>
      </c>
      <c r="L43" s="301">
        <v>0</v>
      </c>
      <c r="M43" s="301">
        <v>0</v>
      </c>
      <c r="N43" s="579">
        <v>0</v>
      </c>
      <c r="O43" s="75">
        <v>0</v>
      </c>
      <c r="P43" s="75">
        <v>0</v>
      </c>
      <c r="Q43" s="122">
        <v>0</v>
      </c>
      <c r="R43" s="75">
        <v>0</v>
      </c>
      <c r="S43" s="75">
        <v>0</v>
      </c>
      <c r="T43" s="122">
        <v>0</v>
      </c>
      <c r="U43" s="75">
        <v>0</v>
      </c>
      <c r="V43" s="75">
        <v>0</v>
      </c>
      <c r="W43" s="122">
        <v>0</v>
      </c>
      <c r="X43" s="40" t="s">
        <v>1438</v>
      </c>
      <c r="Y43" s="75">
        <f>5370+2850+1450</f>
        <v>9670</v>
      </c>
      <c r="Z43" s="122">
        <v>5320</v>
      </c>
      <c r="AA43" s="40"/>
      <c r="AB43" s="75"/>
      <c r="AC43" s="122"/>
      <c r="AD43" s="95"/>
      <c r="AE43" s="95"/>
      <c r="AF43" s="95"/>
      <c r="AG43" s="95"/>
      <c r="AH43" s="122"/>
      <c r="AI43" s="122"/>
      <c r="AJ43" s="115">
        <f t="shared" si="3"/>
        <v>18680</v>
      </c>
      <c r="AK43" s="116">
        <f t="shared" si="4"/>
        <v>14330</v>
      </c>
      <c r="AL43" s="115">
        <f t="shared" si="5"/>
        <v>5320</v>
      </c>
      <c r="AM43" s="12" t="s">
        <v>883</v>
      </c>
      <c r="AN43" s="426">
        <f>K43-Y43</f>
        <v>14330</v>
      </c>
    </row>
    <row r="44" spans="1:40" s="27" customFormat="1" x14ac:dyDescent="0.3">
      <c r="A44" s="16">
        <v>40</v>
      </c>
      <c r="B44" s="40" t="s">
        <v>420</v>
      </c>
      <c r="C44" s="12" t="s">
        <v>2187</v>
      </c>
      <c r="D44" s="124" t="s">
        <v>421</v>
      </c>
      <c r="E44" s="129" t="s">
        <v>2188</v>
      </c>
      <c r="F44" s="129"/>
      <c r="G44" s="12" t="s">
        <v>113</v>
      </c>
      <c r="H44" s="12" t="s">
        <v>112</v>
      </c>
      <c r="I44" s="40" t="s">
        <v>117</v>
      </c>
      <c r="J44" s="70" t="s">
        <v>645</v>
      </c>
      <c r="K44" s="301">
        <v>24000</v>
      </c>
      <c r="L44" s="301">
        <v>0</v>
      </c>
      <c r="M44" s="301">
        <v>0</v>
      </c>
      <c r="N44" s="579">
        <v>0</v>
      </c>
      <c r="O44" s="75">
        <v>0</v>
      </c>
      <c r="P44" s="75">
        <v>0</v>
      </c>
      <c r="Q44" s="122">
        <v>0</v>
      </c>
      <c r="R44" s="75">
        <v>0</v>
      </c>
      <c r="S44" s="75">
        <v>0</v>
      </c>
      <c r="T44" s="122">
        <v>0</v>
      </c>
      <c r="U44" s="75" t="s">
        <v>1439</v>
      </c>
      <c r="V44" s="75">
        <v>5720</v>
      </c>
      <c r="W44" s="122">
        <v>5670</v>
      </c>
      <c r="X44" s="93">
        <v>0</v>
      </c>
      <c r="Y44" s="75">
        <v>0</v>
      </c>
      <c r="Z44" s="122">
        <v>0</v>
      </c>
      <c r="AA44" s="40" t="s">
        <v>1440</v>
      </c>
      <c r="AB44" s="75">
        <f>2150+1250+1250</f>
        <v>4650</v>
      </c>
      <c r="AC44" s="122">
        <f>2150+1250+1250</f>
        <v>4650</v>
      </c>
      <c r="AD44" s="95"/>
      <c r="AE44" s="95"/>
      <c r="AF44" s="95"/>
      <c r="AG44" s="95"/>
      <c r="AH44" s="122"/>
      <c r="AI44" s="122"/>
      <c r="AJ44" s="115">
        <f t="shared" si="3"/>
        <v>13680</v>
      </c>
      <c r="AK44" s="116">
        <f t="shared" si="4"/>
        <v>13630</v>
      </c>
      <c r="AL44" s="115">
        <f t="shared" si="5"/>
        <v>10320</v>
      </c>
      <c r="AM44" s="235"/>
      <c r="AN44" s="426">
        <f>K44-W44-AB44</f>
        <v>13680</v>
      </c>
    </row>
    <row r="45" spans="1:40" s="119" customFormat="1" x14ac:dyDescent="0.3">
      <c r="A45" s="16">
        <v>41</v>
      </c>
      <c r="B45" s="151" t="s">
        <v>470</v>
      </c>
      <c r="C45" s="66" t="s">
        <v>2189</v>
      </c>
      <c r="D45" s="144" t="s">
        <v>471</v>
      </c>
      <c r="E45" s="150" t="s">
        <v>2190</v>
      </c>
      <c r="F45" s="150"/>
      <c r="G45" s="66" t="s">
        <v>448</v>
      </c>
      <c r="H45" s="66" t="s">
        <v>112</v>
      </c>
      <c r="I45" s="151" t="s">
        <v>472</v>
      </c>
      <c r="J45" s="573" t="s">
        <v>473</v>
      </c>
      <c r="K45" s="574">
        <v>5915</v>
      </c>
      <c r="L45" s="574" t="s">
        <v>1262</v>
      </c>
      <c r="M45" s="574">
        <f>1015+1105</f>
        <v>2120</v>
      </c>
      <c r="N45" s="581"/>
      <c r="O45" s="117" t="s">
        <v>1263</v>
      </c>
      <c r="P45" s="117">
        <f>480+1105</f>
        <v>1585</v>
      </c>
      <c r="Q45" s="123">
        <f>1105</f>
        <v>1105</v>
      </c>
      <c r="R45" s="117" t="s">
        <v>2785</v>
      </c>
      <c r="S45" s="117">
        <f>1105+1105</f>
        <v>2210</v>
      </c>
      <c r="T45" s="123">
        <f>1105+1105</f>
        <v>2210</v>
      </c>
      <c r="U45" s="117">
        <v>0</v>
      </c>
      <c r="V45" s="117">
        <v>0</v>
      </c>
      <c r="W45" s="123">
        <v>0</v>
      </c>
      <c r="X45" s="116">
        <v>0</v>
      </c>
      <c r="Y45" s="117">
        <v>0</v>
      </c>
      <c r="Z45" s="123">
        <v>0</v>
      </c>
      <c r="AA45" s="117">
        <v>0</v>
      </c>
      <c r="AB45" s="117">
        <v>0</v>
      </c>
      <c r="AC45" s="123">
        <v>0</v>
      </c>
      <c r="AD45" s="115"/>
      <c r="AE45" s="115"/>
      <c r="AF45" s="115"/>
      <c r="AG45" s="115"/>
      <c r="AH45" s="123"/>
      <c r="AI45" s="123"/>
      <c r="AJ45" s="115">
        <f t="shared" si="3"/>
        <v>2600</v>
      </c>
      <c r="AK45" s="116">
        <f t="shared" si="4"/>
        <v>0</v>
      </c>
      <c r="AL45" s="115">
        <f t="shared" si="5"/>
        <v>3315</v>
      </c>
      <c r="AM45" s="237" t="s">
        <v>1288</v>
      </c>
      <c r="AN45" s="151"/>
    </row>
    <row r="46" spans="1:40" s="27" customFormat="1" x14ac:dyDescent="0.3">
      <c r="A46" s="16">
        <v>42</v>
      </c>
      <c r="B46" s="40" t="s">
        <v>546</v>
      </c>
      <c r="C46" s="12" t="s">
        <v>2197</v>
      </c>
      <c r="D46" s="299" t="s">
        <v>854</v>
      </c>
      <c r="E46" s="131" t="s">
        <v>2198</v>
      </c>
      <c r="F46" s="131"/>
      <c r="G46" s="12" t="s">
        <v>113</v>
      </c>
      <c r="H46" s="12" t="s">
        <v>112</v>
      </c>
      <c r="I46" s="40" t="s">
        <v>487</v>
      </c>
      <c r="J46" s="302" t="s">
        <v>428</v>
      </c>
      <c r="K46" s="301">
        <v>24000</v>
      </c>
      <c r="L46" s="301">
        <v>0</v>
      </c>
      <c r="M46" s="301">
        <v>0</v>
      </c>
      <c r="N46" s="579">
        <v>0</v>
      </c>
      <c r="O46" s="75">
        <v>0</v>
      </c>
      <c r="P46" s="75">
        <v>0</v>
      </c>
      <c r="Q46" s="122">
        <v>0</v>
      </c>
      <c r="R46" s="75">
        <v>0</v>
      </c>
      <c r="S46" s="75">
        <v>0</v>
      </c>
      <c r="T46" s="122">
        <v>0</v>
      </c>
      <c r="U46" s="75">
        <v>0</v>
      </c>
      <c r="V46" s="75">
        <v>0</v>
      </c>
      <c r="W46" s="122">
        <v>0</v>
      </c>
      <c r="X46" s="40" t="s">
        <v>1441</v>
      </c>
      <c r="Y46" s="75">
        <v>5670</v>
      </c>
      <c r="Z46" s="122"/>
      <c r="AA46" s="40" t="s">
        <v>1442</v>
      </c>
      <c r="AB46" s="75">
        <v>2150</v>
      </c>
      <c r="AC46" s="122"/>
      <c r="AD46" s="95"/>
      <c r="AE46" s="95"/>
      <c r="AF46" s="95"/>
      <c r="AG46" s="95"/>
      <c r="AH46" s="122"/>
      <c r="AI46" s="122"/>
      <c r="AJ46" s="115">
        <f t="shared" si="3"/>
        <v>24000</v>
      </c>
      <c r="AK46" s="116">
        <f t="shared" si="4"/>
        <v>16180</v>
      </c>
      <c r="AL46" s="115">
        <f t="shared" si="5"/>
        <v>0</v>
      </c>
      <c r="AM46" s="235"/>
      <c r="AN46" s="426">
        <f>K46-Y46-AB46</f>
        <v>16180</v>
      </c>
    </row>
    <row r="47" spans="1:40" s="27" customFormat="1" x14ac:dyDescent="0.3">
      <c r="A47" s="16">
        <v>43</v>
      </c>
      <c r="B47" s="303" t="s">
        <v>609</v>
      </c>
      <c r="C47" s="241" t="s">
        <v>2050</v>
      </c>
      <c r="D47" s="628" t="s">
        <v>1049</v>
      </c>
      <c r="E47" s="304" t="s">
        <v>2208</v>
      </c>
      <c r="F47" s="304"/>
      <c r="G47" s="241" t="s">
        <v>113</v>
      </c>
      <c r="H47" s="241" t="s">
        <v>112</v>
      </c>
      <c r="I47" s="303" t="s">
        <v>404</v>
      </c>
      <c r="J47" s="398" t="s">
        <v>428</v>
      </c>
      <c r="K47" s="301">
        <v>24000</v>
      </c>
      <c r="L47" s="301">
        <v>0</v>
      </c>
      <c r="M47" s="301">
        <v>0</v>
      </c>
      <c r="N47" s="579">
        <v>0</v>
      </c>
      <c r="O47" s="75">
        <v>0</v>
      </c>
      <c r="P47" s="75">
        <v>0</v>
      </c>
      <c r="Q47" s="122">
        <v>0</v>
      </c>
      <c r="R47" s="75">
        <v>0</v>
      </c>
      <c r="S47" s="75">
        <v>0</v>
      </c>
      <c r="T47" s="122">
        <v>0</v>
      </c>
      <c r="U47" s="75">
        <v>0</v>
      </c>
      <c r="V47" s="75">
        <v>0</v>
      </c>
      <c r="W47" s="122">
        <v>0</v>
      </c>
      <c r="X47" s="40" t="s">
        <v>632</v>
      </c>
      <c r="Y47" s="75">
        <v>2150</v>
      </c>
      <c r="Z47" s="122">
        <v>2150</v>
      </c>
      <c r="AA47" s="40" t="s">
        <v>1444</v>
      </c>
      <c r="AB47" s="75">
        <v>1250</v>
      </c>
      <c r="AC47" s="122">
        <v>1250</v>
      </c>
      <c r="AD47" s="95"/>
      <c r="AE47" s="95"/>
      <c r="AF47" s="95"/>
      <c r="AG47" s="95"/>
      <c r="AH47" s="122"/>
      <c r="AI47" s="122"/>
      <c r="AJ47" s="115">
        <f t="shared" si="3"/>
        <v>20600</v>
      </c>
      <c r="AK47" s="116">
        <f t="shared" si="4"/>
        <v>20600</v>
      </c>
      <c r="AL47" s="115">
        <f t="shared" si="5"/>
        <v>3400</v>
      </c>
      <c r="AM47" s="235"/>
      <c r="AN47" s="426">
        <f>K47-Q47-T47-Z47-AB47</f>
        <v>20600</v>
      </c>
    </row>
    <row r="48" spans="1:40" s="119" customFormat="1" x14ac:dyDescent="0.3">
      <c r="A48" s="16">
        <v>44</v>
      </c>
      <c r="B48" s="498" t="s">
        <v>2226</v>
      </c>
      <c r="C48" s="499" t="s">
        <v>2227</v>
      </c>
      <c r="D48" s="629" t="s">
        <v>2225</v>
      </c>
      <c r="E48" s="499" t="s">
        <v>2224</v>
      </c>
      <c r="F48" s="499"/>
      <c r="G48" s="499" t="s">
        <v>7</v>
      </c>
      <c r="H48" s="66" t="s">
        <v>112</v>
      </c>
      <c r="I48" s="498" t="s">
        <v>435</v>
      </c>
      <c r="J48" s="501"/>
      <c r="K48" s="574">
        <v>4420</v>
      </c>
      <c r="L48" s="574">
        <v>0</v>
      </c>
      <c r="M48" s="574">
        <v>0</v>
      </c>
      <c r="N48" s="581">
        <v>0</v>
      </c>
      <c r="O48" s="117" t="s">
        <v>2883</v>
      </c>
      <c r="P48" s="117">
        <f>1105+1105</f>
        <v>2210</v>
      </c>
      <c r="Q48" s="123">
        <f>1105+1105</f>
        <v>2210</v>
      </c>
      <c r="R48" s="117" t="s">
        <v>2884</v>
      </c>
      <c r="S48" s="117">
        <f>1105+1105</f>
        <v>2210</v>
      </c>
      <c r="T48" s="123">
        <f>1105+1105</f>
        <v>2210</v>
      </c>
      <c r="U48" s="117"/>
      <c r="V48" s="117"/>
      <c r="W48" s="123"/>
      <c r="X48" s="151"/>
      <c r="Y48" s="117"/>
      <c r="Z48" s="123"/>
      <c r="AA48" s="151"/>
      <c r="AB48" s="117"/>
      <c r="AC48" s="123"/>
      <c r="AD48" s="115"/>
      <c r="AE48" s="115"/>
      <c r="AF48" s="115"/>
      <c r="AG48" s="115"/>
      <c r="AH48" s="123"/>
      <c r="AI48" s="123"/>
      <c r="AJ48" s="115">
        <f>K48-N48-Q48-T48-W48-Z48-AC48-AF48</f>
        <v>0</v>
      </c>
      <c r="AK48" s="116">
        <f>K48-M48-P48-S48-V48-Y48-AB48-AE48</f>
        <v>0</v>
      </c>
      <c r="AL48" s="115">
        <f>N48+Q48+T48+W48+Z48+AC48+AF48</f>
        <v>4420</v>
      </c>
      <c r="AM48" s="236" t="s">
        <v>570</v>
      </c>
      <c r="AN48" s="553"/>
    </row>
    <row r="49" spans="1:41" s="27" customFormat="1" x14ac:dyDescent="0.3">
      <c r="A49" s="16">
        <v>45</v>
      </c>
      <c r="B49" s="40" t="s">
        <v>633</v>
      </c>
      <c r="C49" s="12" t="s">
        <v>2210</v>
      </c>
      <c r="D49" s="299" t="s">
        <v>949</v>
      </c>
      <c r="E49" s="131" t="s">
        <v>2211</v>
      </c>
      <c r="F49" s="131"/>
      <c r="G49" s="12" t="s">
        <v>113</v>
      </c>
      <c r="H49" s="12" t="s">
        <v>112</v>
      </c>
      <c r="I49" s="40" t="s">
        <v>404</v>
      </c>
      <c r="J49" s="86" t="s">
        <v>428</v>
      </c>
      <c r="K49" s="301">
        <v>24000</v>
      </c>
      <c r="L49" s="301">
        <v>0</v>
      </c>
      <c r="M49" s="301">
        <v>0</v>
      </c>
      <c r="N49" s="579">
        <v>0</v>
      </c>
      <c r="O49" s="75">
        <v>0</v>
      </c>
      <c r="P49" s="75">
        <v>0</v>
      </c>
      <c r="Q49" s="122">
        <v>0</v>
      </c>
      <c r="R49" s="75">
        <v>0</v>
      </c>
      <c r="S49" s="75">
        <v>0</v>
      </c>
      <c r="T49" s="122">
        <v>0</v>
      </c>
      <c r="U49" s="75">
        <v>0</v>
      </c>
      <c r="V49" s="75">
        <v>0</v>
      </c>
      <c r="W49" s="122">
        <v>0</v>
      </c>
      <c r="X49" s="40" t="s">
        <v>950</v>
      </c>
      <c r="Y49" s="75">
        <v>2150</v>
      </c>
      <c r="Z49" s="122">
        <v>2150</v>
      </c>
      <c r="AA49" s="40" t="s">
        <v>1445</v>
      </c>
      <c r="AB49" s="75">
        <v>1250</v>
      </c>
      <c r="AC49" s="122">
        <v>1250</v>
      </c>
      <c r="AD49" s="95"/>
      <c r="AE49" s="95"/>
      <c r="AF49" s="95"/>
      <c r="AG49" s="95"/>
      <c r="AH49" s="122"/>
      <c r="AI49" s="122"/>
      <c r="AJ49" s="115">
        <f>K49-N49-Q49-T49-W49-Z49-AC49-AF49</f>
        <v>20600</v>
      </c>
      <c r="AK49" s="116">
        <f>K49-M49-P49-S49-V49-Y49-AB49-AE49</f>
        <v>20600</v>
      </c>
      <c r="AL49" s="115">
        <f>N49+Q49+T49+W49+Z49+AC49+AF49</f>
        <v>3400</v>
      </c>
      <c r="AM49" s="235"/>
      <c r="AN49" s="426">
        <f>K49-Z49-AC49</f>
        <v>20600</v>
      </c>
    </row>
    <row r="50" spans="1:41" s="27" customFormat="1" x14ac:dyDescent="0.3">
      <c r="A50" s="16">
        <v>46</v>
      </c>
      <c r="B50" s="26" t="s">
        <v>274</v>
      </c>
      <c r="C50" s="314" t="s">
        <v>2165</v>
      </c>
      <c r="D50" s="624" t="s">
        <v>865</v>
      </c>
      <c r="E50" s="132" t="s">
        <v>2166</v>
      </c>
      <c r="F50" s="132"/>
      <c r="G50" s="11" t="s">
        <v>448</v>
      </c>
      <c r="H50" s="12" t="s">
        <v>112</v>
      </c>
      <c r="I50" s="42" t="s">
        <v>953</v>
      </c>
      <c r="J50" s="74" t="s">
        <v>428</v>
      </c>
      <c r="K50" s="113">
        <v>10070</v>
      </c>
      <c r="L50" s="113">
        <v>0</v>
      </c>
      <c r="M50" s="113">
        <v>0</v>
      </c>
      <c r="N50" s="577">
        <v>0</v>
      </c>
      <c r="O50" s="75" t="s">
        <v>866</v>
      </c>
      <c r="P50" s="75">
        <v>1520</v>
      </c>
      <c r="Q50" s="122">
        <v>1520</v>
      </c>
      <c r="R50" s="75" t="s">
        <v>868</v>
      </c>
      <c r="S50" s="75">
        <f>1250+1250</f>
        <v>2500</v>
      </c>
      <c r="T50" s="122">
        <f>1250+1250</f>
        <v>2500</v>
      </c>
      <c r="U50" s="75" t="s">
        <v>867</v>
      </c>
      <c r="V50" s="75">
        <v>1250</v>
      </c>
      <c r="W50" s="122">
        <v>1250</v>
      </c>
      <c r="X50" s="93" t="s">
        <v>1436</v>
      </c>
      <c r="Y50" s="75">
        <f>1200+1200+1200</f>
        <v>3600</v>
      </c>
      <c r="Z50" s="122"/>
      <c r="AA50" s="40" t="s">
        <v>2616</v>
      </c>
      <c r="AB50" s="75">
        <v>1200</v>
      </c>
      <c r="AC50" s="122"/>
      <c r="AD50" s="95"/>
      <c r="AE50" s="95"/>
      <c r="AF50" s="95"/>
      <c r="AG50" s="95"/>
      <c r="AH50" s="122"/>
      <c r="AI50" s="122"/>
      <c r="AJ50" s="115">
        <f t="shared" ref="AJ50:AJ56" si="7">K50-N50-Q50-T50-W50-Z50-AC50-AF50</f>
        <v>4800</v>
      </c>
      <c r="AK50" s="116">
        <f t="shared" ref="AK50:AK56" si="8">K50-M50-P50-S50-V50-Y50-AB50-AE50</f>
        <v>0</v>
      </c>
      <c r="AL50" s="115">
        <f t="shared" ref="AL50:AL56" si="9">N50+Q50+T50+W50+Z50+AC50+AF50</f>
        <v>5270</v>
      </c>
      <c r="AM50" s="408" t="s">
        <v>570</v>
      </c>
      <c r="AN50" s="40" t="s">
        <v>2886</v>
      </c>
      <c r="AO50" s="27" t="s">
        <v>2885</v>
      </c>
    </row>
    <row r="51" spans="1:41" s="60" customFormat="1" x14ac:dyDescent="0.3">
      <c r="A51" s="16">
        <v>47</v>
      </c>
      <c r="B51" s="61" t="s">
        <v>275</v>
      </c>
      <c r="C51" s="328" t="s">
        <v>2167</v>
      </c>
      <c r="D51" s="630" t="s">
        <v>2731</v>
      </c>
      <c r="E51" s="136" t="s">
        <v>2168</v>
      </c>
      <c r="F51" s="136"/>
      <c r="G51" s="62" t="s">
        <v>7</v>
      </c>
      <c r="H51" s="64" t="s">
        <v>112</v>
      </c>
      <c r="I51" s="63" t="s">
        <v>122</v>
      </c>
      <c r="J51" s="178" t="s">
        <v>604</v>
      </c>
      <c r="K51" s="275"/>
      <c r="L51" s="571">
        <v>0</v>
      </c>
      <c r="M51" s="555">
        <v>0</v>
      </c>
      <c r="N51" s="555">
        <v>0</v>
      </c>
      <c r="O51" s="555" t="s">
        <v>2887</v>
      </c>
      <c r="P51" s="555">
        <f>1720+1450+1450</f>
        <v>4620</v>
      </c>
      <c r="Q51" s="555">
        <f>1720+1450+1450</f>
        <v>4620</v>
      </c>
      <c r="R51" s="555" t="s">
        <v>2888</v>
      </c>
      <c r="S51" s="555">
        <v>1450</v>
      </c>
      <c r="T51" s="555">
        <v>1450</v>
      </c>
      <c r="U51" s="555"/>
      <c r="V51" s="555"/>
      <c r="W51" s="555"/>
      <c r="X51" s="569"/>
      <c r="Y51" s="582"/>
      <c r="Z51" s="555"/>
      <c r="AA51" s="556"/>
      <c r="AB51" s="555"/>
      <c r="AC51" s="555"/>
      <c r="AD51" s="557"/>
      <c r="AE51" s="557"/>
      <c r="AF51" s="557"/>
      <c r="AG51" s="557"/>
      <c r="AH51" s="555"/>
      <c r="AI51" s="555"/>
      <c r="AJ51" s="115">
        <f t="shared" si="7"/>
        <v>-6070</v>
      </c>
      <c r="AK51" s="116">
        <f t="shared" si="8"/>
        <v>-6070</v>
      </c>
      <c r="AL51" s="115">
        <f t="shared" si="9"/>
        <v>6070</v>
      </c>
      <c r="AM51" s="567" t="s">
        <v>604</v>
      </c>
      <c r="AN51" s="275"/>
    </row>
    <row r="52" spans="1:41" s="27" customFormat="1" x14ac:dyDescent="0.3">
      <c r="A52" s="16">
        <v>48</v>
      </c>
      <c r="B52" s="26" t="s">
        <v>276</v>
      </c>
      <c r="C52" s="314" t="s">
        <v>2169</v>
      </c>
      <c r="D52" s="623" t="s">
        <v>2732</v>
      </c>
      <c r="E52" s="135" t="s">
        <v>2170</v>
      </c>
      <c r="F52" s="135"/>
      <c r="G52" s="12" t="s">
        <v>113</v>
      </c>
      <c r="H52" s="12" t="s">
        <v>112</v>
      </c>
      <c r="I52" s="34" t="s">
        <v>116</v>
      </c>
      <c r="J52" s="70"/>
      <c r="K52" s="301">
        <v>24000</v>
      </c>
      <c r="L52" s="301">
        <v>0</v>
      </c>
      <c r="M52" s="301">
        <v>0</v>
      </c>
      <c r="N52" s="579">
        <v>0</v>
      </c>
      <c r="O52" s="75">
        <v>0</v>
      </c>
      <c r="P52" s="75">
        <v>0</v>
      </c>
      <c r="Q52" s="122">
        <v>0</v>
      </c>
      <c r="R52" s="75">
        <v>0</v>
      </c>
      <c r="S52" s="75">
        <v>0</v>
      </c>
      <c r="T52" s="122">
        <v>0</v>
      </c>
      <c r="U52" s="75" t="s">
        <v>1258</v>
      </c>
      <c r="V52" s="75">
        <v>2200</v>
      </c>
      <c r="W52" s="122">
        <v>2200</v>
      </c>
      <c r="X52" s="93">
        <v>0</v>
      </c>
      <c r="Y52" s="75">
        <v>0</v>
      </c>
      <c r="Z52" s="122">
        <v>0</v>
      </c>
      <c r="AA52" s="40" t="s">
        <v>1450</v>
      </c>
      <c r="AB52" s="75">
        <f>1250+1250</f>
        <v>2500</v>
      </c>
      <c r="AC52" s="122"/>
      <c r="AD52" s="95"/>
      <c r="AE52" s="95"/>
      <c r="AF52" s="95"/>
      <c r="AG52" s="95"/>
      <c r="AH52" s="122"/>
      <c r="AI52" s="122"/>
      <c r="AJ52" s="95">
        <f t="shared" si="7"/>
        <v>21800</v>
      </c>
      <c r="AK52" s="93">
        <f t="shared" si="8"/>
        <v>19300</v>
      </c>
      <c r="AL52" s="95">
        <f t="shared" si="9"/>
        <v>2200</v>
      </c>
      <c r="AM52" s="235" t="s">
        <v>570</v>
      </c>
      <c r="AN52" s="426">
        <f>K52-W52-AB52</f>
        <v>19300</v>
      </c>
    </row>
    <row r="53" spans="1:41" s="27" customFormat="1" x14ac:dyDescent="0.3">
      <c r="A53" s="16">
        <v>49</v>
      </c>
      <c r="B53" s="40" t="s">
        <v>486</v>
      </c>
      <c r="C53" s="12" t="s">
        <v>2191</v>
      </c>
      <c r="D53" s="124" t="s">
        <v>1303</v>
      </c>
      <c r="E53" s="129" t="s">
        <v>2192</v>
      </c>
      <c r="F53" s="129"/>
      <c r="G53" s="12" t="s">
        <v>113</v>
      </c>
      <c r="H53" s="12" t="s">
        <v>112</v>
      </c>
      <c r="I53" s="40" t="s">
        <v>487</v>
      </c>
      <c r="J53" s="302" t="s">
        <v>428</v>
      </c>
      <c r="K53" s="301">
        <v>24000</v>
      </c>
      <c r="L53" s="301">
        <v>0</v>
      </c>
      <c r="M53" s="301">
        <v>0</v>
      </c>
      <c r="N53" s="579">
        <v>0</v>
      </c>
      <c r="O53" s="75">
        <v>0</v>
      </c>
      <c r="P53" s="75">
        <v>0</v>
      </c>
      <c r="Q53" s="122">
        <v>0</v>
      </c>
      <c r="R53" s="75">
        <v>0</v>
      </c>
      <c r="S53" s="75">
        <v>0</v>
      </c>
      <c r="T53" s="122">
        <v>0</v>
      </c>
      <c r="U53" s="75">
        <v>0</v>
      </c>
      <c r="V53" s="75">
        <v>0</v>
      </c>
      <c r="W53" s="122">
        <v>0</v>
      </c>
      <c r="X53" s="93">
        <v>0</v>
      </c>
      <c r="Y53" s="75">
        <v>0</v>
      </c>
      <c r="Z53" s="122">
        <v>0</v>
      </c>
      <c r="AA53" s="40" t="s">
        <v>2889</v>
      </c>
      <c r="AB53" s="75">
        <f>5670+2150+1250+1250</f>
        <v>10320</v>
      </c>
      <c r="AC53" s="122">
        <f>5670+2150</f>
        <v>7820</v>
      </c>
      <c r="AD53" s="95"/>
      <c r="AE53" s="95"/>
      <c r="AF53" s="95"/>
      <c r="AG53" s="95"/>
      <c r="AH53" s="122"/>
      <c r="AI53" s="122"/>
      <c r="AJ53" s="115">
        <f t="shared" si="7"/>
        <v>16180</v>
      </c>
      <c r="AK53" s="116">
        <f t="shared" si="8"/>
        <v>13680</v>
      </c>
      <c r="AL53" s="115">
        <f t="shared" si="9"/>
        <v>7820</v>
      </c>
      <c r="AM53" s="235"/>
      <c r="AN53" s="426">
        <f>K53-AB53</f>
        <v>13680</v>
      </c>
    </row>
    <row r="54" spans="1:41" s="119" customFormat="1" x14ac:dyDescent="0.3">
      <c r="A54" s="16">
        <v>50</v>
      </c>
      <c r="B54" s="65" t="s">
        <v>277</v>
      </c>
      <c r="C54" s="495" t="s">
        <v>2171</v>
      </c>
      <c r="D54" s="627" t="s">
        <v>1211</v>
      </c>
      <c r="E54" s="565" t="s">
        <v>2172</v>
      </c>
      <c r="F54" s="565"/>
      <c r="G54" s="66" t="s">
        <v>113</v>
      </c>
      <c r="H54" s="66" t="s">
        <v>112</v>
      </c>
      <c r="I54" s="518" t="s">
        <v>123</v>
      </c>
      <c r="J54" s="566"/>
      <c r="K54" s="574">
        <v>2500</v>
      </c>
      <c r="L54" s="574">
        <v>0</v>
      </c>
      <c r="M54" s="574">
        <v>0</v>
      </c>
      <c r="N54" s="581">
        <v>0</v>
      </c>
      <c r="O54" s="117">
        <v>0</v>
      </c>
      <c r="P54" s="117">
        <v>0</v>
      </c>
      <c r="Q54" s="123">
        <v>0</v>
      </c>
      <c r="R54" s="117" t="s">
        <v>1212</v>
      </c>
      <c r="S54" s="117">
        <v>1250</v>
      </c>
      <c r="T54" s="123">
        <v>1250</v>
      </c>
      <c r="U54" s="117" t="s">
        <v>1213</v>
      </c>
      <c r="V54" s="117">
        <v>1250</v>
      </c>
      <c r="W54" s="123">
        <v>1250</v>
      </c>
      <c r="X54" s="116"/>
      <c r="Y54" s="117"/>
      <c r="Z54" s="123"/>
      <c r="AA54" s="151"/>
      <c r="AB54" s="117"/>
      <c r="AC54" s="123"/>
      <c r="AD54" s="115"/>
      <c r="AE54" s="115"/>
      <c r="AF54" s="115"/>
      <c r="AG54" s="115"/>
      <c r="AH54" s="123"/>
      <c r="AI54" s="123"/>
      <c r="AJ54" s="115">
        <f t="shared" si="7"/>
        <v>0</v>
      </c>
      <c r="AK54" s="116">
        <f t="shared" si="8"/>
        <v>0</v>
      </c>
      <c r="AL54" s="115">
        <f t="shared" si="9"/>
        <v>2500</v>
      </c>
      <c r="AM54" s="236" t="s">
        <v>570</v>
      </c>
      <c r="AN54" s="553">
        <f>K54-T54-W54</f>
        <v>0</v>
      </c>
    </row>
    <row r="55" spans="1:41" s="27" customFormat="1" x14ac:dyDescent="0.3">
      <c r="A55" s="16">
        <v>51</v>
      </c>
      <c r="B55" s="26" t="s">
        <v>278</v>
      </c>
      <c r="C55" s="309" t="s">
        <v>2173</v>
      </c>
      <c r="D55" s="299" t="s">
        <v>1299</v>
      </c>
      <c r="E55" s="131" t="s">
        <v>2174</v>
      </c>
      <c r="F55" s="131"/>
      <c r="G55" s="12" t="s">
        <v>113</v>
      </c>
      <c r="H55" s="12" t="s">
        <v>112</v>
      </c>
      <c r="I55" s="40" t="s">
        <v>431</v>
      </c>
      <c r="J55" s="302" t="s">
        <v>432</v>
      </c>
      <c r="K55" s="301">
        <v>24000</v>
      </c>
      <c r="L55" s="301">
        <v>0</v>
      </c>
      <c r="M55" s="301">
        <v>0</v>
      </c>
      <c r="N55" s="579">
        <v>0</v>
      </c>
      <c r="O55" s="75">
        <v>0</v>
      </c>
      <c r="P55" s="75">
        <v>0</v>
      </c>
      <c r="Q55" s="122">
        <v>0</v>
      </c>
      <c r="R55" s="75">
        <v>0</v>
      </c>
      <c r="S55" s="75">
        <v>0</v>
      </c>
      <c r="T55" s="122">
        <v>0</v>
      </c>
      <c r="U55" s="75">
        <v>0</v>
      </c>
      <c r="V55" s="75">
        <v>0</v>
      </c>
      <c r="W55" s="122">
        <v>0</v>
      </c>
      <c r="X55" s="40" t="s">
        <v>926</v>
      </c>
      <c r="Y55" s="75">
        <v>5920</v>
      </c>
      <c r="Z55" s="122">
        <v>5870</v>
      </c>
      <c r="AA55" s="40" t="s">
        <v>1300</v>
      </c>
      <c r="AB55" s="75">
        <v>2350</v>
      </c>
      <c r="AC55" s="122">
        <v>2350</v>
      </c>
      <c r="AD55" s="95"/>
      <c r="AE55" s="95"/>
      <c r="AF55" s="95"/>
      <c r="AG55" s="95"/>
      <c r="AH55" s="122"/>
      <c r="AI55" s="122"/>
      <c r="AJ55" s="115">
        <f t="shared" si="7"/>
        <v>15780</v>
      </c>
      <c r="AK55" s="116">
        <f t="shared" si="8"/>
        <v>15730</v>
      </c>
      <c r="AL55" s="115">
        <f t="shared" si="9"/>
        <v>8220</v>
      </c>
      <c r="AM55" s="300" t="s">
        <v>1301</v>
      </c>
      <c r="AN55" s="40"/>
      <c r="AO55" s="37"/>
    </row>
    <row r="56" spans="1:41" s="27" customFormat="1" x14ac:dyDescent="0.3">
      <c r="A56" s="16">
        <v>52</v>
      </c>
      <c r="B56" s="40" t="s">
        <v>534</v>
      </c>
      <c r="C56" s="12" t="s">
        <v>2193</v>
      </c>
      <c r="D56" s="299" t="s">
        <v>1079</v>
      </c>
      <c r="E56" s="131" t="s">
        <v>2194</v>
      </c>
      <c r="F56" s="131"/>
      <c r="G56" s="12" t="s">
        <v>113</v>
      </c>
      <c r="H56" s="12" t="s">
        <v>112</v>
      </c>
      <c r="I56" s="40" t="s">
        <v>404</v>
      </c>
      <c r="J56" s="302" t="s">
        <v>428</v>
      </c>
      <c r="K56" s="301">
        <v>24000</v>
      </c>
      <c r="L56" s="301">
        <v>0</v>
      </c>
      <c r="M56" s="301">
        <v>0</v>
      </c>
      <c r="N56" s="579">
        <v>0</v>
      </c>
      <c r="O56" s="75">
        <v>0</v>
      </c>
      <c r="P56" s="75">
        <v>0</v>
      </c>
      <c r="Q56" s="122">
        <v>0</v>
      </c>
      <c r="R56" s="75">
        <v>0</v>
      </c>
      <c r="S56" s="75">
        <v>0</v>
      </c>
      <c r="T56" s="122">
        <v>0</v>
      </c>
      <c r="U56" s="75">
        <v>0</v>
      </c>
      <c r="V56" s="75">
        <v>0</v>
      </c>
      <c r="W56" s="122">
        <v>0</v>
      </c>
      <c r="X56" s="40" t="s">
        <v>1080</v>
      </c>
      <c r="Y56" s="75">
        <v>2150</v>
      </c>
      <c r="Z56" s="122">
        <v>2150</v>
      </c>
      <c r="AA56" s="40" t="s">
        <v>1289</v>
      </c>
      <c r="AB56" s="75">
        <v>1250</v>
      </c>
      <c r="AC56" s="122"/>
      <c r="AD56" s="95"/>
      <c r="AE56" s="95"/>
      <c r="AF56" s="95"/>
      <c r="AG56" s="95"/>
      <c r="AH56" s="122"/>
      <c r="AI56" s="122"/>
      <c r="AJ56" s="115">
        <f t="shared" si="7"/>
        <v>21850</v>
      </c>
      <c r="AK56" s="116">
        <f t="shared" si="8"/>
        <v>20600</v>
      </c>
      <c r="AL56" s="115">
        <f t="shared" si="9"/>
        <v>2150</v>
      </c>
      <c r="AM56" s="235"/>
      <c r="AN56" s="426">
        <f>K56-Z56-AB56</f>
        <v>20600</v>
      </c>
    </row>
    <row r="57" spans="1:41" x14ac:dyDescent="0.3">
      <c r="A57" s="16">
        <v>53</v>
      </c>
      <c r="B57" s="83" t="s">
        <v>2400</v>
      </c>
      <c r="C57" s="82" t="s">
        <v>2402</v>
      </c>
      <c r="D57" s="125" t="s">
        <v>774</v>
      </c>
      <c r="E57" s="138" t="s">
        <v>2401</v>
      </c>
      <c r="F57" s="138"/>
      <c r="G57" s="138" t="s">
        <v>7</v>
      </c>
      <c r="H57" s="138" t="s">
        <v>112</v>
      </c>
      <c r="I57" s="85" t="s">
        <v>773</v>
      </c>
      <c r="J57" s="85" t="s">
        <v>772</v>
      </c>
      <c r="K57" s="89"/>
      <c r="L57" s="338"/>
      <c r="M57" s="89"/>
      <c r="N57" s="121"/>
      <c r="O57" s="89"/>
      <c r="P57" s="89"/>
      <c r="Q57" s="121"/>
      <c r="R57" s="89"/>
      <c r="S57" s="89"/>
      <c r="T57" s="121"/>
      <c r="U57" s="89"/>
      <c r="V57" s="89"/>
      <c r="W57" s="121"/>
      <c r="X57" s="92"/>
      <c r="Y57" s="89"/>
      <c r="Z57" s="121"/>
      <c r="AA57" s="83"/>
      <c r="AB57" s="89"/>
      <c r="AC57" s="121"/>
      <c r="AD57" s="94"/>
      <c r="AE57" s="94"/>
      <c r="AF57" s="94"/>
      <c r="AG57" s="94"/>
      <c r="AH57" s="121"/>
      <c r="AI57" s="121"/>
      <c r="AJ57" s="94"/>
      <c r="AK57" s="92"/>
      <c r="AL57" s="94"/>
      <c r="AM57" s="100"/>
      <c r="AN57" s="96"/>
    </row>
    <row r="58" spans="1:41" x14ac:dyDescent="0.3">
      <c r="A58" s="16">
        <v>54</v>
      </c>
      <c r="B58" s="83" t="s">
        <v>778</v>
      </c>
      <c r="C58" s="82" t="s">
        <v>2404</v>
      </c>
      <c r="D58" s="125" t="s">
        <v>779</v>
      </c>
      <c r="E58" s="138" t="s">
        <v>2403</v>
      </c>
      <c r="F58" s="138"/>
      <c r="G58" s="138" t="s">
        <v>7</v>
      </c>
      <c r="H58" s="138" t="s">
        <v>112</v>
      </c>
      <c r="I58" s="85" t="s">
        <v>780</v>
      </c>
      <c r="J58" s="85" t="s">
        <v>781</v>
      </c>
      <c r="K58" s="89">
        <v>0</v>
      </c>
      <c r="L58" s="338">
        <v>0</v>
      </c>
      <c r="M58" s="89">
        <v>0</v>
      </c>
      <c r="N58" s="121">
        <v>0</v>
      </c>
      <c r="O58" s="89">
        <v>0</v>
      </c>
      <c r="P58" s="89">
        <v>0</v>
      </c>
      <c r="Q58" s="121">
        <v>0</v>
      </c>
      <c r="R58" s="89">
        <v>0</v>
      </c>
      <c r="S58" s="89">
        <v>0</v>
      </c>
      <c r="T58" s="121">
        <v>0</v>
      </c>
      <c r="U58" s="89">
        <v>0</v>
      </c>
      <c r="V58" s="89">
        <v>0</v>
      </c>
      <c r="W58" s="121">
        <v>0</v>
      </c>
      <c r="X58" s="92"/>
      <c r="Y58" s="89"/>
      <c r="Z58" s="121"/>
      <c r="AA58" s="83"/>
      <c r="AB58" s="89"/>
      <c r="AC58" s="121"/>
      <c r="AD58" s="94"/>
      <c r="AE58" s="94"/>
      <c r="AF58" s="94"/>
      <c r="AG58" s="94"/>
      <c r="AH58" s="121"/>
      <c r="AI58" s="121"/>
      <c r="AJ58" s="94"/>
      <c r="AK58" s="92"/>
      <c r="AL58" s="94"/>
      <c r="AM58" s="100"/>
      <c r="AN58" s="96"/>
    </row>
    <row r="59" spans="1:41" x14ac:dyDescent="0.3">
      <c r="A59" s="16">
        <v>55</v>
      </c>
      <c r="B59" s="83" t="s">
        <v>927</v>
      </c>
      <c r="C59" s="82" t="s">
        <v>2406</v>
      </c>
      <c r="D59" s="631" t="s">
        <v>2399</v>
      </c>
      <c r="E59" s="138" t="s">
        <v>2405</v>
      </c>
      <c r="F59" s="138"/>
      <c r="G59" s="138" t="s">
        <v>113</v>
      </c>
      <c r="H59" s="138" t="s">
        <v>112</v>
      </c>
      <c r="I59" s="85" t="s">
        <v>116</v>
      </c>
      <c r="J59" s="85" t="s">
        <v>781</v>
      </c>
      <c r="K59" s="89">
        <v>5900</v>
      </c>
      <c r="L59" s="338">
        <v>0</v>
      </c>
      <c r="M59" s="89">
        <v>0</v>
      </c>
      <c r="N59" s="121">
        <v>0</v>
      </c>
      <c r="O59" s="89">
        <v>0</v>
      </c>
      <c r="P59" s="89">
        <v>0</v>
      </c>
      <c r="Q59" s="121">
        <v>0</v>
      </c>
      <c r="R59" s="89">
        <v>0</v>
      </c>
      <c r="S59" s="89">
        <v>0</v>
      </c>
      <c r="T59" s="121">
        <v>0</v>
      </c>
      <c r="U59" s="89">
        <v>0</v>
      </c>
      <c r="V59" s="89">
        <v>0</v>
      </c>
      <c r="W59" s="121">
        <v>0</v>
      </c>
      <c r="X59" s="92">
        <v>0</v>
      </c>
      <c r="Y59" s="89">
        <v>0</v>
      </c>
      <c r="Z59" s="121">
        <v>0</v>
      </c>
      <c r="AA59" s="89">
        <v>0</v>
      </c>
      <c r="AB59" s="89">
        <v>0</v>
      </c>
      <c r="AC59" s="121">
        <v>0</v>
      </c>
      <c r="AD59" s="94"/>
      <c r="AE59" s="94"/>
      <c r="AF59" s="94"/>
      <c r="AG59" s="94"/>
      <c r="AH59" s="121"/>
      <c r="AI59" s="121"/>
      <c r="AJ59" s="94"/>
      <c r="AK59" s="92"/>
      <c r="AL59" s="94"/>
      <c r="AM59" s="100"/>
      <c r="AN59" s="96"/>
    </row>
    <row r="60" spans="1:41" x14ac:dyDescent="0.3">
      <c r="A60" s="16">
        <v>56</v>
      </c>
      <c r="B60" s="83" t="s">
        <v>955</v>
      </c>
      <c r="C60" s="82" t="s">
        <v>2408</v>
      </c>
      <c r="D60" s="125" t="s">
        <v>956</v>
      </c>
      <c r="E60" s="138" t="s">
        <v>2407</v>
      </c>
      <c r="F60" s="138"/>
      <c r="G60" s="138" t="s">
        <v>7</v>
      </c>
      <c r="H60" s="138" t="s">
        <v>112</v>
      </c>
      <c r="I60" s="85" t="s">
        <v>957</v>
      </c>
      <c r="J60" s="85" t="s">
        <v>720</v>
      </c>
      <c r="K60" s="89"/>
      <c r="L60" s="338"/>
      <c r="M60" s="89"/>
      <c r="N60" s="121"/>
      <c r="O60" s="89"/>
      <c r="P60" s="89"/>
      <c r="Q60" s="121"/>
      <c r="R60" s="89"/>
      <c r="S60" s="89"/>
      <c r="T60" s="121"/>
      <c r="U60" s="89"/>
      <c r="V60" s="89"/>
      <c r="W60" s="121"/>
      <c r="X60" s="92"/>
      <c r="Y60" s="89"/>
      <c r="Z60" s="121"/>
      <c r="AA60" s="83"/>
      <c r="AB60" s="89"/>
      <c r="AC60" s="121"/>
      <c r="AD60" s="94"/>
      <c r="AE60" s="94"/>
      <c r="AF60" s="94"/>
      <c r="AG60" s="94"/>
      <c r="AH60" s="121"/>
      <c r="AI60" s="121"/>
      <c r="AJ60" s="94"/>
      <c r="AK60" s="92"/>
      <c r="AL60" s="94"/>
      <c r="AM60" s="100"/>
      <c r="AN60" s="96"/>
    </row>
    <row r="61" spans="1:41" x14ac:dyDescent="0.3">
      <c r="A61" s="16">
        <v>57</v>
      </c>
      <c r="B61" s="83" t="s">
        <v>2515</v>
      </c>
      <c r="C61" s="82" t="s">
        <v>2518</v>
      </c>
      <c r="D61" s="125" t="s">
        <v>2517</v>
      </c>
      <c r="E61" s="138" t="s">
        <v>2516</v>
      </c>
      <c r="F61" s="138"/>
      <c r="G61" s="82" t="s">
        <v>113</v>
      </c>
      <c r="H61" s="82" t="s">
        <v>112</v>
      </c>
      <c r="I61" s="83" t="s">
        <v>331</v>
      </c>
      <c r="J61" s="85" t="s">
        <v>720</v>
      </c>
      <c r="K61" s="89">
        <v>24000</v>
      </c>
      <c r="L61" s="338">
        <v>0</v>
      </c>
      <c r="M61" s="89">
        <v>0</v>
      </c>
      <c r="N61" s="121">
        <v>0</v>
      </c>
      <c r="O61" s="89">
        <v>0</v>
      </c>
      <c r="P61" s="89">
        <v>0</v>
      </c>
      <c r="Q61" s="121">
        <v>0</v>
      </c>
      <c r="R61" s="89">
        <v>0</v>
      </c>
      <c r="S61" s="89">
        <v>0</v>
      </c>
      <c r="T61" s="121">
        <v>0</v>
      </c>
      <c r="U61" s="89">
        <v>0</v>
      </c>
      <c r="V61" s="89">
        <v>0</v>
      </c>
      <c r="W61" s="121">
        <v>0</v>
      </c>
      <c r="X61" s="92">
        <v>0</v>
      </c>
      <c r="Y61" s="89">
        <v>0</v>
      </c>
      <c r="Z61" s="121">
        <v>0</v>
      </c>
      <c r="AA61" s="83"/>
      <c r="AB61" s="89"/>
      <c r="AC61" s="121"/>
      <c r="AD61" s="94"/>
      <c r="AE61" s="94"/>
      <c r="AF61" s="94"/>
      <c r="AG61" s="94"/>
      <c r="AH61" s="121"/>
      <c r="AI61" s="121"/>
      <c r="AJ61" s="94"/>
      <c r="AK61" s="92"/>
      <c r="AL61" s="94"/>
      <c r="AM61" s="100"/>
      <c r="AN61" s="96"/>
    </row>
    <row r="62" spans="1:41" x14ac:dyDescent="0.3">
      <c r="A62" s="16">
        <v>58</v>
      </c>
      <c r="B62" s="83" t="s">
        <v>2971</v>
      </c>
      <c r="C62" s="82" t="s">
        <v>2970</v>
      </c>
      <c r="D62" s="125" t="s">
        <v>2969</v>
      </c>
      <c r="E62" s="138" t="s">
        <v>2968</v>
      </c>
      <c r="F62" s="138"/>
      <c r="G62" s="82" t="s">
        <v>7</v>
      </c>
      <c r="H62" s="82" t="s">
        <v>112</v>
      </c>
      <c r="I62" s="83" t="s">
        <v>2972</v>
      </c>
      <c r="J62" s="85" t="s">
        <v>428</v>
      </c>
      <c r="K62" s="89">
        <v>24000</v>
      </c>
      <c r="L62" s="338">
        <v>0</v>
      </c>
      <c r="M62" s="89">
        <v>0</v>
      </c>
      <c r="N62" s="121">
        <v>0</v>
      </c>
      <c r="O62" s="89">
        <v>0</v>
      </c>
      <c r="P62" s="89">
        <v>0</v>
      </c>
      <c r="Q62" s="121">
        <v>0</v>
      </c>
      <c r="R62" s="89">
        <v>0</v>
      </c>
      <c r="S62" s="89">
        <v>0</v>
      </c>
      <c r="T62" s="121">
        <v>0</v>
      </c>
      <c r="U62" s="89">
        <v>0</v>
      </c>
      <c r="V62" s="89">
        <v>0</v>
      </c>
      <c r="W62" s="121">
        <v>0</v>
      </c>
      <c r="X62" s="92">
        <v>0</v>
      </c>
      <c r="Y62" s="89">
        <v>0</v>
      </c>
      <c r="Z62" s="121">
        <v>0</v>
      </c>
      <c r="AA62" s="89">
        <v>0</v>
      </c>
      <c r="AB62" s="89">
        <v>0</v>
      </c>
      <c r="AC62" s="121">
        <v>0</v>
      </c>
      <c r="AD62" s="94"/>
      <c r="AE62" s="94"/>
      <c r="AF62" s="94"/>
      <c r="AG62" s="94"/>
      <c r="AH62" s="121"/>
      <c r="AI62" s="121"/>
      <c r="AJ62" s="94"/>
      <c r="AK62" s="92"/>
      <c r="AL62" s="94"/>
      <c r="AM62" s="100"/>
      <c r="AN62" s="96"/>
    </row>
    <row r="63" spans="1:41" x14ac:dyDescent="0.3">
      <c r="A63" s="16">
        <v>59</v>
      </c>
      <c r="B63" s="83" t="s">
        <v>3032</v>
      </c>
      <c r="C63" s="82" t="s">
        <v>3034</v>
      </c>
      <c r="D63" s="125">
        <v>650227055394</v>
      </c>
      <c r="E63" s="138" t="s">
        <v>3033</v>
      </c>
      <c r="F63" s="138"/>
      <c r="G63" s="82" t="s">
        <v>7</v>
      </c>
      <c r="H63" s="82" t="s">
        <v>112</v>
      </c>
      <c r="I63" s="83" t="s">
        <v>3035</v>
      </c>
      <c r="J63" s="85" t="s">
        <v>3036</v>
      </c>
      <c r="K63" s="89">
        <v>24000</v>
      </c>
      <c r="L63" s="338"/>
      <c r="M63" s="89"/>
      <c r="N63" s="121"/>
      <c r="O63" s="89"/>
      <c r="P63" s="89"/>
      <c r="Q63" s="121"/>
      <c r="R63" s="89"/>
      <c r="S63" s="89"/>
      <c r="T63" s="121"/>
      <c r="U63" s="89"/>
      <c r="V63" s="89"/>
      <c r="W63" s="121"/>
      <c r="X63" s="92"/>
      <c r="Y63" s="89"/>
      <c r="Z63" s="121"/>
      <c r="AA63" s="83"/>
      <c r="AB63" s="89"/>
      <c r="AC63" s="121"/>
      <c r="AD63" s="94"/>
      <c r="AE63" s="94"/>
      <c r="AF63" s="94"/>
      <c r="AG63" s="94"/>
      <c r="AH63" s="121"/>
      <c r="AI63" s="121"/>
      <c r="AJ63" s="94"/>
      <c r="AK63" s="92"/>
      <c r="AL63" s="94"/>
      <c r="AM63" s="100"/>
      <c r="AN63" s="96"/>
    </row>
    <row r="64" spans="1:41" x14ac:dyDescent="0.3">
      <c r="K64" s="179"/>
      <c r="L64" s="572"/>
      <c r="M64" s="179"/>
      <c r="N64" s="354"/>
      <c r="O64" s="179"/>
      <c r="P64" s="179"/>
      <c r="Q64" s="354"/>
      <c r="R64" s="179"/>
      <c r="S64" s="179"/>
      <c r="T64" s="354"/>
      <c r="U64" s="179"/>
      <c r="V64" s="179"/>
      <c r="W64" s="354"/>
      <c r="X64" s="107"/>
      <c r="Y64" s="179"/>
      <c r="Z64" s="354"/>
      <c r="AA64" s="84"/>
      <c r="AB64" s="179"/>
      <c r="AC64" s="354"/>
      <c r="AD64" s="110"/>
      <c r="AE64" s="110"/>
      <c r="AF64" s="110"/>
      <c r="AG64" s="110"/>
      <c r="AH64" s="354"/>
      <c r="AI64" s="354"/>
      <c r="AJ64" s="110"/>
      <c r="AK64" s="107"/>
      <c r="AL64" s="110"/>
      <c r="AM64" s="586"/>
      <c r="AN64" s="114"/>
    </row>
    <row r="65" spans="11:40" x14ac:dyDescent="0.3">
      <c r="K65" s="179"/>
      <c r="L65" s="572"/>
      <c r="M65" s="179"/>
      <c r="N65" s="354"/>
      <c r="O65" s="179"/>
      <c r="P65" s="179"/>
      <c r="Q65" s="354"/>
      <c r="R65" s="179"/>
      <c r="S65" s="179"/>
      <c r="T65" s="354"/>
      <c r="U65" s="179"/>
      <c r="V65" s="179"/>
      <c r="W65" s="354"/>
      <c r="X65" s="107"/>
      <c r="Y65" s="179"/>
      <c r="Z65" s="354"/>
      <c r="AA65" s="84"/>
      <c r="AB65" s="179"/>
      <c r="AC65" s="354"/>
      <c r="AD65" s="110"/>
      <c r="AE65" s="110"/>
      <c r="AF65" s="110"/>
      <c r="AG65" s="110"/>
      <c r="AH65" s="354"/>
      <c r="AI65" s="354"/>
      <c r="AJ65" s="110"/>
      <c r="AK65" s="107"/>
      <c r="AL65" s="110"/>
      <c r="AM65" s="586"/>
      <c r="AN65" s="114"/>
    </row>
    <row r="66" spans="11:40" x14ac:dyDescent="0.3">
      <c r="K66" s="179"/>
      <c r="L66" s="572"/>
      <c r="M66" s="179"/>
      <c r="N66" s="354"/>
      <c r="O66" s="179"/>
      <c r="P66" s="179"/>
      <c r="Q66" s="354"/>
      <c r="R66" s="179"/>
      <c r="S66" s="179"/>
      <c r="T66" s="354"/>
      <c r="U66" s="179"/>
      <c r="V66" s="179"/>
      <c r="W66" s="354"/>
      <c r="X66" s="107"/>
      <c r="Y66" s="179"/>
      <c r="Z66" s="354"/>
      <c r="AA66" s="84"/>
      <c r="AB66" s="179"/>
      <c r="AC66" s="354"/>
      <c r="AD66" s="110"/>
      <c r="AE66" s="110"/>
      <c r="AF66" s="110"/>
      <c r="AG66" s="110"/>
      <c r="AH66" s="354"/>
      <c r="AI66" s="354"/>
      <c r="AJ66" s="110"/>
      <c r="AK66" s="107"/>
      <c r="AL66" s="110"/>
      <c r="AM66" s="586"/>
      <c r="AN66" s="114"/>
    </row>
    <row r="67" spans="11:40" x14ac:dyDescent="0.3">
      <c r="K67" s="179"/>
      <c r="L67" s="572"/>
      <c r="M67" s="179"/>
      <c r="N67" s="354"/>
      <c r="O67" s="179"/>
      <c r="P67" s="179"/>
      <c r="Q67" s="354"/>
      <c r="R67" s="179"/>
      <c r="S67" s="179"/>
      <c r="T67" s="354"/>
      <c r="U67" s="179"/>
      <c r="V67" s="179"/>
      <c r="W67" s="354"/>
      <c r="X67" s="107"/>
      <c r="Y67" s="179"/>
      <c r="Z67" s="354"/>
      <c r="AA67" s="84"/>
      <c r="AB67" s="179"/>
      <c r="AC67" s="354"/>
      <c r="AD67" s="110"/>
      <c r="AE67" s="110"/>
      <c r="AF67" s="110"/>
      <c r="AG67" s="110"/>
      <c r="AH67" s="354"/>
      <c r="AI67" s="354"/>
      <c r="AJ67" s="110"/>
      <c r="AK67" s="107"/>
      <c r="AL67" s="110"/>
      <c r="AM67" s="586"/>
      <c r="AN67" s="114"/>
    </row>
    <row r="68" spans="11:40" x14ac:dyDescent="0.3">
      <c r="K68" s="179"/>
      <c r="L68" s="572"/>
      <c r="M68" s="179"/>
      <c r="N68" s="354"/>
      <c r="O68" s="179"/>
      <c r="P68" s="179"/>
      <c r="Q68" s="354"/>
      <c r="R68" s="179"/>
      <c r="S68" s="179"/>
      <c r="T68" s="354"/>
      <c r="U68" s="179"/>
      <c r="V68" s="179"/>
      <c r="W68" s="354"/>
      <c r="X68" s="107"/>
      <c r="Y68" s="179"/>
      <c r="Z68" s="354"/>
      <c r="AA68" s="84"/>
      <c r="AB68" s="179"/>
      <c r="AC68" s="354"/>
      <c r="AD68" s="110"/>
      <c r="AE68" s="110"/>
      <c r="AF68" s="110"/>
      <c r="AG68" s="110"/>
      <c r="AH68" s="354"/>
      <c r="AI68" s="354"/>
      <c r="AJ68" s="110"/>
      <c r="AK68" s="107"/>
      <c r="AL68" s="110"/>
      <c r="AM68" s="586"/>
      <c r="AN68" s="114"/>
    </row>
    <row r="69" spans="11:40" x14ac:dyDescent="0.3">
      <c r="K69" s="179"/>
      <c r="L69" s="572"/>
      <c r="M69" s="179"/>
      <c r="N69" s="354"/>
      <c r="O69" s="179"/>
      <c r="P69" s="179"/>
      <c r="Q69" s="354"/>
      <c r="R69" s="179"/>
      <c r="S69" s="179"/>
      <c r="T69" s="354"/>
      <c r="U69" s="179"/>
      <c r="V69" s="179"/>
      <c r="W69" s="354"/>
      <c r="X69" s="107"/>
      <c r="Y69" s="179"/>
      <c r="Z69" s="354"/>
      <c r="AA69" s="84"/>
      <c r="AB69" s="179"/>
      <c r="AC69" s="354"/>
      <c r="AD69" s="110"/>
      <c r="AE69" s="110"/>
      <c r="AF69" s="110"/>
      <c r="AG69" s="110"/>
      <c r="AH69" s="354"/>
      <c r="AI69" s="354"/>
      <c r="AJ69" s="110"/>
      <c r="AK69" s="107"/>
      <c r="AL69" s="110"/>
      <c r="AM69" s="586"/>
      <c r="AN69" s="114"/>
    </row>
    <row r="70" spans="11:40" x14ac:dyDescent="0.3">
      <c r="K70" s="179"/>
      <c r="L70" s="572"/>
      <c r="M70" s="179"/>
      <c r="N70" s="354"/>
      <c r="O70" s="179"/>
      <c r="P70" s="179"/>
      <c r="Q70" s="354"/>
      <c r="R70" s="179"/>
      <c r="S70" s="179"/>
      <c r="T70" s="354"/>
      <c r="U70" s="179"/>
      <c r="V70" s="179"/>
      <c r="W70" s="354"/>
      <c r="X70" s="107"/>
      <c r="Y70" s="179"/>
      <c r="Z70" s="354"/>
      <c r="AA70" s="84"/>
      <c r="AB70" s="179"/>
      <c r="AC70" s="354"/>
      <c r="AD70" s="110"/>
      <c r="AE70" s="110"/>
      <c r="AF70" s="110"/>
      <c r="AG70" s="110"/>
      <c r="AH70" s="354"/>
      <c r="AI70" s="354"/>
      <c r="AJ70" s="110"/>
      <c r="AK70" s="107"/>
      <c r="AL70" s="110"/>
      <c r="AM70" s="586"/>
      <c r="AN70" s="114"/>
    </row>
    <row r="71" spans="11:40" x14ac:dyDescent="0.3">
      <c r="K71" s="179"/>
      <c r="L71" s="572"/>
      <c r="M71" s="179"/>
      <c r="N71" s="354"/>
      <c r="O71" s="179"/>
      <c r="P71" s="179"/>
      <c r="Q71" s="354"/>
      <c r="R71" s="179"/>
      <c r="S71" s="179"/>
      <c r="T71" s="354"/>
      <c r="U71" s="179"/>
      <c r="V71" s="179"/>
      <c r="W71" s="354"/>
      <c r="X71" s="107"/>
      <c r="Y71" s="179"/>
      <c r="Z71" s="354"/>
      <c r="AA71" s="84"/>
      <c r="AB71" s="179"/>
      <c r="AC71" s="354"/>
      <c r="AD71" s="110"/>
      <c r="AE71" s="110"/>
      <c r="AF71" s="110"/>
      <c r="AG71" s="110"/>
      <c r="AH71" s="354"/>
      <c r="AI71" s="354"/>
      <c r="AJ71" s="110"/>
      <c r="AK71" s="107"/>
      <c r="AL71" s="110"/>
      <c r="AM71" s="586"/>
      <c r="AN71" s="114"/>
    </row>
    <row r="72" spans="11:40" x14ac:dyDescent="0.3">
      <c r="K72" s="179"/>
      <c r="L72" s="572"/>
      <c r="M72" s="179"/>
      <c r="N72" s="354"/>
      <c r="O72" s="179"/>
      <c r="P72" s="179"/>
      <c r="Q72" s="354"/>
      <c r="R72" s="179"/>
      <c r="S72" s="179"/>
      <c r="T72" s="354"/>
      <c r="U72" s="179"/>
      <c r="V72" s="179"/>
      <c r="W72" s="354"/>
      <c r="X72" s="107"/>
      <c r="Y72" s="179"/>
      <c r="Z72" s="354"/>
      <c r="AA72" s="84"/>
      <c r="AB72" s="179"/>
      <c r="AC72" s="354"/>
      <c r="AD72" s="110"/>
      <c r="AE72" s="110"/>
      <c r="AF72" s="110"/>
      <c r="AG72" s="110"/>
      <c r="AH72" s="354"/>
      <c r="AI72" s="354"/>
      <c r="AJ72" s="110"/>
      <c r="AK72" s="107"/>
      <c r="AL72" s="110"/>
      <c r="AM72" s="586"/>
      <c r="AN72" s="114"/>
    </row>
    <row r="73" spans="11:40" x14ac:dyDescent="0.3">
      <c r="K73" s="179"/>
      <c r="L73" s="572"/>
      <c r="M73" s="179"/>
      <c r="N73" s="354"/>
      <c r="O73" s="179"/>
      <c r="P73" s="179"/>
      <c r="Q73" s="354"/>
      <c r="R73" s="179"/>
      <c r="S73" s="179"/>
      <c r="T73" s="354"/>
      <c r="U73" s="179"/>
      <c r="V73" s="179"/>
      <c r="W73" s="354"/>
      <c r="X73" s="107"/>
      <c r="Y73" s="179"/>
      <c r="Z73" s="354"/>
      <c r="AA73" s="84"/>
      <c r="AB73" s="179"/>
      <c r="AC73" s="354"/>
      <c r="AD73" s="110"/>
      <c r="AE73" s="110"/>
      <c r="AF73" s="110"/>
      <c r="AG73" s="110"/>
      <c r="AH73" s="354"/>
      <c r="AI73" s="354"/>
      <c r="AJ73" s="110"/>
      <c r="AK73" s="107"/>
      <c r="AL73" s="110"/>
      <c r="AM73" s="586"/>
      <c r="AN73" s="114"/>
    </row>
  </sheetData>
  <sortState ref="B6:F36">
    <sortCondition ref="B5"/>
  </sortState>
  <mergeCells count="20">
    <mergeCell ref="AL3:AL4"/>
    <mergeCell ref="AG3:AH3"/>
    <mergeCell ref="AG4:AH4"/>
    <mergeCell ref="X3:Y3"/>
    <mergeCell ref="X4:Y4"/>
    <mergeCell ref="AD3:AE3"/>
    <mergeCell ref="AD4:AE4"/>
    <mergeCell ref="AN3:AN4"/>
    <mergeCell ref="L3:M3"/>
    <mergeCell ref="L4:M4"/>
    <mergeCell ref="AK3:AK4"/>
    <mergeCell ref="AM3:AM4"/>
    <mergeCell ref="AA3:AB3"/>
    <mergeCell ref="AA4:AB4"/>
    <mergeCell ref="O4:P4"/>
    <mergeCell ref="R3:S3"/>
    <mergeCell ref="R4:S4"/>
    <mergeCell ref="U3:V3"/>
    <mergeCell ref="U4:V4"/>
    <mergeCell ref="O3:P3"/>
  </mergeCells>
  <pageMargins left="0.25" right="0.25" top="0.75" bottom="0.75" header="0.3" footer="0.3"/>
  <pageSetup paperSize="9" scale="3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74"/>
  <sheetViews>
    <sheetView view="pageBreakPreview" topLeftCell="C1" zoomScale="90" zoomScaleNormal="100" zoomScaleSheetLayoutView="90" workbookViewId="0">
      <selection activeCell="J2" sqref="J2"/>
    </sheetView>
  </sheetViews>
  <sheetFormatPr defaultRowHeight="16.5" x14ac:dyDescent="0.3"/>
  <cols>
    <col min="1" max="1" width="7" style="1" customWidth="1"/>
    <col min="2" max="2" width="36" style="1" bestFit="1" customWidth="1"/>
    <col min="3" max="3" width="9.7109375" style="15" bestFit="1" customWidth="1"/>
    <col min="4" max="4" width="13.140625" style="139" bestFit="1" customWidth="1"/>
    <col min="5" max="5" width="11.28515625" style="139" bestFit="1" customWidth="1"/>
    <col min="6" max="6" width="8.28515625" style="15" bestFit="1" customWidth="1"/>
    <col min="7" max="7" width="10.42578125" style="15" bestFit="1" customWidth="1"/>
    <col min="8" max="8" width="10.42578125" style="15" customWidth="1"/>
    <col min="9" max="9" width="31.7109375" style="1" bestFit="1" customWidth="1"/>
    <col min="10" max="10" width="65.5703125" style="1" bestFit="1" customWidth="1"/>
    <col min="11" max="11" width="14.7109375" style="78" customWidth="1"/>
    <col min="12" max="12" width="7.85546875" style="78" customWidth="1"/>
    <col min="13" max="14" width="14.42578125" style="78" customWidth="1"/>
    <col min="15" max="15" width="31.7109375" style="78" bestFit="1" customWidth="1"/>
    <col min="16" max="16" width="9.140625" style="106"/>
    <col min="17" max="17" width="14" style="108" bestFit="1" customWidth="1"/>
    <col min="18" max="18" width="42.28515625" style="78" bestFit="1" customWidth="1"/>
    <col min="19" max="19" width="10.7109375" style="106" customWidth="1"/>
    <col min="20" max="20" width="14" style="108" bestFit="1" customWidth="1"/>
    <col min="21" max="21" width="23" style="78" bestFit="1" customWidth="1"/>
    <col min="22" max="22" width="10.85546875" style="106" customWidth="1"/>
    <col min="23" max="23" width="14" style="108" bestFit="1" customWidth="1"/>
    <col min="24" max="24" width="46.28515625" style="108" bestFit="1" customWidth="1"/>
    <col min="25" max="26" width="14" style="108" customWidth="1"/>
    <col min="27" max="27" width="31.42578125" style="1" bestFit="1" customWidth="1"/>
    <col min="28" max="28" width="10.85546875" style="106" customWidth="1"/>
    <col min="29" max="29" width="14" style="43" bestFit="1" customWidth="1"/>
    <col min="30" max="30" width="15.85546875" style="108" bestFit="1" customWidth="1"/>
    <col min="31" max="31" width="18.7109375" style="106" bestFit="1" customWidth="1"/>
    <col min="32" max="32" width="18.7109375" style="106" customWidth="1"/>
    <col min="33" max="33" width="17.5703125" style="463" customWidth="1"/>
    <col min="34" max="16384" width="9.140625" style="1"/>
  </cols>
  <sheetData>
    <row r="1" spans="1:33" x14ac:dyDescent="0.3">
      <c r="A1" s="4" t="s">
        <v>0</v>
      </c>
      <c r="B1" s="5"/>
      <c r="C1" s="306"/>
    </row>
    <row r="2" spans="1:33" x14ac:dyDescent="0.3">
      <c r="A2" s="4" t="s">
        <v>43</v>
      </c>
      <c r="B2" s="5"/>
      <c r="C2" s="306"/>
      <c r="J2" s="1" t="s">
        <v>2757</v>
      </c>
    </row>
    <row r="3" spans="1:33" x14ac:dyDescent="0.3">
      <c r="A3" s="114" t="s">
        <v>2735</v>
      </c>
      <c r="B3" s="84"/>
      <c r="C3" s="24"/>
      <c r="D3" s="163"/>
      <c r="E3" s="163"/>
      <c r="F3" s="24"/>
      <c r="G3" s="24"/>
      <c r="H3" s="24"/>
      <c r="I3" s="84"/>
      <c r="J3" s="84"/>
      <c r="K3" s="481" t="s">
        <v>520</v>
      </c>
      <c r="L3" s="661" t="s">
        <v>521</v>
      </c>
      <c r="M3" s="662"/>
      <c r="N3" s="100" t="s">
        <v>522</v>
      </c>
      <c r="O3" s="663" t="s">
        <v>521</v>
      </c>
      <c r="P3" s="663"/>
      <c r="Q3" s="100" t="s">
        <v>522</v>
      </c>
      <c r="R3" s="663" t="s">
        <v>521</v>
      </c>
      <c r="S3" s="663"/>
      <c r="T3" s="100" t="s">
        <v>522</v>
      </c>
      <c r="U3" s="663" t="s">
        <v>521</v>
      </c>
      <c r="V3" s="663"/>
      <c r="W3" s="100" t="s">
        <v>522</v>
      </c>
      <c r="X3" s="663" t="s">
        <v>521</v>
      </c>
      <c r="Y3" s="663"/>
      <c r="Z3" s="97" t="s">
        <v>522</v>
      </c>
      <c r="AA3" s="663" t="s">
        <v>521</v>
      </c>
      <c r="AB3" s="663"/>
      <c r="AC3" s="97" t="s">
        <v>522</v>
      </c>
      <c r="AD3" s="100" t="s">
        <v>523</v>
      </c>
      <c r="AE3" s="659" t="s">
        <v>524</v>
      </c>
      <c r="AF3" s="648" t="s">
        <v>755</v>
      </c>
      <c r="AG3" s="660" t="s">
        <v>571</v>
      </c>
    </row>
    <row r="4" spans="1:33" x14ac:dyDescent="0.3">
      <c r="A4" s="2" t="s">
        <v>1</v>
      </c>
      <c r="B4" s="2" t="s">
        <v>2</v>
      </c>
      <c r="C4" s="2" t="s">
        <v>1502</v>
      </c>
      <c r="D4" s="161" t="s">
        <v>3</v>
      </c>
      <c r="E4" s="161" t="s">
        <v>1499</v>
      </c>
      <c r="F4" s="2" t="s">
        <v>4</v>
      </c>
      <c r="G4" s="2" t="s">
        <v>5</v>
      </c>
      <c r="H4" s="2" t="s">
        <v>970</v>
      </c>
      <c r="I4" s="7" t="s">
        <v>6</v>
      </c>
      <c r="J4" s="7" t="s">
        <v>415</v>
      </c>
      <c r="K4" s="177" t="s">
        <v>525</v>
      </c>
      <c r="L4" s="661">
        <v>2016</v>
      </c>
      <c r="M4" s="662"/>
      <c r="N4" s="100" t="s">
        <v>525</v>
      </c>
      <c r="O4" s="663">
        <v>2017</v>
      </c>
      <c r="P4" s="663"/>
      <c r="Q4" s="100" t="s">
        <v>525</v>
      </c>
      <c r="R4" s="663">
        <v>2018</v>
      </c>
      <c r="S4" s="663"/>
      <c r="T4" s="100" t="s">
        <v>525</v>
      </c>
      <c r="U4" s="663">
        <v>2019</v>
      </c>
      <c r="V4" s="663"/>
      <c r="W4" s="100" t="s">
        <v>525</v>
      </c>
      <c r="X4" s="663">
        <v>2020</v>
      </c>
      <c r="Y4" s="663"/>
      <c r="Z4" s="97" t="s">
        <v>525</v>
      </c>
      <c r="AA4" s="663">
        <v>2021</v>
      </c>
      <c r="AB4" s="663"/>
      <c r="AC4" s="97" t="s">
        <v>525</v>
      </c>
      <c r="AD4" s="100" t="s">
        <v>525</v>
      </c>
      <c r="AE4" s="659"/>
      <c r="AF4" s="648"/>
      <c r="AG4" s="660"/>
    </row>
    <row r="5" spans="1:33" s="27" customFormat="1" x14ac:dyDescent="0.3">
      <c r="A5" s="12">
        <v>1</v>
      </c>
      <c r="B5" s="26" t="s">
        <v>1553</v>
      </c>
      <c r="C5" s="309" t="s">
        <v>1556</v>
      </c>
      <c r="D5" s="317" t="s">
        <v>1555</v>
      </c>
      <c r="E5" s="387" t="s">
        <v>1554</v>
      </c>
      <c r="F5" s="11" t="s">
        <v>7</v>
      </c>
      <c r="G5" s="11" t="s">
        <v>1523</v>
      </c>
      <c r="H5" s="11" t="s">
        <v>640</v>
      </c>
      <c r="I5" s="44" t="s">
        <v>1557</v>
      </c>
      <c r="J5" s="44" t="s">
        <v>497</v>
      </c>
      <c r="K5" s="113">
        <v>24000</v>
      </c>
      <c r="L5" s="113"/>
      <c r="M5" s="113">
        <v>3400</v>
      </c>
      <c r="N5" s="113">
        <v>3230</v>
      </c>
      <c r="O5" s="180"/>
      <c r="P5" s="93"/>
      <c r="Q5" s="95"/>
      <c r="R5" s="75"/>
      <c r="S5" s="93"/>
      <c r="T5" s="95"/>
      <c r="U5" s="75"/>
      <c r="V5" s="93"/>
      <c r="W5" s="95"/>
      <c r="X5" s="40"/>
      <c r="Y5" s="93"/>
      <c r="Z5" s="95"/>
      <c r="AA5" s="40"/>
      <c r="AB5" s="93"/>
      <c r="AC5" s="40"/>
      <c r="AD5" s="95"/>
      <c r="AE5" s="93"/>
      <c r="AF5" s="93"/>
      <c r="AG5" s="482"/>
    </row>
    <row r="6" spans="1:33" s="27" customFormat="1" x14ac:dyDescent="0.3">
      <c r="A6" s="12">
        <v>2</v>
      </c>
      <c r="B6" s="26" t="s">
        <v>1593</v>
      </c>
      <c r="C6" s="309" t="s">
        <v>1594</v>
      </c>
      <c r="D6" s="387" t="s">
        <v>1595</v>
      </c>
      <c r="E6" s="387" t="s">
        <v>1596</v>
      </c>
      <c r="F6" s="11" t="s">
        <v>7</v>
      </c>
      <c r="G6" s="11" t="s">
        <v>1523</v>
      </c>
      <c r="H6" s="11" t="s">
        <v>640</v>
      </c>
      <c r="I6" s="42" t="s">
        <v>1524</v>
      </c>
      <c r="J6" s="44" t="s">
        <v>484</v>
      </c>
      <c r="K6" s="113">
        <v>24000</v>
      </c>
      <c r="L6" s="113"/>
      <c r="M6" s="113">
        <v>5570</v>
      </c>
      <c r="N6" s="113">
        <v>5292</v>
      </c>
      <c r="O6" s="75"/>
      <c r="P6" s="93"/>
      <c r="Q6" s="95"/>
      <c r="R6" s="75"/>
      <c r="S6" s="93"/>
      <c r="T6" s="95"/>
      <c r="U6" s="75"/>
      <c r="V6" s="93"/>
      <c r="W6" s="95"/>
      <c r="X6" s="40"/>
      <c r="Y6" s="93"/>
      <c r="Z6" s="95"/>
      <c r="AA6" s="40"/>
      <c r="AB6" s="93"/>
      <c r="AC6" s="76"/>
      <c r="AD6" s="95"/>
      <c r="AE6" s="93"/>
      <c r="AF6" s="93"/>
      <c r="AG6" s="482"/>
    </row>
    <row r="7" spans="1:33" s="27" customFormat="1" x14ac:dyDescent="0.3">
      <c r="A7" s="12">
        <v>3</v>
      </c>
      <c r="B7" s="26" t="s">
        <v>1588</v>
      </c>
      <c r="C7" s="309" t="s">
        <v>1590</v>
      </c>
      <c r="D7" s="317" t="s">
        <v>1589</v>
      </c>
      <c r="E7" s="387" t="s">
        <v>1597</v>
      </c>
      <c r="F7" s="11" t="s">
        <v>7</v>
      </c>
      <c r="G7" s="11" t="s">
        <v>1523</v>
      </c>
      <c r="H7" s="11" t="s">
        <v>641</v>
      </c>
      <c r="I7" s="42" t="s">
        <v>1544</v>
      </c>
      <c r="J7" s="42" t="s">
        <v>1592</v>
      </c>
      <c r="K7" s="113">
        <v>24000</v>
      </c>
      <c r="L7" s="113"/>
      <c r="M7" s="113">
        <v>4300</v>
      </c>
      <c r="N7" s="113">
        <v>4085</v>
      </c>
      <c r="O7" s="75"/>
      <c r="P7" s="93"/>
      <c r="Q7" s="95"/>
      <c r="R7" s="75"/>
      <c r="S7" s="93"/>
      <c r="T7" s="95"/>
      <c r="U7" s="75"/>
      <c r="V7" s="93"/>
      <c r="W7" s="95"/>
      <c r="X7" s="40"/>
      <c r="Y7" s="93"/>
      <c r="Z7" s="95"/>
      <c r="AA7" s="40"/>
      <c r="AB7" s="93"/>
      <c r="AC7" s="40"/>
      <c r="AD7" s="95"/>
      <c r="AE7" s="93"/>
      <c r="AF7" s="93"/>
      <c r="AG7" s="482"/>
    </row>
    <row r="8" spans="1:33" s="27" customFormat="1" x14ac:dyDescent="0.3">
      <c r="A8" s="12">
        <v>4</v>
      </c>
      <c r="B8" s="26" t="s">
        <v>2662</v>
      </c>
      <c r="C8" s="309" t="s">
        <v>1622</v>
      </c>
      <c r="D8" s="317" t="s">
        <v>1621</v>
      </c>
      <c r="E8" s="131" t="s">
        <v>1620</v>
      </c>
      <c r="F8" s="12" t="s">
        <v>7</v>
      </c>
      <c r="G8" s="11" t="s">
        <v>1523</v>
      </c>
      <c r="H8" s="11" t="s">
        <v>640</v>
      </c>
      <c r="I8" s="42" t="s">
        <v>1524</v>
      </c>
      <c r="J8" s="34" t="s">
        <v>1623</v>
      </c>
      <c r="K8" s="113">
        <v>24000</v>
      </c>
      <c r="L8" s="113"/>
      <c r="M8" s="113">
        <v>3400</v>
      </c>
      <c r="N8" s="113">
        <v>3230</v>
      </c>
      <c r="O8" s="75"/>
      <c r="P8" s="93"/>
      <c r="Q8" s="95"/>
      <c r="R8" s="75"/>
      <c r="S8" s="93"/>
      <c r="T8" s="95"/>
      <c r="U8" s="75"/>
      <c r="V8" s="93"/>
      <c r="W8" s="95"/>
      <c r="X8" s="40"/>
      <c r="Y8" s="93"/>
      <c r="Z8" s="95"/>
      <c r="AA8" s="40"/>
      <c r="AB8" s="93"/>
      <c r="AC8" s="76"/>
      <c r="AD8" s="95"/>
      <c r="AE8" s="93"/>
      <c r="AF8" s="93"/>
      <c r="AG8" s="482"/>
    </row>
    <row r="9" spans="1:33" s="60" customFormat="1" x14ac:dyDescent="0.3">
      <c r="A9" s="12">
        <v>5</v>
      </c>
      <c r="B9" s="61" t="s">
        <v>2483</v>
      </c>
      <c r="C9" s="275" t="s">
        <v>2490</v>
      </c>
      <c r="D9" s="472" t="s">
        <v>2484</v>
      </c>
      <c r="E9" s="274" t="s">
        <v>2489</v>
      </c>
      <c r="F9" s="64"/>
      <c r="G9" s="62"/>
      <c r="H9" s="62" t="s">
        <v>641</v>
      </c>
      <c r="I9" s="473" t="s">
        <v>2491</v>
      </c>
      <c r="J9" s="33" t="s">
        <v>2809</v>
      </c>
      <c r="K9" s="474">
        <v>24000</v>
      </c>
      <c r="L9" s="474"/>
      <c r="M9" s="474">
        <v>6920</v>
      </c>
      <c r="N9" s="474">
        <v>6574</v>
      </c>
      <c r="O9" s="276"/>
      <c r="P9" s="278"/>
      <c r="Q9" s="475"/>
      <c r="R9" s="276"/>
      <c r="S9" s="278"/>
      <c r="T9" s="475"/>
      <c r="U9" s="276"/>
      <c r="V9" s="278"/>
      <c r="W9" s="475"/>
      <c r="X9" s="475"/>
      <c r="Y9" s="475"/>
      <c r="Z9" s="475"/>
      <c r="AA9" s="275"/>
      <c r="AB9" s="278"/>
      <c r="AC9" s="475"/>
      <c r="AD9" s="475"/>
      <c r="AE9" s="278"/>
      <c r="AF9" s="278"/>
      <c r="AG9" s="483" t="s">
        <v>2664</v>
      </c>
    </row>
    <row r="10" spans="1:33" s="27" customFormat="1" x14ac:dyDescent="0.3">
      <c r="A10" s="12">
        <v>6</v>
      </c>
      <c r="B10" s="26" t="s">
        <v>222</v>
      </c>
      <c r="C10" s="40" t="s">
        <v>1661</v>
      </c>
      <c r="D10" s="309" t="s">
        <v>26</v>
      </c>
      <c r="E10" s="131" t="s">
        <v>2492</v>
      </c>
      <c r="F10" s="12"/>
      <c r="G10" s="11"/>
      <c r="H10" s="11" t="s">
        <v>641</v>
      </c>
      <c r="I10" s="34" t="s">
        <v>1524</v>
      </c>
      <c r="J10" s="33" t="s">
        <v>2799</v>
      </c>
      <c r="K10" s="113">
        <v>24000</v>
      </c>
      <c r="L10" s="113"/>
      <c r="M10" s="113">
        <v>6920</v>
      </c>
      <c r="N10" s="113">
        <v>6574</v>
      </c>
      <c r="O10" s="75"/>
      <c r="P10" s="93"/>
      <c r="Q10" s="95"/>
      <c r="R10" s="75"/>
      <c r="S10" s="93"/>
      <c r="T10" s="95"/>
      <c r="U10" s="75"/>
      <c r="V10" s="93"/>
      <c r="W10" s="95"/>
      <c r="X10" s="95"/>
      <c r="Y10" s="95"/>
      <c r="Z10" s="95"/>
      <c r="AA10" s="40"/>
      <c r="AB10" s="93"/>
      <c r="AC10" s="95"/>
      <c r="AD10" s="95"/>
      <c r="AE10" s="93"/>
      <c r="AF10" s="93"/>
      <c r="AG10" s="482"/>
    </row>
    <row r="11" spans="1:33" s="27" customFormat="1" x14ac:dyDescent="0.3">
      <c r="A11" s="12">
        <v>7</v>
      </c>
      <c r="B11" s="26" t="s">
        <v>1542</v>
      </c>
      <c r="C11" s="309" t="s">
        <v>1543</v>
      </c>
      <c r="D11" s="129" t="s">
        <v>205</v>
      </c>
      <c r="E11" s="129" t="s">
        <v>1541</v>
      </c>
      <c r="F11" s="12" t="s">
        <v>7</v>
      </c>
      <c r="G11" s="11" t="s">
        <v>1523</v>
      </c>
      <c r="H11" s="11" t="s">
        <v>641</v>
      </c>
      <c r="I11" s="34" t="s">
        <v>1524</v>
      </c>
      <c r="J11" s="44" t="s">
        <v>1591</v>
      </c>
      <c r="K11" s="113">
        <v>24000</v>
      </c>
      <c r="L11" s="113"/>
      <c r="M11" s="113">
        <v>6920</v>
      </c>
      <c r="N11" s="113">
        <v>6574</v>
      </c>
      <c r="O11" s="75"/>
      <c r="P11" s="93"/>
      <c r="Q11" s="95"/>
      <c r="R11" s="75"/>
      <c r="S11" s="93"/>
      <c r="T11" s="95"/>
      <c r="U11" s="75"/>
      <c r="V11" s="93"/>
      <c r="W11" s="95"/>
      <c r="X11" s="95"/>
      <c r="Y11" s="95"/>
      <c r="Z11" s="95"/>
      <c r="AA11" s="40"/>
      <c r="AB11" s="93"/>
      <c r="AC11" s="95"/>
      <c r="AD11" s="95"/>
      <c r="AE11" s="93"/>
      <c r="AF11" s="93"/>
      <c r="AG11" s="482"/>
    </row>
    <row r="12" spans="1:33" s="471" customFormat="1" x14ac:dyDescent="0.3">
      <c r="A12" s="12">
        <v>8</v>
      </c>
      <c r="B12" s="166" t="s">
        <v>2485</v>
      </c>
      <c r="C12" s="272" t="s">
        <v>2494</v>
      </c>
      <c r="D12" s="308" t="s">
        <v>2486</v>
      </c>
      <c r="E12" s="466" t="s">
        <v>2493</v>
      </c>
      <c r="F12" s="167"/>
      <c r="G12" s="167"/>
      <c r="H12" s="167" t="s">
        <v>641</v>
      </c>
      <c r="I12" s="272" t="s">
        <v>1524</v>
      </c>
      <c r="J12" s="33" t="s">
        <v>2809</v>
      </c>
      <c r="K12" s="467">
        <v>24000</v>
      </c>
      <c r="L12" s="467"/>
      <c r="M12" s="467">
        <v>0</v>
      </c>
      <c r="N12" s="467">
        <v>0</v>
      </c>
      <c r="O12" s="468"/>
      <c r="P12" s="469"/>
      <c r="Q12" s="470"/>
      <c r="R12" s="468"/>
      <c r="S12" s="469"/>
      <c r="T12" s="470"/>
      <c r="U12" s="468"/>
      <c r="V12" s="469"/>
      <c r="W12" s="470"/>
      <c r="X12" s="470"/>
      <c r="Y12" s="470"/>
      <c r="Z12" s="470"/>
      <c r="AA12" s="272"/>
      <c r="AB12" s="469"/>
      <c r="AC12" s="470"/>
      <c r="AD12" s="470"/>
      <c r="AE12" s="469"/>
      <c r="AF12" s="469"/>
      <c r="AG12" s="484" t="s">
        <v>2664</v>
      </c>
    </row>
    <row r="13" spans="1:33" s="27" customFormat="1" x14ac:dyDescent="0.3">
      <c r="A13" s="12">
        <v>9</v>
      </c>
      <c r="B13" s="26" t="s">
        <v>1599</v>
      </c>
      <c r="C13" s="309" t="s">
        <v>1602</v>
      </c>
      <c r="D13" s="317" t="s">
        <v>1601</v>
      </c>
      <c r="E13" s="131" t="s">
        <v>1600</v>
      </c>
      <c r="F13" s="12" t="s">
        <v>7</v>
      </c>
      <c r="G13" s="11" t="s">
        <v>1523</v>
      </c>
      <c r="H13" s="11" t="s">
        <v>640</v>
      </c>
      <c r="I13" s="42" t="s">
        <v>1524</v>
      </c>
      <c r="J13" s="34" t="s">
        <v>1603</v>
      </c>
      <c r="K13" s="113">
        <v>24000</v>
      </c>
      <c r="L13" s="113"/>
      <c r="M13" s="113">
        <v>3400</v>
      </c>
      <c r="N13" s="113">
        <v>3230</v>
      </c>
      <c r="O13" s="75"/>
      <c r="P13" s="93"/>
      <c r="Q13" s="95"/>
      <c r="R13" s="75"/>
      <c r="S13" s="93"/>
      <c r="T13" s="95"/>
      <c r="U13" s="75"/>
      <c r="V13" s="93"/>
      <c r="W13" s="95"/>
      <c r="X13" s="95"/>
      <c r="Y13" s="95"/>
      <c r="Z13" s="95"/>
      <c r="AA13" s="40"/>
      <c r="AB13" s="93"/>
      <c r="AC13" s="95"/>
      <c r="AD13" s="95"/>
      <c r="AE13" s="93"/>
      <c r="AF13" s="93"/>
      <c r="AG13" s="482"/>
    </row>
    <row r="14" spans="1:33" s="27" customFormat="1" x14ac:dyDescent="0.3">
      <c r="A14" s="12">
        <v>10</v>
      </c>
      <c r="B14" s="26" t="s">
        <v>2479</v>
      </c>
      <c r="C14" s="309" t="s">
        <v>2480</v>
      </c>
      <c r="D14" s="387" t="s">
        <v>2481</v>
      </c>
      <c r="E14" s="309" t="s">
        <v>2482</v>
      </c>
      <c r="F14" s="11" t="s">
        <v>7</v>
      </c>
      <c r="G14" s="11" t="s">
        <v>1523</v>
      </c>
      <c r="H14" s="11" t="s">
        <v>640</v>
      </c>
      <c r="I14" s="42" t="s">
        <v>1524</v>
      </c>
      <c r="J14" s="42" t="s">
        <v>428</v>
      </c>
      <c r="K14" s="113">
        <v>24000</v>
      </c>
      <c r="L14" s="113"/>
      <c r="M14" s="113">
        <v>3400</v>
      </c>
      <c r="N14" s="113">
        <v>3230</v>
      </c>
      <c r="O14" s="75"/>
      <c r="P14" s="93"/>
      <c r="Q14" s="95"/>
      <c r="R14" s="75"/>
      <c r="S14" s="93"/>
      <c r="T14" s="95"/>
      <c r="U14" s="75"/>
      <c r="V14" s="93"/>
      <c r="W14" s="95"/>
      <c r="X14" s="95"/>
      <c r="Y14" s="95"/>
      <c r="Z14" s="95"/>
      <c r="AA14" s="40"/>
      <c r="AB14" s="93"/>
      <c r="AC14" s="95"/>
      <c r="AD14" s="95"/>
      <c r="AE14" s="93"/>
      <c r="AF14" s="93"/>
      <c r="AG14" s="482"/>
    </row>
    <row r="15" spans="1:33" s="27" customFormat="1" x14ac:dyDescent="0.3">
      <c r="A15" s="12">
        <v>11</v>
      </c>
      <c r="B15" s="26" t="s">
        <v>1522</v>
      </c>
      <c r="C15" s="309" t="s">
        <v>1521</v>
      </c>
      <c r="D15" s="387" t="s">
        <v>41</v>
      </c>
      <c r="E15" s="387" t="s">
        <v>1520</v>
      </c>
      <c r="F15" s="11" t="s">
        <v>7</v>
      </c>
      <c r="G15" s="11" t="s">
        <v>1523</v>
      </c>
      <c r="H15" s="11" t="s">
        <v>641</v>
      </c>
      <c r="I15" s="44" t="s">
        <v>1598</v>
      </c>
      <c r="J15" s="44" t="s">
        <v>1591</v>
      </c>
      <c r="K15" s="113">
        <v>24000</v>
      </c>
      <c r="L15" s="113"/>
      <c r="M15" s="113">
        <v>6920</v>
      </c>
      <c r="N15" s="113">
        <v>6574</v>
      </c>
      <c r="O15" s="75"/>
      <c r="P15" s="93"/>
      <c r="Q15" s="95"/>
      <c r="R15" s="75"/>
      <c r="S15" s="93"/>
      <c r="T15" s="95"/>
      <c r="U15" s="75"/>
      <c r="V15" s="93"/>
      <c r="W15" s="95"/>
      <c r="X15" s="95"/>
      <c r="Y15" s="95"/>
      <c r="Z15" s="95"/>
      <c r="AA15" s="40"/>
      <c r="AB15" s="93"/>
      <c r="AC15" s="95"/>
      <c r="AD15" s="95"/>
      <c r="AE15" s="93"/>
      <c r="AF15" s="93"/>
      <c r="AG15" s="482"/>
    </row>
    <row r="16" spans="1:33" s="27" customFormat="1" x14ac:dyDescent="0.3">
      <c r="A16" s="12">
        <v>12</v>
      </c>
      <c r="B16" s="26" t="s">
        <v>91</v>
      </c>
      <c r="C16" s="309" t="s">
        <v>1546</v>
      </c>
      <c r="D16" s="129" t="s">
        <v>92</v>
      </c>
      <c r="E16" s="129" t="s">
        <v>1545</v>
      </c>
      <c r="F16" s="12" t="s">
        <v>7</v>
      </c>
      <c r="G16" s="11" t="s">
        <v>1523</v>
      </c>
      <c r="H16" s="11" t="s">
        <v>641</v>
      </c>
      <c r="I16" s="44" t="s">
        <v>1524</v>
      </c>
      <c r="J16" s="35" t="s">
        <v>428</v>
      </c>
      <c r="K16" s="113">
        <v>24000</v>
      </c>
      <c r="L16" s="113"/>
      <c r="M16" s="113">
        <v>6920</v>
      </c>
      <c r="N16" s="113">
        <v>6574</v>
      </c>
      <c r="O16" s="75"/>
      <c r="P16" s="93"/>
      <c r="Q16" s="95"/>
      <c r="R16" s="75"/>
      <c r="S16" s="93"/>
      <c r="T16" s="95"/>
      <c r="U16" s="75"/>
      <c r="V16" s="93"/>
      <c r="W16" s="95"/>
      <c r="X16" s="40"/>
      <c r="Y16" s="93"/>
      <c r="Z16" s="95"/>
      <c r="AA16" s="40"/>
      <c r="AB16" s="93"/>
      <c r="AC16" s="95"/>
      <c r="AD16" s="95"/>
      <c r="AE16" s="93"/>
      <c r="AF16" s="93"/>
      <c r="AG16" s="482"/>
    </row>
    <row r="17" spans="1:33" s="27" customFormat="1" x14ac:dyDescent="0.3">
      <c r="A17" s="12">
        <v>13</v>
      </c>
      <c r="B17" s="26" t="s">
        <v>2487</v>
      </c>
      <c r="C17" s="40" t="s">
        <v>2496</v>
      </c>
      <c r="D17" s="309" t="s">
        <v>2488</v>
      </c>
      <c r="E17" s="131" t="s">
        <v>2495</v>
      </c>
      <c r="F17" s="12"/>
      <c r="G17" s="11"/>
      <c r="H17" s="11" t="s">
        <v>640</v>
      </c>
      <c r="I17" s="34" t="s">
        <v>1524</v>
      </c>
      <c r="J17" s="32" t="s">
        <v>2799</v>
      </c>
      <c r="K17" s="113">
        <v>24000</v>
      </c>
      <c r="L17" s="113"/>
      <c r="M17" s="113">
        <v>3400</v>
      </c>
      <c r="N17" s="113">
        <v>3230</v>
      </c>
      <c r="O17" s="75"/>
      <c r="P17" s="93"/>
      <c r="Q17" s="95"/>
      <c r="R17" s="75"/>
      <c r="S17" s="93"/>
      <c r="T17" s="95"/>
      <c r="U17" s="75"/>
      <c r="V17" s="93"/>
      <c r="W17" s="95"/>
      <c r="X17" s="95"/>
      <c r="Y17" s="95"/>
      <c r="Z17" s="95"/>
      <c r="AA17" s="40"/>
      <c r="AB17" s="93"/>
      <c r="AC17" s="95"/>
      <c r="AD17" s="95"/>
      <c r="AE17" s="93"/>
      <c r="AF17" s="93"/>
      <c r="AG17" s="482"/>
    </row>
    <row r="18" spans="1:33" s="27" customFormat="1" x14ac:dyDescent="0.3">
      <c r="A18" s="12">
        <v>14</v>
      </c>
      <c r="B18" s="59" t="s">
        <v>1540</v>
      </c>
      <c r="C18" s="58" t="s">
        <v>1538</v>
      </c>
      <c r="D18" s="388" t="s">
        <v>190</v>
      </c>
      <c r="E18" s="131" t="s">
        <v>1537</v>
      </c>
      <c r="F18" s="12" t="s">
        <v>7</v>
      </c>
      <c r="G18" s="11" t="s">
        <v>1523</v>
      </c>
      <c r="H18" s="11" t="s">
        <v>640</v>
      </c>
      <c r="I18" s="44" t="s">
        <v>1524</v>
      </c>
      <c r="J18" s="40" t="s">
        <v>1539</v>
      </c>
      <c r="K18" s="113">
        <v>24000</v>
      </c>
      <c r="L18" s="113"/>
      <c r="M18" s="113">
        <v>3400</v>
      </c>
      <c r="N18" s="113">
        <v>3230</v>
      </c>
      <c r="O18" s="75"/>
      <c r="P18" s="93"/>
      <c r="Q18" s="95"/>
      <c r="R18" s="75"/>
      <c r="S18" s="93"/>
      <c r="T18" s="95"/>
      <c r="U18" s="75"/>
      <c r="V18" s="93"/>
      <c r="W18" s="95"/>
      <c r="X18" s="95"/>
      <c r="Y18" s="95"/>
      <c r="Z18" s="95"/>
      <c r="AA18" s="40"/>
      <c r="AB18" s="93"/>
      <c r="AC18" s="95"/>
      <c r="AD18" s="95"/>
      <c r="AE18" s="93"/>
      <c r="AF18" s="93"/>
      <c r="AG18" s="482"/>
    </row>
    <row r="19" spans="1:33" s="27" customFormat="1" x14ac:dyDescent="0.3">
      <c r="A19" s="12">
        <v>15</v>
      </c>
      <c r="B19" s="26" t="s">
        <v>1607</v>
      </c>
      <c r="C19" s="309" t="s">
        <v>1608</v>
      </c>
      <c r="D19" s="387" t="s">
        <v>1606</v>
      </c>
      <c r="E19" s="387" t="s">
        <v>1605</v>
      </c>
      <c r="F19" s="11" t="s">
        <v>7</v>
      </c>
      <c r="G19" s="11" t="s">
        <v>1523</v>
      </c>
      <c r="H19" s="11" t="s">
        <v>641</v>
      </c>
      <c r="I19" s="42" t="s">
        <v>1524</v>
      </c>
      <c r="J19" s="42" t="s">
        <v>1591</v>
      </c>
      <c r="K19" s="113">
        <v>24000</v>
      </c>
      <c r="L19" s="113"/>
      <c r="M19" s="113">
        <v>6920</v>
      </c>
      <c r="N19" s="113">
        <v>6574</v>
      </c>
      <c r="O19" s="75"/>
      <c r="P19" s="93"/>
      <c r="Q19" s="95"/>
      <c r="R19" s="75"/>
      <c r="S19" s="93"/>
      <c r="T19" s="95"/>
      <c r="U19" s="75"/>
      <c r="V19" s="93"/>
      <c r="W19" s="95"/>
      <c r="X19" s="95"/>
      <c r="Y19" s="95"/>
      <c r="Z19" s="95"/>
      <c r="AA19" s="40"/>
      <c r="AB19" s="93"/>
      <c r="AC19" s="95"/>
      <c r="AD19" s="95"/>
      <c r="AE19" s="93"/>
      <c r="AF19" s="93"/>
      <c r="AG19" s="482"/>
    </row>
    <row r="20" spans="1:33" s="37" customFormat="1" x14ac:dyDescent="0.3">
      <c r="A20" s="12">
        <v>16</v>
      </c>
      <c r="B20" s="26" t="s">
        <v>1587</v>
      </c>
      <c r="C20" s="309" t="s">
        <v>1586</v>
      </c>
      <c r="D20" s="131" t="s">
        <v>1585</v>
      </c>
      <c r="E20" s="309" t="s">
        <v>1584</v>
      </c>
      <c r="F20" s="12" t="s">
        <v>7</v>
      </c>
      <c r="G20" s="11" t="s">
        <v>1523</v>
      </c>
      <c r="H20" s="11" t="s">
        <v>641</v>
      </c>
      <c r="I20" s="34" t="s">
        <v>1544</v>
      </c>
      <c r="J20" s="34" t="s">
        <v>1591</v>
      </c>
      <c r="K20" s="113">
        <v>24000</v>
      </c>
      <c r="L20" s="113"/>
      <c r="M20" s="113">
        <v>4300</v>
      </c>
      <c r="N20" s="113">
        <v>4085</v>
      </c>
      <c r="O20" s="75"/>
      <c r="P20" s="93"/>
      <c r="Q20" s="95"/>
      <c r="R20" s="75"/>
      <c r="S20" s="93"/>
      <c r="T20" s="95"/>
      <c r="U20" s="75"/>
      <c r="V20" s="93"/>
      <c r="W20" s="95"/>
      <c r="X20" s="95"/>
      <c r="Y20" s="95"/>
      <c r="Z20" s="95"/>
      <c r="AA20" s="40"/>
      <c r="AB20" s="93"/>
      <c r="AC20" s="95"/>
      <c r="AD20" s="95"/>
      <c r="AE20" s="93"/>
      <c r="AF20" s="93"/>
      <c r="AG20" s="482"/>
    </row>
    <row r="21" spans="1:33" s="37" customFormat="1" ht="17.25" thickBot="1" x14ac:dyDescent="0.35">
      <c r="A21" s="39"/>
      <c r="B21" s="323"/>
      <c r="C21" s="364"/>
      <c r="D21" s="365"/>
      <c r="E21" s="365"/>
      <c r="F21" s="316"/>
      <c r="G21" s="316"/>
      <c r="H21" s="316"/>
      <c r="I21" s="366"/>
      <c r="J21" s="38"/>
      <c r="K21" s="367"/>
      <c r="L21" s="367"/>
      <c r="M21" s="539">
        <f>SUM(M5:M20)</f>
        <v>76090</v>
      </c>
      <c r="N21" s="539">
        <f>SUM(N5:N20)</f>
        <v>72286</v>
      </c>
      <c r="O21" s="368"/>
      <c r="P21" s="369"/>
      <c r="Q21" s="370"/>
      <c r="R21" s="368"/>
      <c r="S21" s="369"/>
      <c r="T21" s="370"/>
      <c r="U21" s="368"/>
      <c r="V21" s="369"/>
      <c r="W21" s="370"/>
      <c r="Y21" s="369"/>
      <c r="Z21" s="370"/>
      <c r="AB21" s="369"/>
      <c r="AD21" s="370"/>
      <c r="AE21" s="369"/>
      <c r="AF21" s="369"/>
      <c r="AG21" s="485"/>
    </row>
    <row r="22" spans="1:33" s="37" customFormat="1" ht="17.25" thickTop="1" x14ac:dyDescent="0.3">
      <c r="A22" s="39"/>
      <c r="B22" s="323"/>
      <c r="C22" s="364"/>
      <c r="D22" s="371"/>
      <c r="E22" s="371"/>
      <c r="F22" s="39"/>
      <c r="G22" s="316"/>
      <c r="H22" s="316"/>
      <c r="I22" s="372"/>
      <c r="J22" s="372"/>
      <c r="K22" s="367"/>
      <c r="L22" s="367"/>
      <c r="M22" s="367"/>
      <c r="N22" s="367"/>
      <c r="O22" s="368"/>
      <c r="P22" s="369"/>
      <c r="Q22" s="370"/>
      <c r="R22" s="368"/>
      <c r="S22" s="369"/>
      <c r="T22" s="370"/>
      <c r="U22" s="368"/>
      <c r="V22" s="369"/>
      <c r="W22" s="370"/>
      <c r="X22" s="370"/>
      <c r="Y22" s="370"/>
      <c r="Z22" s="370"/>
      <c r="AB22" s="369"/>
      <c r="AC22" s="370"/>
      <c r="AD22" s="370"/>
      <c r="AE22" s="369"/>
      <c r="AF22" s="369"/>
      <c r="AG22" s="485"/>
    </row>
    <row r="23" spans="1:33" s="37" customFormat="1" x14ac:dyDescent="0.3">
      <c r="A23" s="39"/>
      <c r="B23" s="323"/>
      <c r="C23" s="364"/>
      <c r="D23" s="365"/>
      <c r="E23" s="365"/>
      <c r="F23" s="316"/>
      <c r="G23" s="316"/>
      <c r="H23" s="316"/>
      <c r="I23" s="38"/>
      <c r="J23" s="38"/>
      <c r="K23" s="367"/>
      <c r="L23" s="367"/>
      <c r="M23" s="367"/>
      <c r="N23" s="367"/>
      <c r="O23" s="368"/>
      <c r="P23" s="369"/>
      <c r="Q23" s="370"/>
      <c r="R23" s="368"/>
      <c r="S23" s="369"/>
      <c r="T23" s="370"/>
      <c r="U23" s="368"/>
      <c r="V23" s="369"/>
      <c r="W23" s="370"/>
      <c r="X23" s="370"/>
      <c r="Y23" s="370"/>
      <c r="Z23" s="370"/>
      <c r="AB23" s="369"/>
      <c r="AC23" s="370"/>
      <c r="AD23" s="370"/>
      <c r="AE23" s="369"/>
      <c r="AF23" s="369"/>
      <c r="AG23" s="485"/>
    </row>
    <row r="24" spans="1:33" s="37" customFormat="1" x14ac:dyDescent="0.3">
      <c r="A24" s="39"/>
      <c r="B24" s="323"/>
      <c r="C24" s="364"/>
      <c r="D24" s="365"/>
      <c r="E24" s="365"/>
      <c r="F24" s="316"/>
      <c r="G24" s="316"/>
      <c r="H24" s="316"/>
      <c r="I24" s="38"/>
      <c r="J24" s="38"/>
      <c r="K24" s="367"/>
      <c r="L24" s="367"/>
      <c r="M24" s="367"/>
      <c r="N24" s="367"/>
      <c r="O24" s="368"/>
      <c r="P24" s="369"/>
      <c r="Q24" s="370"/>
      <c r="R24" s="368"/>
      <c r="S24" s="369"/>
      <c r="T24" s="370"/>
      <c r="U24" s="368"/>
      <c r="V24" s="369"/>
      <c r="W24" s="370"/>
      <c r="X24" s="370"/>
      <c r="Y24" s="370"/>
      <c r="Z24" s="370"/>
      <c r="AB24" s="369"/>
      <c r="AC24" s="370"/>
      <c r="AD24" s="370"/>
      <c r="AE24" s="369"/>
      <c r="AF24" s="369"/>
      <c r="AG24" s="485"/>
    </row>
    <row r="25" spans="1:33" s="37" customFormat="1" x14ac:dyDescent="0.3">
      <c r="A25" s="39"/>
      <c r="B25" s="323"/>
      <c r="C25" s="364"/>
      <c r="D25" s="365"/>
      <c r="E25" s="365"/>
      <c r="F25" s="316"/>
      <c r="G25" s="316"/>
      <c r="H25" s="316"/>
      <c r="I25" s="38"/>
      <c r="J25" s="373"/>
      <c r="K25" s="367"/>
      <c r="L25" s="367"/>
      <c r="M25" s="367"/>
      <c r="N25" s="367"/>
      <c r="O25" s="368"/>
      <c r="P25" s="369"/>
      <c r="Q25" s="370"/>
      <c r="R25" s="368"/>
      <c r="S25" s="369"/>
      <c r="T25" s="370"/>
      <c r="U25" s="368"/>
      <c r="V25" s="369"/>
      <c r="W25" s="370"/>
      <c r="X25" s="370"/>
      <c r="Y25" s="370"/>
      <c r="Z25" s="370"/>
      <c r="AB25" s="369"/>
      <c r="AC25" s="370"/>
      <c r="AD25" s="370"/>
      <c r="AE25" s="369"/>
      <c r="AF25" s="369"/>
      <c r="AG25" s="485"/>
    </row>
    <row r="26" spans="1:33" s="37" customFormat="1" x14ac:dyDescent="0.3">
      <c r="A26" s="39"/>
      <c r="B26" s="323"/>
      <c r="C26" s="364"/>
      <c r="D26" s="365"/>
      <c r="E26" s="365"/>
      <c r="F26" s="316"/>
      <c r="G26" s="316"/>
      <c r="H26" s="316"/>
      <c r="I26" s="38"/>
      <c r="J26" s="38"/>
      <c r="K26" s="367"/>
      <c r="L26" s="367"/>
      <c r="M26" s="367"/>
      <c r="N26" s="367"/>
      <c r="O26" s="368"/>
      <c r="P26" s="369"/>
      <c r="Q26" s="370"/>
      <c r="R26" s="368"/>
      <c r="S26" s="369"/>
      <c r="T26" s="370"/>
      <c r="U26" s="368"/>
      <c r="V26" s="369"/>
      <c r="W26" s="370"/>
      <c r="X26" s="370"/>
      <c r="Y26" s="370"/>
      <c r="Z26" s="370"/>
      <c r="AB26" s="369"/>
      <c r="AC26" s="370"/>
      <c r="AD26" s="370"/>
      <c r="AE26" s="369"/>
      <c r="AF26" s="369"/>
      <c r="AG26" s="485"/>
    </row>
    <row r="27" spans="1:33" s="37" customFormat="1" x14ac:dyDescent="0.3">
      <c r="A27" s="39"/>
      <c r="B27" s="323"/>
      <c r="C27" s="364"/>
      <c r="D27" s="365"/>
      <c r="E27" s="365"/>
      <c r="F27" s="316"/>
      <c r="G27" s="316"/>
      <c r="H27" s="316"/>
      <c r="I27" s="38"/>
      <c r="J27" s="38"/>
      <c r="K27" s="367"/>
      <c r="L27" s="367"/>
      <c r="M27" s="367"/>
      <c r="N27" s="367"/>
      <c r="O27" s="368"/>
      <c r="P27" s="369"/>
      <c r="Q27" s="370"/>
      <c r="R27" s="368"/>
      <c r="S27" s="369"/>
      <c r="T27" s="370"/>
      <c r="U27" s="368"/>
      <c r="V27" s="369"/>
      <c r="W27" s="370"/>
      <c r="X27" s="370"/>
      <c r="Y27" s="370"/>
      <c r="Z27" s="370"/>
      <c r="AB27" s="369"/>
      <c r="AC27" s="370"/>
      <c r="AD27" s="370"/>
      <c r="AE27" s="369"/>
      <c r="AF27" s="369"/>
      <c r="AG27" s="485"/>
    </row>
    <row r="28" spans="1:33" s="37" customFormat="1" x14ac:dyDescent="0.3">
      <c r="A28" s="39"/>
      <c r="B28" s="323"/>
      <c r="C28" s="364"/>
      <c r="D28" s="365"/>
      <c r="E28" s="365"/>
      <c r="F28" s="316"/>
      <c r="G28" s="316"/>
      <c r="H28" s="316"/>
      <c r="I28" s="38"/>
      <c r="J28" s="38"/>
      <c r="K28" s="374"/>
      <c r="L28" s="374"/>
      <c r="M28" s="374"/>
      <c r="N28" s="374"/>
      <c r="O28" s="374"/>
      <c r="P28" s="375"/>
      <c r="Q28" s="375"/>
      <c r="R28" s="374"/>
      <c r="S28" s="375"/>
      <c r="T28" s="375"/>
      <c r="U28" s="374"/>
      <c r="V28" s="375"/>
      <c r="W28" s="375"/>
      <c r="X28" s="375"/>
      <c r="Y28" s="375"/>
      <c r="Z28" s="375"/>
      <c r="AA28" s="375"/>
      <c r="AB28" s="376"/>
      <c r="AC28" s="376"/>
      <c r="AD28" s="370"/>
      <c r="AE28" s="369"/>
      <c r="AF28" s="369"/>
      <c r="AG28" s="486"/>
    </row>
    <row r="29" spans="1:33" s="37" customFormat="1" x14ac:dyDescent="0.3">
      <c r="A29" s="39"/>
      <c r="B29" s="323"/>
      <c r="C29" s="364"/>
      <c r="D29" s="126"/>
      <c r="E29" s="126"/>
      <c r="F29" s="39"/>
      <c r="G29" s="316"/>
      <c r="H29" s="316"/>
      <c r="I29" s="372"/>
      <c r="J29" s="372"/>
      <c r="K29" s="377"/>
      <c r="L29" s="377"/>
      <c r="M29" s="377"/>
      <c r="N29" s="377"/>
      <c r="O29" s="368"/>
      <c r="P29" s="369"/>
      <c r="Q29" s="370"/>
      <c r="R29" s="368"/>
      <c r="S29" s="369"/>
      <c r="T29" s="370"/>
      <c r="U29" s="368"/>
      <c r="V29" s="369"/>
      <c r="W29" s="370"/>
      <c r="X29" s="370"/>
      <c r="Y29" s="370"/>
      <c r="Z29" s="370"/>
      <c r="AB29" s="369"/>
      <c r="AC29" s="370"/>
      <c r="AD29" s="370"/>
      <c r="AE29" s="369"/>
      <c r="AF29" s="369"/>
      <c r="AG29" s="485"/>
    </row>
    <row r="30" spans="1:33" s="37" customFormat="1" x14ac:dyDescent="0.3">
      <c r="A30" s="39"/>
      <c r="B30" s="323"/>
      <c r="C30" s="364"/>
      <c r="D30" s="126"/>
      <c r="E30" s="126"/>
      <c r="F30" s="39"/>
      <c r="G30" s="316"/>
      <c r="H30" s="316"/>
      <c r="I30" s="372"/>
      <c r="J30" s="372"/>
      <c r="K30" s="377"/>
      <c r="L30" s="377"/>
      <c r="M30" s="377"/>
      <c r="N30" s="377"/>
      <c r="O30" s="368"/>
      <c r="P30" s="369"/>
      <c r="Q30" s="370"/>
      <c r="R30" s="368"/>
      <c r="S30" s="369"/>
      <c r="T30" s="370"/>
      <c r="U30" s="368"/>
      <c r="V30" s="369"/>
      <c r="W30" s="370"/>
      <c r="X30" s="370"/>
      <c r="Y30" s="370"/>
      <c r="Z30" s="370"/>
      <c r="AB30" s="369"/>
      <c r="AC30" s="370"/>
      <c r="AD30" s="370"/>
      <c r="AE30" s="369"/>
      <c r="AF30" s="369"/>
      <c r="AG30" s="485"/>
    </row>
    <row r="31" spans="1:33" s="37" customFormat="1" x14ac:dyDescent="0.3">
      <c r="A31" s="39"/>
      <c r="B31" s="323"/>
      <c r="C31" s="364"/>
      <c r="D31" s="126"/>
      <c r="E31" s="126"/>
      <c r="F31" s="39"/>
      <c r="G31" s="316"/>
      <c r="H31" s="316"/>
      <c r="K31" s="377"/>
      <c r="L31" s="377"/>
      <c r="M31" s="377"/>
      <c r="N31" s="377"/>
      <c r="O31" s="368"/>
      <c r="P31" s="369"/>
      <c r="Q31" s="370"/>
      <c r="R31" s="368"/>
      <c r="S31" s="369"/>
      <c r="T31" s="370"/>
      <c r="U31" s="368"/>
      <c r="V31" s="369"/>
      <c r="W31" s="370"/>
      <c r="Y31" s="369"/>
      <c r="Z31" s="370"/>
      <c r="AB31" s="369"/>
      <c r="AD31" s="370"/>
      <c r="AE31" s="369"/>
      <c r="AF31" s="369"/>
      <c r="AG31" s="487"/>
    </row>
    <row r="32" spans="1:33" s="37" customFormat="1" x14ac:dyDescent="0.3">
      <c r="A32" s="39"/>
      <c r="C32" s="39"/>
      <c r="D32" s="371"/>
      <c r="E32" s="371"/>
      <c r="F32" s="39"/>
      <c r="G32" s="316"/>
      <c r="H32" s="316"/>
      <c r="K32" s="377"/>
      <c r="L32" s="377"/>
      <c r="M32" s="377"/>
      <c r="N32" s="377"/>
      <c r="O32" s="368"/>
      <c r="P32" s="369"/>
      <c r="Q32" s="370"/>
      <c r="R32" s="368"/>
      <c r="S32" s="369"/>
      <c r="T32" s="370"/>
      <c r="U32" s="368"/>
      <c r="V32" s="369"/>
      <c r="W32" s="370"/>
      <c r="Y32" s="369"/>
      <c r="Z32" s="370"/>
      <c r="AB32" s="369"/>
      <c r="AD32" s="370"/>
      <c r="AE32" s="369"/>
      <c r="AF32" s="369"/>
      <c r="AG32" s="485"/>
    </row>
    <row r="33" spans="1:33" s="37" customFormat="1" x14ac:dyDescent="0.3">
      <c r="A33" s="39"/>
      <c r="C33" s="39"/>
      <c r="D33" s="371"/>
      <c r="E33" s="371"/>
      <c r="F33" s="39"/>
      <c r="G33" s="316"/>
      <c r="H33" s="316"/>
      <c r="I33" s="87"/>
      <c r="J33" s="87"/>
      <c r="K33" s="377"/>
      <c r="L33" s="377"/>
      <c r="M33" s="377"/>
      <c r="N33" s="377"/>
      <c r="O33" s="368"/>
      <c r="P33" s="369"/>
      <c r="Q33" s="370"/>
      <c r="R33" s="368"/>
      <c r="S33" s="369"/>
      <c r="T33" s="370"/>
      <c r="U33" s="368"/>
      <c r="V33" s="369"/>
      <c r="W33" s="370"/>
      <c r="Y33" s="369"/>
      <c r="Z33" s="370"/>
      <c r="AB33" s="369"/>
      <c r="AD33" s="370"/>
      <c r="AE33" s="369"/>
      <c r="AF33" s="369"/>
      <c r="AG33" s="485"/>
    </row>
    <row r="34" spans="1:33" s="37" customFormat="1" x14ac:dyDescent="0.3">
      <c r="A34" s="39"/>
      <c r="C34" s="39"/>
      <c r="D34" s="371"/>
      <c r="E34" s="371"/>
      <c r="F34" s="39"/>
      <c r="G34" s="316"/>
      <c r="H34" s="316"/>
      <c r="K34" s="377"/>
      <c r="L34" s="377"/>
      <c r="M34" s="377"/>
      <c r="N34" s="377"/>
      <c r="O34" s="368"/>
      <c r="P34" s="369"/>
      <c r="Q34" s="370"/>
      <c r="R34" s="368"/>
      <c r="S34" s="369"/>
      <c r="T34" s="370"/>
      <c r="U34" s="368"/>
      <c r="V34" s="369"/>
      <c r="W34" s="370"/>
      <c r="Y34" s="369"/>
      <c r="Z34" s="370"/>
      <c r="AB34" s="369"/>
      <c r="AD34" s="370"/>
      <c r="AE34" s="369"/>
      <c r="AF34" s="369"/>
      <c r="AG34" s="485"/>
    </row>
    <row r="35" spans="1:33" s="37" customFormat="1" x14ac:dyDescent="0.3">
      <c r="A35" s="39"/>
      <c r="C35" s="39"/>
      <c r="D35" s="371"/>
      <c r="E35" s="371"/>
      <c r="F35" s="39"/>
      <c r="G35" s="316"/>
      <c r="H35" s="316"/>
      <c r="K35" s="377"/>
      <c r="L35" s="377"/>
      <c r="M35" s="377"/>
      <c r="N35" s="377"/>
      <c r="O35" s="368"/>
      <c r="P35" s="369"/>
      <c r="Q35" s="370"/>
      <c r="R35" s="368"/>
      <c r="S35" s="369"/>
      <c r="T35" s="370"/>
      <c r="U35" s="368"/>
      <c r="V35" s="369"/>
      <c r="W35" s="370"/>
      <c r="Y35" s="369"/>
      <c r="Z35" s="370"/>
      <c r="AB35" s="369"/>
      <c r="AD35" s="370"/>
      <c r="AE35" s="369"/>
      <c r="AF35" s="369"/>
      <c r="AG35" s="485"/>
    </row>
    <row r="36" spans="1:33" s="37" customFormat="1" x14ac:dyDescent="0.3">
      <c r="A36" s="39"/>
      <c r="C36" s="39"/>
      <c r="D36" s="371"/>
      <c r="E36" s="371"/>
      <c r="F36" s="39"/>
      <c r="G36" s="316"/>
      <c r="H36" s="316"/>
      <c r="K36" s="377"/>
      <c r="L36" s="377"/>
      <c r="M36" s="377"/>
      <c r="N36" s="377"/>
      <c r="O36" s="368"/>
      <c r="P36" s="369"/>
      <c r="Q36" s="370"/>
      <c r="R36" s="368"/>
      <c r="S36" s="369"/>
      <c r="T36" s="370"/>
      <c r="U36" s="368"/>
      <c r="V36" s="369"/>
      <c r="W36" s="370"/>
      <c r="Y36" s="369"/>
      <c r="Z36" s="370"/>
      <c r="AB36" s="369"/>
      <c r="AD36" s="370"/>
      <c r="AE36" s="369"/>
      <c r="AF36" s="369"/>
      <c r="AG36" s="485"/>
    </row>
    <row r="37" spans="1:33" s="37" customFormat="1" x14ac:dyDescent="0.3">
      <c r="A37" s="39"/>
      <c r="C37" s="39"/>
      <c r="D37" s="371"/>
      <c r="E37" s="371"/>
      <c r="F37" s="39"/>
      <c r="G37" s="316"/>
      <c r="H37" s="316"/>
      <c r="K37" s="377"/>
      <c r="L37" s="377"/>
      <c r="M37" s="377"/>
      <c r="N37" s="377"/>
      <c r="O37" s="368"/>
      <c r="P37" s="369"/>
      <c r="Q37" s="370"/>
      <c r="R37" s="368"/>
      <c r="S37" s="369"/>
      <c r="T37" s="370"/>
      <c r="U37" s="368"/>
      <c r="V37" s="369"/>
      <c r="W37" s="370"/>
      <c r="X37" s="370"/>
      <c r="Y37" s="370"/>
      <c r="Z37" s="370"/>
      <c r="AB37" s="369"/>
      <c r="AC37" s="370"/>
      <c r="AD37" s="370"/>
      <c r="AE37" s="369"/>
      <c r="AF37" s="369"/>
      <c r="AG37" s="485"/>
    </row>
    <row r="38" spans="1:33" s="37" customFormat="1" x14ac:dyDescent="0.3">
      <c r="A38" s="39"/>
      <c r="C38" s="39"/>
      <c r="D38" s="371"/>
      <c r="E38" s="371"/>
      <c r="F38" s="39"/>
      <c r="G38" s="316"/>
      <c r="H38" s="316"/>
      <c r="J38" s="372"/>
      <c r="K38" s="377"/>
      <c r="L38" s="377"/>
      <c r="M38" s="377"/>
      <c r="N38" s="377"/>
      <c r="O38" s="368"/>
      <c r="P38" s="369"/>
      <c r="Q38" s="370"/>
      <c r="R38" s="368"/>
      <c r="S38" s="369"/>
      <c r="T38" s="370"/>
      <c r="U38" s="368"/>
      <c r="V38" s="369"/>
      <c r="W38" s="370"/>
      <c r="X38" s="370"/>
      <c r="Y38" s="370"/>
      <c r="Z38" s="370"/>
      <c r="AB38" s="369"/>
      <c r="AC38" s="370"/>
      <c r="AD38" s="370"/>
      <c r="AE38" s="369"/>
      <c r="AF38" s="369"/>
      <c r="AG38" s="485"/>
    </row>
    <row r="39" spans="1:33" s="37" customFormat="1" x14ac:dyDescent="0.3">
      <c r="A39" s="39"/>
      <c r="C39" s="39"/>
      <c r="D39" s="371"/>
      <c r="E39" s="371"/>
      <c r="F39" s="39"/>
      <c r="G39" s="316"/>
      <c r="H39" s="316"/>
      <c r="K39" s="377"/>
      <c r="L39" s="377"/>
      <c r="M39" s="377"/>
      <c r="N39" s="377"/>
      <c r="O39" s="368"/>
      <c r="P39" s="369"/>
      <c r="Q39" s="370"/>
      <c r="R39" s="368"/>
      <c r="S39" s="369"/>
      <c r="T39" s="370"/>
      <c r="U39" s="368"/>
      <c r="V39" s="369"/>
      <c r="W39" s="370"/>
      <c r="X39" s="370"/>
      <c r="Y39" s="370"/>
      <c r="Z39" s="370"/>
      <c r="AB39" s="369"/>
      <c r="AC39" s="370"/>
      <c r="AD39" s="370"/>
      <c r="AE39" s="369"/>
      <c r="AF39" s="369"/>
      <c r="AG39" s="487"/>
    </row>
    <row r="40" spans="1:33" s="37" customFormat="1" x14ac:dyDescent="0.3">
      <c r="A40" s="39"/>
      <c r="C40" s="39"/>
      <c r="D40" s="371"/>
      <c r="E40" s="371"/>
      <c r="F40" s="39"/>
      <c r="G40" s="316"/>
      <c r="H40" s="316"/>
      <c r="K40" s="377"/>
      <c r="L40" s="377"/>
      <c r="M40" s="377"/>
      <c r="N40" s="377"/>
      <c r="O40" s="368"/>
      <c r="P40" s="369"/>
      <c r="Q40" s="370"/>
      <c r="R40" s="368"/>
      <c r="S40" s="369"/>
      <c r="T40" s="370"/>
      <c r="U40" s="368"/>
      <c r="V40" s="369"/>
      <c r="W40" s="370"/>
      <c r="X40" s="370"/>
      <c r="Y40" s="370"/>
      <c r="Z40" s="370"/>
      <c r="AB40" s="369"/>
      <c r="AC40" s="370"/>
      <c r="AD40" s="370"/>
      <c r="AE40" s="369"/>
      <c r="AF40" s="369"/>
      <c r="AG40" s="485"/>
    </row>
    <row r="41" spans="1:33" s="37" customFormat="1" x14ac:dyDescent="0.3">
      <c r="A41" s="39"/>
      <c r="C41" s="39"/>
      <c r="D41" s="126"/>
      <c r="E41" s="126"/>
      <c r="F41" s="39"/>
      <c r="G41" s="39"/>
      <c r="H41" s="39"/>
      <c r="K41" s="377"/>
      <c r="L41" s="377"/>
      <c r="M41" s="377"/>
      <c r="N41" s="377"/>
      <c r="O41" s="368"/>
      <c r="P41" s="369"/>
      <c r="Q41" s="370"/>
      <c r="R41" s="368"/>
      <c r="S41" s="369"/>
      <c r="T41" s="370"/>
      <c r="U41" s="368"/>
      <c r="V41" s="369"/>
      <c r="W41" s="370"/>
      <c r="Y41" s="369"/>
      <c r="Z41" s="370"/>
      <c r="AB41" s="369"/>
      <c r="AC41" s="378"/>
      <c r="AD41" s="370"/>
      <c r="AE41" s="369"/>
      <c r="AF41" s="369"/>
      <c r="AG41" s="485"/>
    </row>
    <row r="42" spans="1:33" s="37" customFormat="1" x14ac:dyDescent="0.3">
      <c r="A42" s="39"/>
      <c r="C42" s="39"/>
      <c r="D42" s="126"/>
      <c r="E42" s="126"/>
      <c r="F42" s="39"/>
      <c r="G42" s="39"/>
      <c r="H42" s="39"/>
      <c r="K42" s="377"/>
      <c r="L42" s="377"/>
      <c r="M42" s="377"/>
      <c r="N42" s="377"/>
      <c r="O42" s="368"/>
      <c r="P42" s="369"/>
      <c r="Q42" s="370"/>
      <c r="R42" s="368"/>
      <c r="S42" s="369"/>
      <c r="T42" s="370"/>
      <c r="U42" s="368"/>
      <c r="V42" s="369"/>
      <c r="W42" s="370"/>
      <c r="Y42" s="369"/>
      <c r="Z42" s="370"/>
      <c r="AB42" s="369"/>
      <c r="AC42" s="378"/>
      <c r="AD42" s="370"/>
      <c r="AE42" s="369"/>
      <c r="AF42" s="369"/>
      <c r="AG42" s="485"/>
    </row>
    <row r="43" spans="1:33" s="37" customFormat="1" x14ac:dyDescent="0.3">
      <c r="A43" s="39"/>
      <c r="C43" s="39"/>
      <c r="D43" s="126"/>
      <c r="E43" s="126"/>
      <c r="F43" s="39"/>
      <c r="G43" s="39"/>
      <c r="H43" s="39"/>
      <c r="K43" s="377"/>
      <c r="L43" s="377"/>
      <c r="M43" s="377"/>
      <c r="N43" s="377"/>
      <c r="O43" s="368"/>
      <c r="P43" s="369"/>
      <c r="Q43" s="370"/>
      <c r="R43" s="368"/>
      <c r="S43" s="369"/>
      <c r="T43" s="370"/>
      <c r="U43" s="368"/>
      <c r="V43" s="369"/>
      <c r="W43" s="370"/>
      <c r="Y43" s="369"/>
      <c r="Z43" s="370"/>
      <c r="AB43" s="369"/>
      <c r="AC43" s="378"/>
      <c r="AD43" s="370"/>
      <c r="AE43" s="369"/>
      <c r="AF43" s="369"/>
      <c r="AG43" s="485"/>
    </row>
    <row r="44" spans="1:33" s="37" customFormat="1" x14ac:dyDescent="0.3">
      <c r="A44" s="39"/>
      <c r="C44" s="39"/>
      <c r="D44" s="126"/>
      <c r="E44" s="126"/>
      <c r="F44" s="39"/>
      <c r="G44" s="39"/>
      <c r="H44" s="39"/>
      <c r="K44" s="377"/>
      <c r="L44" s="377"/>
      <c r="M44" s="377"/>
      <c r="N44" s="377"/>
      <c r="O44" s="368"/>
      <c r="P44" s="369"/>
      <c r="Q44" s="370"/>
      <c r="R44" s="368"/>
      <c r="S44" s="369"/>
      <c r="T44" s="370"/>
      <c r="U44" s="368"/>
      <c r="V44" s="369"/>
      <c r="W44" s="370"/>
      <c r="Y44" s="369"/>
      <c r="Z44" s="370"/>
      <c r="AB44" s="369"/>
      <c r="AC44" s="378"/>
      <c r="AD44" s="370"/>
      <c r="AE44" s="369"/>
      <c r="AF44" s="369"/>
      <c r="AG44" s="485"/>
    </row>
    <row r="45" spans="1:33" s="37" customFormat="1" x14ac:dyDescent="0.3">
      <c r="A45" s="39"/>
      <c r="C45" s="39"/>
      <c r="D45" s="126"/>
      <c r="E45" s="126"/>
      <c r="F45" s="39"/>
      <c r="G45" s="39"/>
      <c r="H45" s="39"/>
      <c r="K45" s="377"/>
      <c r="L45" s="377"/>
      <c r="M45" s="377"/>
      <c r="N45" s="377"/>
      <c r="O45" s="368"/>
      <c r="P45" s="369"/>
      <c r="Q45" s="370"/>
      <c r="R45" s="368"/>
      <c r="S45" s="369"/>
      <c r="T45" s="370"/>
      <c r="U45" s="368"/>
      <c r="V45" s="369"/>
      <c r="W45" s="370"/>
      <c r="X45" s="368"/>
      <c r="Y45" s="369"/>
      <c r="Z45" s="370"/>
      <c r="AB45" s="369"/>
      <c r="AC45" s="378"/>
      <c r="AD45" s="370"/>
      <c r="AE45" s="369"/>
      <c r="AF45" s="369"/>
      <c r="AG45" s="485"/>
    </row>
    <row r="46" spans="1:33" s="37" customFormat="1" x14ac:dyDescent="0.3">
      <c r="A46" s="39"/>
      <c r="C46" s="39"/>
      <c r="D46" s="126"/>
      <c r="E46" s="126"/>
      <c r="F46" s="39"/>
      <c r="G46" s="39"/>
      <c r="H46" s="39"/>
      <c r="K46" s="377"/>
      <c r="L46" s="377"/>
      <c r="M46" s="377"/>
      <c r="N46" s="377"/>
      <c r="O46" s="368"/>
      <c r="P46" s="369"/>
      <c r="Q46" s="370"/>
      <c r="R46" s="368"/>
      <c r="S46" s="369"/>
      <c r="T46" s="370"/>
      <c r="U46" s="368"/>
      <c r="V46" s="369"/>
      <c r="W46" s="370"/>
      <c r="Y46" s="369"/>
      <c r="Z46" s="370"/>
      <c r="AB46" s="369"/>
      <c r="AC46" s="378"/>
      <c r="AD46" s="370"/>
      <c r="AE46" s="369"/>
      <c r="AF46" s="369"/>
      <c r="AG46" s="485"/>
    </row>
    <row r="47" spans="1:33" s="37" customFormat="1" x14ac:dyDescent="0.3">
      <c r="A47" s="39"/>
      <c r="C47" s="39"/>
      <c r="D47" s="126"/>
      <c r="E47" s="126"/>
      <c r="F47" s="39"/>
      <c r="G47" s="39"/>
      <c r="H47" s="39"/>
      <c r="K47" s="377"/>
      <c r="L47" s="377"/>
      <c r="M47" s="377"/>
      <c r="N47" s="377"/>
      <c r="O47" s="368"/>
      <c r="P47" s="369"/>
      <c r="Q47" s="370"/>
      <c r="R47" s="368"/>
      <c r="S47" s="369"/>
      <c r="T47" s="370"/>
      <c r="U47" s="368"/>
      <c r="V47" s="369"/>
      <c r="W47" s="370"/>
      <c r="Y47" s="369"/>
      <c r="Z47" s="370"/>
      <c r="AB47" s="369"/>
      <c r="AC47" s="378"/>
      <c r="AD47" s="370"/>
      <c r="AE47" s="369"/>
      <c r="AF47" s="369"/>
      <c r="AG47" s="485"/>
    </row>
    <row r="48" spans="1:33" s="37" customFormat="1" x14ac:dyDescent="0.3">
      <c r="A48" s="39"/>
      <c r="C48" s="39"/>
      <c r="D48" s="126"/>
      <c r="E48" s="126"/>
      <c r="F48" s="39"/>
      <c r="G48" s="39"/>
      <c r="H48" s="39"/>
      <c r="K48" s="377"/>
      <c r="L48" s="377"/>
      <c r="M48" s="377"/>
      <c r="N48" s="377"/>
      <c r="O48" s="368"/>
      <c r="P48" s="369"/>
      <c r="Q48" s="370"/>
      <c r="R48" s="368"/>
      <c r="S48" s="369"/>
      <c r="T48" s="370"/>
      <c r="U48" s="368"/>
      <c r="V48" s="369"/>
      <c r="W48" s="370"/>
      <c r="Y48" s="369"/>
      <c r="Z48" s="370"/>
      <c r="AB48" s="369"/>
      <c r="AC48" s="378"/>
      <c r="AD48" s="370"/>
      <c r="AE48" s="369"/>
      <c r="AF48" s="369"/>
      <c r="AG48" s="485"/>
    </row>
    <row r="49" spans="1:35" s="37" customFormat="1" x14ac:dyDescent="0.3">
      <c r="A49" s="39"/>
      <c r="C49" s="39"/>
      <c r="D49" s="126"/>
      <c r="E49" s="126"/>
      <c r="F49" s="39"/>
      <c r="G49" s="39"/>
      <c r="H49" s="39"/>
      <c r="K49" s="377"/>
      <c r="L49" s="377"/>
      <c r="M49" s="377"/>
      <c r="N49" s="377"/>
      <c r="O49" s="368"/>
      <c r="P49" s="369"/>
      <c r="Q49" s="370"/>
      <c r="R49" s="368"/>
      <c r="S49" s="369"/>
      <c r="T49" s="370"/>
      <c r="U49" s="368"/>
      <c r="V49" s="369"/>
      <c r="W49" s="370"/>
      <c r="Y49" s="369"/>
      <c r="Z49" s="370"/>
      <c r="AB49" s="369"/>
      <c r="AC49" s="378"/>
      <c r="AD49" s="370"/>
      <c r="AE49" s="369"/>
      <c r="AF49" s="369"/>
      <c r="AG49" s="485"/>
    </row>
    <row r="50" spans="1:35" s="37" customFormat="1" x14ac:dyDescent="0.3">
      <c r="A50" s="39"/>
      <c r="C50" s="39"/>
      <c r="D50" s="126"/>
      <c r="E50" s="126"/>
      <c r="F50" s="39"/>
      <c r="G50" s="39"/>
      <c r="H50" s="39"/>
      <c r="K50" s="377"/>
      <c r="L50" s="377"/>
      <c r="M50" s="377"/>
      <c r="N50" s="377"/>
      <c r="O50" s="368"/>
      <c r="P50" s="369"/>
      <c r="Q50" s="370"/>
      <c r="R50" s="368"/>
      <c r="S50" s="369"/>
      <c r="T50" s="370"/>
      <c r="U50" s="368"/>
      <c r="V50" s="369"/>
      <c r="W50" s="370"/>
      <c r="Y50" s="369"/>
      <c r="Z50" s="370"/>
      <c r="AB50" s="369"/>
      <c r="AC50" s="378"/>
      <c r="AD50" s="370"/>
      <c r="AE50" s="369"/>
      <c r="AF50" s="369"/>
      <c r="AG50" s="485"/>
    </row>
    <row r="51" spans="1:35" s="37" customFormat="1" x14ac:dyDescent="0.3">
      <c r="A51" s="39"/>
      <c r="C51" s="39"/>
      <c r="D51" s="126"/>
      <c r="E51" s="126"/>
      <c r="F51" s="39"/>
      <c r="G51" s="39"/>
      <c r="H51" s="39"/>
      <c r="K51" s="377"/>
      <c r="L51" s="377"/>
      <c r="M51" s="377"/>
      <c r="N51" s="377"/>
      <c r="O51" s="368"/>
      <c r="P51" s="369"/>
      <c r="Q51" s="370"/>
      <c r="R51" s="368"/>
      <c r="S51" s="369"/>
      <c r="T51" s="370"/>
      <c r="U51" s="368"/>
      <c r="V51" s="369"/>
      <c r="W51" s="370"/>
      <c r="Y51" s="369"/>
      <c r="Z51" s="370"/>
      <c r="AB51" s="369"/>
      <c r="AC51" s="378"/>
      <c r="AD51" s="370"/>
      <c r="AE51" s="369"/>
      <c r="AF51" s="369"/>
      <c r="AG51" s="485"/>
    </row>
    <row r="52" spans="1:35" s="37" customFormat="1" x14ac:dyDescent="0.3">
      <c r="A52" s="39"/>
      <c r="C52" s="39"/>
      <c r="D52" s="126"/>
      <c r="E52" s="126"/>
      <c r="F52" s="39"/>
      <c r="G52" s="39"/>
      <c r="H52" s="39"/>
      <c r="K52" s="377"/>
      <c r="L52" s="377"/>
      <c r="M52" s="377"/>
      <c r="N52" s="377"/>
      <c r="O52" s="368"/>
      <c r="P52" s="369"/>
      <c r="Q52" s="370"/>
      <c r="R52" s="368"/>
      <c r="S52" s="369"/>
      <c r="T52" s="370"/>
      <c r="U52" s="368"/>
      <c r="V52" s="369"/>
      <c r="W52" s="370"/>
      <c r="Y52" s="369"/>
      <c r="Z52" s="378"/>
      <c r="AB52" s="369"/>
      <c r="AC52" s="378"/>
      <c r="AD52" s="370"/>
      <c r="AE52" s="369"/>
      <c r="AF52" s="369"/>
      <c r="AG52" s="485"/>
    </row>
    <row r="53" spans="1:35" s="37" customFormat="1" x14ac:dyDescent="0.3">
      <c r="A53" s="39"/>
      <c r="C53" s="39"/>
      <c r="D53" s="126"/>
      <c r="E53" s="126"/>
      <c r="F53" s="39"/>
      <c r="G53" s="39"/>
      <c r="H53" s="39"/>
      <c r="K53" s="377"/>
      <c r="L53" s="377"/>
      <c r="M53" s="377"/>
      <c r="N53" s="377"/>
      <c r="O53" s="368"/>
      <c r="P53" s="368"/>
      <c r="Q53" s="379"/>
      <c r="R53" s="368"/>
      <c r="S53" s="368"/>
      <c r="T53" s="379"/>
      <c r="U53" s="368"/>
      <c r="V53" s="368"/>
      <c r="W53" s="379"/>
      <c r="Y53" s="369"/>
      <c r="Z53" s="378"/>
      <c r="AB53" s="369"/>
      <c r="AC53" s="378"/>
      <c r="AD53" s="370"/>
      <c r="AE53" s="369"/>
      <c r="AF53" s="369"/>
      <c r="AG53" s="485"/>
    </row>
    <row r="54" spans="1:35" s="37" customFormat="1" x14ac:dyDescent="0.3">
      <c r="A54" s="39"/>
      <c r="C54" s="39"/>
      <c r="D54" s="126"/>
      <c r="E54" s="126"/>
      <c r="F54" s="39"/>
      <c r="G54" s="39"/>
      <c r="H54" s="39"/>
      <c r="K54" s="377"/>
      <c r="L54" s="377"/>
      <c r="M54" s="377"/>
      <c r="N54" s="377"/>
      <c r="O54" s="368"/>
      <c r="P54" s="369"/>
      <c r="Q54" s="370"/>
      <c r="R54" s="368"/>
      <c r="S54" s="369"/>
      <c r="T54" s="370"/>
      <c r="U54" s="368"/>
      <c r="V54" s="369"/>
      <c r="W54" s="370"/>
      <c r="X54" s="370"/>
      <c r="Y54" s="370"/>
      <c r="Z54" s="370"/>
      <c r="AB54" s="369"/>
      <c r="AC54" s="378"/>
      <c r="AD54" s="370"/>
      <c r="AE54" s="369"/>
      <c r="AF54" s="369"/>
      <c r="AG54" s="485"/>
      <c r="AI54" s="84"/>
    </row>
    <row r="55" spans="1:35" s="84" customFormat="1" x14ac:dyDescent="0.3">
      <c r="A55" s="24"/>
      <c r="C55" s="24"/>
      <c r="D55" s="163"/>
      <c r="E55" s="163"/>
      <c r="F55" s="24"/>
      <c r="G55" s="24"/>
      <c r="H55" s="24"/>
      <c r="K55" s="179"/>
      <c r="L55" s="179"/>
      <c r="M55" s="179"/>
      <c r="N55" s="179"/>
      <c r="O55" s="179"/>
      <c r="P55" s="107"/>
      <c r="Q55" s="110"/>
      <c r="R55" s="179"/>
      <c r="S55" s="107"/>
      <c r="T55" s="110"/>
      <c r="U55" s="179"/>
      <c r="V55" s="107"/>
      <c r="W55" s="110"/>
      <c r="X55" s="110"/>
      <c r="Y55" s="110"/>
      <c r="Z55" s="110"/>
      <c r="AB55" s="107"/>
      <c r="AC55" s="114"/>
      <c r="AD55" s="370"/>
      <c r="AE55" s="369"/>
      <c r="AF55" s="369"/>
      <c r="AG55" s="488"/>
    </row>
    <row r="56" spans="1:35" s="84" customFormat="1" x14ac:dyDescent="0.3">
      <c r="A56" s="24"/>
      <c r="C56" s="24"/>
      <c r="D56" s="163"/>
      <c r="E56" s="163"/>
      <c r="F56" s="24"/>
      <c r="G56" s="24"/>
      <c r="H56" s="24"/>
      <c r="K56" s="179"/>
      <c r="L56" s="179"/>
      <c r="M56" s="179"/>
      <c r="N56" s="179"/>
      <c r="O56" s="179"/>
      <c r="P56" s="107"/>
      <c r="Q56" s="110"/>
      <c r="R56" s="179"/>
      <c r="S56" s="107"/>
      <c r="T56" s="110"/>
      <c r="U56" s="179"/>
      <c r="V56" s="107"/>
      <c r="W56" s="110"/>
      <c r="X56" s="110"/>
      <c r="Y56" s="110"/>
      <c r="Z56" s="110"/>
      <c r="AB56" s="107"/>
      <c r="AC56" s="114"/>
      <c r="AD56" s="370"/>
      <c r="AE56" s="369"/>
      <c r="AF56" s="369"/>
      <c r="AG56" s="488"/>
    </row>
    <row r="57" spans="1:35" s="84" customFormat="1" x14ac:dyDescent="0.3">
      <c r="C57" s="24"/>
      <c r="D57" s="163"/>
      <c r="E57" s="163"/>
      <c r="F57" s="24"/>
      <c r="G57" s="24"/>
      <c r="H57" s="24"/>
      <c r="K57" s="179"/>
      <c r="L57" s="179"/>
      <c r="M57" s="179"/>
      <c r="N57" s="179"/>
      <c r="O57" s="179"/>
      <c r="P57" s="107"/>
      <c r="Q57" s="110"/>
      <c r="R57" s="179"/>
      <c r="S57" s="107"/>
      <c r="T57" s="110"/>
      <c r="U57" s="179"/>
      <c r="V57" s="107"/>
      <c r="W57" s="110"/>
      <c r="X57" s="110"/>
      <c r="Y57" s="110"/>
      <c r="Z57" s="110"/>
      <c r="AB57" s="107"/>
      <c r="AC57" s="114"/>
      <c r="AD57" s="370"/>
      <c r="AE57" s="369"/>
      <c r="AF57" s="369"/>
      <c r="AG57" s="488"/>
    </row>
    <row r="58" spans="1:35" s="84" customFormat="1" x14ac:dyDescent="0.3">
      <c r="C58" s="24"/>
      <c r="D58" s="163"/>
      <c r="E58" s="163"/>
      <c r="F58" s="24"/>
      <c r="G58" s="24"/>
      <c r="H58" s="24"/>
      <c r="K58" s="179"/>
      <c r="L58" s="179"/>
      <c r="M58" s="179"/>
      <c r="N58" s="179"/>
      <c r="O58" s="179"/>
      <c r="P58" s="107"/>
      <c r="Q58" s="110"/>
      <c r="R58" s="179"/>
      <c r="S58" s="107"/>
      <c r="T58" s="110"/>
      <c r="U58" s="179"/>
      <c r="V58" s="107"/>
      <c r="W58" s="110"/>
      <c r="X58" s="110"/>
      <c r="Y58" s="110"/>
      <c r="Z58" s="110"/>
      <c r="AB58" s="107"/>
      <c r="AC58" s="114"/>
      <c r="AD58" s="110"/>
      <c r="AE58" s="107"/>
      <c r="AF58" s="107"/>
      <c r="AG58" s="488"/>
      <c r="AI58" s="1"/>
    </row>
    <row r="59" spans="1:35" x14ac:dyDescent="0.3">
      <c r="K59" s="179"/>
      <c r="L59" s="179"/>
      <c r="M59" s="179"/>
      <c r="N59" s="179"/>
      <c r="O59" s="179"/>
      <c r="P59" s="107"/>
      <c r="Q59" s="110"/>
      <c r="R59" s="179"/>
      <c r="S59" s="107"/>
      <c r="T59" s="110"/>
      <c r="U59" s="179"/>
      <c r="V59" s="107"/>
      <c r="W59" s="110"/>
      <c r="X59" s="110"/>
      <c r="Y59" s="110"/>
      <c r="Z59" s="110"/>
      <c r="AA59" s="84"/>
      <c r="AB59" s="107"/>
      <c r="AC59" s="114"/>
      <c r="AD59" s="110"/>
      <c r="AE59" s="107"/>
      <c r="AF59" s="107"/>
      <c r="AG59" s="488"/>
    </row>
    <row r="60" spans="1:35" x14ac:dyDescent="0.3">
      <c r="K60" s="179"/>
      <c r="L60" s="179"/>
      <c r="M60" s="179"/>
      <c r="N60" s="179"/>
      <c r="O60" s="179"/>
      <c r="P60" s="107"/>
      <c r="Q60" s="110"/>
      <c r="R60" s="179"/>
      <c r="S60" s="107"/>
      <c r="T60" s="110"/>
      <c r="U60" s="179"/>
      <c r="V60" s="107"/>
      <c r="W60" s="110"/>
      <c r="X60" s="110"/>
      <c r="Y60" s="110"/>
      <c r="Z60" s="110"/>
      <c r="AA60" s="84"/>
      <c r="AB60" s="107"/>
      <c r="AC60" s="114"/>
      <c r="AD60" s="110"/>
      <c r="AE60" s="107"/>
      <c r="AF60" s="107"/>
      <c r="AG60" s="488"/>
    </row>
    <row r="61" spans="1:35" x14ac:dyDescent="0.3">
      <c r="K61" s="179"/>
      <c r="L61" s="179"/>
      <c r="M61" s="179"/>
      <c r="N61" s="179"/>
      <c r="O61" s="179"/>
      <c r="P61" s="107"/>
      <c r="Q61" s="110"/>
      <c r="R61" s="179"/>
      <c r="S61" s="107"/>
      <c r="T61" s="110"/>
      <c r="U61" s="179"/>
      <c r="V61" s="107"/>
      <c r="W61" s="110"/>
      <c r="X61" s="110"/>
      <c r="Y61" s="110"/>
      <c r="Z61" s="110"/>
      <c r="AA61" s="84"/>
      <c r="AB61" s="107"/>
      <c r="AC61" s="114"/>
      <c r="AD61" s="110"/>
      <c r="AE61" s="107"/>
      <c r="AF61" s="107"/>
      <c r="AG61" s="488"/>
    </row>
    <row r="62" spans="1:35" x14ac:dyDescent="0.3">
      <c r="K62" s="179"/>
      <c r="L62" s="179"/>
      <c r="M62" s="179"/>
      <c r="N62" s="179"/>
      <c r="O62" s="179"/>
      <c r="P62" s="107"/>
      <c r="Q62" s="110"/>
      <c r="R62" s="179"/>
      <c r="S62" s="107"/>
      <c r="T62" s="110"/>
      <c r="U62" s="179"/>
      <c r="V62" s="107"/>
      <c r="W62" s="110"/>
      <c r="X62" s="110"/>
      <c r="Y62" s="110"/>
      <c r="Z62" s="110"/>
      <c r="AA62" s="84"/>
      <c r="AB62" s="107"/>
      <c r="AC62" s="114"/>
      <c r="AD62" s="110"/>
      <c r="AE62" s="107"/>
      <c r="AF62" s="107"/>
      <c r="AG62" s="488"/>
    </row>
    <row r="63" spans="1:35" x14ac:dyDescent="0.3">
      <c r="K63" s="179"/>
      <c r="L63" s="179"/>
      <c r="M63" s="179"/>
      <c r="N63" s="179"/>
      <c r="O63" s="179"/>
      <c r="P63" s="107"/>
      <c r="Q63" s="110"/>
      <c r="R63" s="179"/>
      <c r="S63" s="107"/>
      <c r="T63" s="110"/>
      <c r="U63" s="179"/>
      <c r="V63" s="107"/>
      <c r="W63" s="110"/>
      <c r="X63" s="110"/>
      <c r="Y63" s="110"/>
      <c r="Z63" s="110"/>
      <c r="AA63" s="84"/>
      <c r="AB63" s="107"/>
      <c r="AC63" s="114"/>
      <c r="AD63" s="110"/>
      <c r="AE63" s="107"/>
      <c r="AF63" s="107"/>
      <c r="AG63" s="488"/>
    </row>
    <row r="64" spans="1:35" x14ac:dyDescent="0.3">
      <c r="K64" s="179"/>
      <c r="L64" s="179"/>
      <c r="M64" s="179"/>
      <c r="N64" s="179"/>
      <c r="O64" s="179"/>
      <c r="P64" s="107"/>
      <c r="Q64" s="110"/>
      <c r="R64" s="179"/>
      <c r="S64" s="107"/>
      <c r="T64" s="110"/>
      <c r="U64" s="179"/>
      <c r="V64" s="107"/>
      <c r="W64" s="110"/>
      <c r="X64" s="110"/>
      <c r="Y64" s="110"/>
      <c r="Z64" s="110"/>
      <c r="AA64" s="84"/>
      <c r="AB64" s="107"/>
      <c r="AC64" s="114"/>
      <c r="AD64" s="110"/>
      <c r="AE64" s="107"/>
      <c r="AF64" s="107"/>
      <c r="AG64" s="488"/>
    </row>
    <row r="65" spans="11:33" x14ac:dyDescent="0.3">
      <c r="K65" s="179"/>
      <c r="L65" s="179"/>
      <c r="M65" s="179"/>
      <c r="N65" s="179"/>
      <c r="O65" s="179"/>
      <c r="P65" s="107"/>
      <c r="Q65" s="110"/>
      <c r="R65" s="179"/>
      <c r="S65" s="107"/>
      <c r="T65" s="110"/>
      <c r="U65" s="179"/>
      <c r="V65" s="107"/>
      <c r="W65" s="110"/>
      <c r="X65" s="110"/>
      <c r="Y65" s="110"/>
      <c r="Z65" s="110"/>
      <c r="AA65" s="84"/>
      <c r="AB65" s="107"/>
      <c r="AC65" s="114"/>
      <c r="AD65" s="110"/>
      <c r="AE65" s="107"/>
      <c r="AF65" s="107"/>
      <c r="AG65" s="488"/>
    </row>
    <row r="66" spans="11:33" x14ac:dyDescent="0.3">
      <c r="K66" s="179"/>
      <c r="L66" s="179"/>
      <c r="M66" s="179"/>
      <c r="N66" s="179"/>
      <c r="O66" s="179"/>
      <c r="P66" s="107"/>
      <c r="Q66" s="110"/>
      <c r="R66" s="179"/>
      <c r="S66" s="107"/>
      <c r="T66" s="110"/>
      <c r="U66" s="179"/>
      <c r="V66" s="107"/>
      <c r="W66" s="110"/>
      <c r="X66" s="110"/>
      <c r="Y66" s="110"/>
      <c r="Z66" s="110"/>
      <c r="AA66" s="84"/>
      <c r="AB66" s="107"/>
      <c r="AC66" s="114"/>
      <c r="AD66" s="110"/>
      <c r="AE66" s="107"/>
      <c r="AF66" s="107"/>
      <c r="AG66" s="488"/>
    </row>
    <row r="67" spans="11:33" x14ac:dyDescent="0.3">
      <c r="K67" s="179"/>
      <c r="L67" s="179"/>
      <c r="M67" s="179"/>
      <c r="N67" s="179"/>
      <c r="O67" s="179"/>
      <c r="P67" s="107"/>
      <c r="Q67" s="110"/>
      <c r="R67" s="179"/>
      <c r="S67" s="107"/>
      <c r="T67" s="110"/>
      <c r="U67" s="179"/>
      <c r="V67" s="107"/>
      <c r="W67" s="110"/>
      <c r="X67" s="110"/>
      <c r="Y67" s="110"/>
      <c r="Z67" s="110"/>
      <c r="AA67" s="84"/>
      <c r="AB67" s="107"/>
      <c r="AC67" s="114"/>
      <c r="AD67" s="110"/>
      <c r="AE67" s="107"/>
      <c r="AF67" s="107"/>
      <c r="AG67" s="488"/>
    </row>
    <row r="68" spans="11:33" x14ac:dyDescent="0.3">
      <c r="K68" s="179"/>
      <c r="L68" s="179"/>
      <c r="M68" s="179"/>
      <c r="N68" s="179"/>
      <c r="O68" s="179"/>
      <c r="P68" s="107"/>
      <c r="Q68" s="110"/>
      <c r="R68" s="179"/>
      <c r="S68" s="107"/>
      <c r="T68" s="110"/>
      <c r="U68" s="179"/>
      <c r="V68" s="107"/>
      <c r="W68" s="110"/>
      <c r="X68" s="110"/>
      <c r="Y68" s="110"/>
      <c r="Z68" s="110"/>
      <c r="AA68" s="84"/>
      <c r="AB68" s="107"/>
      <c r="AC68" s="114"/>
      <c r="AD68" s="110"/>
      <c r="AE68" s="107"/>
      <c r="AF68" s="107"/>
      <c r="AG68" s="488"/>
    </row>
    <row r="69" spans="11:33" x14ac:dyDescent="0.3">
      <c r="K69" s="179"/>
      <c r="L69" s="179"/>
      <c r="M69" s="179"/>
      <c r="N69" s="179"/>
      <c r="O69" s="179"/>
      <c r="P69" s="107"/>
      <c r="Q69" s="110"/>
      <c r="R69" s="179"/>
      <c r="S69" s="107"/>
      <c r="T69" s="110"/>
      <c r="U69" s="179"/>
      <c r="V69" s="107"/>
      <c r="W69" s="110"/>
      <c r="X69" s="110"/>
      <c r="Y69" s="110"/>
      <c r="Z69" s="110"/>
      <c r="AA69" s="84"/>
      <c r="AB69" s="107"/>
      <c r="AC69" s="114"/>
      <c r="AD69" s="110"/>
      <c r="AE69" s="107"/>
      <c r="AF69" s="107"/>
      <c r="AG69" s="488"/>
    </row>
    <row r="70" spans="11:33" x14ac:dyDescent="0.3">
      <c r="K70" s="179"/>
      <c r="L70" s="179"/>
      <c r="M70" s="179"/>
      <c r="N70" s="179"/>
      <c r="O70" s="179"/>
      <c r="P70" s="107"/>
      <c r="Q70" s="110"/>
      <c r="R70" s="179"/>
      <c r="S70" s="107"/>
      <c r="T70" s="110"/>
      <c r="U70" s="179"/>
      <c r="V70" s="107"/>
      <c r="W70" s="110"/>
      <c r="X70" s="110"/>
      <c r="Y70" s="110"/>
      <c r="Z70" s="110"/>
      <c r="AA70" s="84"/>
      <c r="AB70" s="107"/>
      <c r="AC70" s="114"/>
      <c r="AD70" s="110"/>
      <c r="AE70" s="107"/>
      <c r="AF70" s="107"/>
      <c r="AG70" s="488"/>
    </row>
    <row r="71" spans="11:33" x14ac:dyDescent="0.3">
      <c r="K71" s="179"/>
      <c r="L71" s="179"/>
      <c r="M71" s="179"/>
      <c r="N71" s="179"/>
      <c r="O71" s="179"/>
      <c r="P71" s="107"/>
      <c r="Q71" s="110"/>
      <c r="R71" s="179"/>
      <c r="S71" s="107"/>
      <c r="T71" s="110"/>
      <c r="U71" s="179"/>
      <c r="V71" s="107"/>
      <c r="W71" s="110"/>
      <c r="X71" s="110"/>
      <c r="Y71" s="110"/>
      <c r="Z71" s="110"/>
      <c r="AA71" s="84"/>
      <c r="AB71" s="107"/>
      <c r="AC71" s="114"/>
      <c r="AD71" s="110"/>
      <c r="AE71" s="107"/>
      <c r="AF71" s="107"/>
      <c r="AG71" s="488"/>
    </row>
    <row r="72" spans="11:33" x14ac:dyDescent="0.3">
      <c r="K72" s="179"/>
      <c r="L72" s="179"/>
      <c r="M72" s="179"/>
      <c r="N72" s="179"/>
      <c r="O72" s="179"/>
      <c r="P72" s="107"/>
      <c r="Q72" s="110"/>
      <c r="R72" s="179"/>
      <c r="S72" s="107"/>
      <c r="T72" s="110"/>
      <c r="U72" s="179"/>
      <c r="V72" s="107"/>
      <c r="W72" s="110"/>
      <c r="X72" s="110"/>
      <c r="Y72" s="110"/>
      <c r="Z72" s="110"/>
      <c r="AA72" s="84"/>
      <c r="AB72" s="107"/>
      <c r="AC72" s="114"/>
      <c r="AD72" s="110"/>
      <c r="AE72" s="107"/>
      <c r="AF72" s="107"/>
      <c r="AG72" s="488"/>
    </row>
    <row r="73" spans="11:33" x14ac:dyDescent="0.3">
      <c r="K73" s="179"/>
      <c r="L73" s="179"/>
      <c r="M73" s="179"/>
      <c r="N73" s="179"/>
      <c r="O73" s="179"/>
      <c r="P73" s="107"/>
      <c r="Q73" s="110"/>
      <c r="R73" s="179"/>
      <c r="S73" s="107"/>
      <c r="T73" s="110"/>
      <c r="U73" s="179"/>
      <c r="V73" s="107"/>
      <c r="W73" s="110"/>
      <c r="X73" s="110"/>
      <c r="Y73" s="110"/>
      <c r="Z73" s="110"/>
      <c r="AA73" s="84"/>
      <c r="AB73" s="107"/>
      <c r="AC73" s="114"/>
      <c r="AD73" s="110"/>
      <c r="AE73" s="107"/>
      <c r="AF73" s="107"/>
      <c r="AG73" s="488"/>
    </row>
    <row r="74" spans="11:33" x14ac:dyDescent="0.3">
      <c r="K74" s="179"/>
      <c r="L74" s="179"/>
      <c r="M74" s="179"/>
      <c r="N74" s="179"/>
      <c r="O74" s="179"/>
      <c r="P74" s="107"/>
      <c r="Q74" s="110"/>
      <c r="R74" s="179"/>
      <c r="S74" s="107"/>
      <c r="T74" s="110"/>
      <c r="U74" s="179"/>
      <c r="V74" s="107"/>
      <c r="W74" s="110"/>
      <c r="X74" s="110"/>
      <c r="Y74" s="110"/>
      <c r="Z74" s="110"/>
      <c r="AA74" s="84"/>
      <c r="AB74" s="107"/>
      <c r="AC74" s="114"/>
      <c r="AD74" s="110"/>
      <c r="AE74" s="107"/>
      <c r="AF74" s="107"/>
      <c r="AG74" s="488"/>
    </row>
  </sheetData>
  <sortState ref="A5:AI20">
    <sortCondition ref="B5:B20"/>
  </sortState>
  <mergeCells count="15">
    <mergeCell ref="L4:M4"/>
    <mergeCell ref="L3:M3"/>
    <mergeCell ref="AE3:AE4"/>
    <mergeCell ref="AF3:AF4"/>
    <mergeCell ref="AG3:AG4"/>
    <mergeCell ref="O4:P4"/>
    <mergeCell ref="R4:S4"/>
    <mergeCell ref="U4:V4"/>
    <mergeCell ref="X4:Y4"/>
    <mergeCell ref="AA4:AB4"/>
    <mergeCell ref="O3:P3"/>
    <mergeCell ref="R3:S3"/>
    <mergeCell ref="U3:V3"/>
    <mergeCell ref="X3:Y3"/>
    <mergeCell ref="AA3:AB3"/>
  </mergeCells>
  <pageMargins left="0.7" right="0.7" top="0.75" bottom="0.75" header="0.3" footer="0.3"/>
  <pageSetup paperSize="9" scale="64" fitToHeight="0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8"/>
  <sheetViews>
    <sheetView view="pageBreakPreview" topLeftCell="B1" zoomScale="90" zoomScaleNormal="100" zoomScaleSheetLayoutView="90" workbookViewId="0">
      <selection activeCell="J28" sqref="J28"/>
    </sheetView>
  </sheetViews>
  <sheetFormatPr defaultRowHeight="16.5" x14ac:dyDescent="0.3"/>
  <cols>
    <col min="1" max="1" width="7" style="1" customWidth="1"/>
    <col min="2" max="2" width="43.42578125" style="1" customWidth="1"/>
    <col min="3" max="3" width="9.7109375" style="15" bestFit="1" customWidth="1"/>
    <col min="4" max="4" width="13.140625" style="139" bestFit="1" customWidth="1"/>
    <col min="5" max="5" width="11.28515625" style="139" bestFit="1" customWidth="1"/>
    <col min="6" max="6" width="8.28515625" style="15" bestFit="1" customWidth="1"/>
    <col min="7" max="7" width="10.42578125" style="15" bestFit="1" customWidth="1"/>
    <col min="8" max="8" width="10.42578125" style="15" customWidth="1"/>
    <col min="9" max="9" width="31.7109375" style="1" bestFit="1" customWidth="1"/>
    <col min="10" max="10" width="65.5703125" style="1" bestFit="1" customWidth="1"/>
    <col min="11" max="11" width="15.5703125" style="78" bestFit="1" customWidth="1"/>
    <col min="12" max="12" width="7.85546875" style="78" customWidth="1"/>
    <col min="13" max="14" width="14.42578125" style="78" customWidth="1"/>
    <col min="15" max="15" width="7.7109375" style="78" customWidth="1"/>
    <col min="16" max="16" width="9.140625" style="106"/>
    <col min="17" max="17" width="14" style="108" bestFit="1" customWidth="1"/>
    <col min="18" max="18" width="10" style="78" customWidth="1"/>
    <col min="19" max="19" width="10.7109375" style="106" customWidth="1"/>
    <col min="20" max="20" width="14" style="108" bestFit="1" customWidth="1"/>
    <col min="21" max="21" width="9.5703125" style="78" customWidth="1"/>
    <col min="22" max="22" width="10.85546875" style="106" customWidth="1"/>
    <col min="23" max="23" width="14" style="108" bestFit="1" customWidth="1"/>
    <col min="24" max="24" width="10.140625" style="108" customWidth="1"/>
    <col min="25" max="26" width="14" style="108" customWidth="1"/>
    <col min="27" max="27" width="9.5703125" style="1" customWidth="1"/>
    <col min="28" max="28" width="10.85546875" style="106" customWidth="1"/>
    <col min="29" max="29" width="14" style="43" bestFit="1" customWidth="1"/>
    <col min="30" max="30" width="15.85546875" style="108" bestFit="1" customWidth="1"/>
    <col min="31" max="31" width="18.7109375" style="106" bestFit="1" customWidth="1"/>
    <col min="32" max="32" width="18.7109375" style="106" customWidth="1"/>
    <col min="33" max="33" width="17.5703125" style="463" customWidth="1"/>
    <col min="34" max="16384" width="9.140625" style="1"/>
  </cols>
  <sheetData>
    <row r="1" spans="1:33" x14ac:dyDescent="0.3">
      <c r="A1" s="4" t="s">
        <v>0</v>
      </c>
      <c r="B1" s="5"/>
      <c r="C1" s="306"/>
    </row>
    <row r="2" spans="1:33" x14ac:dyDescent="0.3">
      <c r="A2" s="4" t="s">
        <v>43</v>
      </c>
      <c r="B2" s="5"/>
      <c r="C2" s="306"/>
      <c r="J2" s="1" t="s">
        <v>2757</v>
      </c>
    </row>
    <row r="3" spans="1:33" x14ac:dyDescent="0.3">
      <c r="A3" s="114" t="s">
        <v>2810</v>
      </c>
      <c r="B3" s="84"/>
      <c r="C3" s="24"/>
      <c r="D3" s="163"/>
      <c r="E3" s="163"/>
      <c r="F3" s="24"/>
      <c r="G3" s="24"/>
      <c r="H3" s="24"/>
      <c r="I3" s="84"/>
      <c r="J3" s="84"/>
      <c r="K3" s="481" t="s">
        <v>520</v>
      </c>
      <c r="L3" s="661" t="s">
        <v>521</v>
      </c>
      <c r="M3" s="662"/>
      <c r="N3" s="100" t="s">
        <v>522</v>
      </c>
      <c r="O3" s="663" t="s">
        <v>521</v>
      </c>
      <c r="P3" s="663"/>
      <c r="Q3" s="100" t="s">
        <v>522</v>
      </c>
      <c r="R3" s="663" t="s">
        <v>521</v>
      </c>
      <c r="S3" s="663"/>
      <c r="T3" s="100" t="s">
        <v>522</v>
      </c>
      <c r="U3" s="663" t="s">
        <v>521</v>
      </c>
      <c r="V3" s="663"/>
      <c r="W3" s="100" t="s">
        <v>522</v>
      </c>
      <c r="X3" s="663" t="s">
        <v>521</v>
      </c>
      <c r="Y3" s="663"/>
      <c r="Z3" s="540" t="s">
        <v>522</v>
      </c>
      <c r="AA3" s="663" t="s">
        <v>521</v>
      </c>
      <c r="AB3" s="663"/>
      <c r="AC3" s="540" t="s">
        <v>522</v>
      </c>
      <c r="AD3" s="100" t="s">
        <v>523</v>
      </c>
      <c r="AE3" s="659" t="s">
        <v>524</v>
      </c>
      <c r="AF3" s="648" t="s">
        <v>755</v>
      </c>
      <c r="AG3" s="660" t="s">
        <v>571</v>
      </c>
    </row>
    <row r="4" spans="1:33" x14ac:dyDescent="0.3">
      <c r="A4" s="2" t="s">
        <v>1</v>
      </c>
      <c r="B4" s="2" t="s">
        <v>2</v>
      </c>
      <c r="C4" s="2" t="s">
        <v>1502</v>
      </c>
      <c r="D4" s="161" t="s">
        <v>3</v>
      </c>
      <c r="E4" s="161" t="s">
        <v>1499</v>
      </c>
      <c r="F4" s="2" t="s">
        <v>4</v>
      </c>
      <c r="G4" s="2" t="s">
        <v>5</v>
      </c>
      <c r="H4" s="2" t="s">
        <v>970</v>
      </c>
      <c r="I4" s="7" t="s">
        <v>6</v>
      </c>
      <c r="J4" s="7" t="s">
        <v>415</v>
      </c>
      <c r="K4" s="177" t="s">
        <v>525</v>
      </c>
      <c r="L4" s="661">
        <v>2016</v>
      </c>
      <c r="M4" s="662"/>
      <c r="N4" s="100" t="s">
        <v>525</v>
      </c>
      <c r="O4" s="663">
        <v>2017</v>
      </c>
      <c r="P4" s="663"/>
      <c r="Q4" s="100" t="s">
        <v>525</v>
      </c>
      <c r="R4" s="663">
        <v>2018</v>
      </c>
      <c r="S4" s="663"/>
      <c r="T4" s="100" t="s">
        <v>525</v>
      </c>
      <c r="U4" s="663">
        <v>2019</v>
      </c>
      <c r="V4" s="663"/>
      <c r="W4" s="100" t="s">
        <v>525</v>
      </c>
      <c r="X4" s="663">
        <v>2020</v>
      </c>
      <c r="Y4" s="663"/>
      <c r="Z4" s="540" t="s">
        <v>525</v>
      </c>
      <c r="AA4" s="663">
        <v>2021</v>
      </c>
      <c r="AB4" s="663"/>
      <c r="AC4" s="540" t="s">
        <v>525</v>
      </c>
      <c r="AD4" s="100" t="s">
        <v>525</v>
      </c>
      <c r="AE4" s="659"/>
      <c r="AF4" s="648"/>
      <c r="AG4" s="660"/>
    </row>
    <row r="5" spans="1:33" s="37" customFormat="1" x14ac:dyDescent="0.3">
      <c r="A5" s="12">
        <v>1</v>
      </c>
      <c r="B5" s="86" t="s">
        <v>2811</v>
      </c>
      <c r="C5" s="12" t="s">
        <v>2812</v>
      </c>
      <c r="D5" s="129" t="s">
        <v>2813</v>
      </c>
      <c r="E5" s="131" t="s">
        <v>2814</v>
      </c>
      <c r="F5" s="12" t="s">
        <v>7</v>
      </c>
      <c r="G5" s="12" t="s">
        <v>1523</v>
      </c>
      <c r="H5" s="12" t="s">
        <v>640</v>
      </c>
      <c r="I5" s="86" t="s">
        <v>2815</v>
      </c>
      <c r="J5" s="42" t="s">
        <v>1603</v>
      </c>
      <c r="K5" s="75">
        <v>24000</v>
      </c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37" customFormat="1" x14ac:dyDescent="0.3">
      <c r="A6" s="12">
        <v>2</v>
      </c>
      <c r="B6" s="26" t="s">
        <v>2816</v>
      </c>
      <c r="C6" s="309" t="s">
        <v>2817</v>
      </c>
      <c r="D6" s="387" t="s">
        <v>2818</v>
      </c>
      <c r="E6" s="387" t="s">
        <v>2819</v>
      </c>
      <c r="F6" s="11" t="s">
        <v>7</v>
      </c>
      <c r="G6" s="12" t="s">
        <v>1523</v>
      </c>
      <c r="H6" s="11" t="s">
        <v>640</v>
      </c>
      <c r="I6" s="42" t="s">
        <v>2820</v>
      </c>
      <c r="J6" s="42" t="s">
        <v>497</v>
      </c>
      <c r="K6" s="75">
        <v>24000</v>
      </c>
      <c r="L6" s="113"/>
      <c r="M6" s="113"/>
      <c r="N6" s="113"/>
      <c r="O6" s="75"/>
      <c r="P6" s="93"/>
      <c r="Q6" s="95"/>
      <c r="R6" s="75"/>
      <c r="S6" s="93"/>
      <c r="T6" s="95"/>
      <c r="U6" s="75"/>
      <c r="V6" s="93"/>
      <c r="W6" s="95"/>
      <c r="X6" s="95"/>
      <c r="Y6" s="95"/>
      <c r="Z6" s="95"/>
      <c r="AA6" s="40"/>
      <c r="AB6" s="93"/>
      <c r="AC6" s="95"/>
      <c r="AD6" s="95"/>
      <c r="AE6" s="93"/>
      <c r="AF6" s="93"/>
      <c r="AG6" s="482"/>
    </row>
    <row r="7" spans="1:33" s="37" customFormat="1" x14ac:dyDescent="0.3">
      <c r="A7" s="12">
        <v>3</v>
      </c>
      <c r="B7" s="26" t="s">
        <v>2821</v>
      </c>
      <c r="C7" s="309" t="s">
        <v>2822</v>
      </c>
      <c r="D7" s="387" t="s">
        <v>2823</v>
      </c>
      <c r="E7" s="387" t="s">
        <v>2824</v>
      </c>
      <c r="F7" s="11" t="s">
        <v>7</v>
      </c>
      <c r="G7" s="12" t="s">
        <v>1523</v>
      </c>
      <c r="H7" s="11" t="s">
        <v>640</v>
      </c>
      <c r="I7" s="42" t="s">
        <v>2815</v>
      </c>
      <c r="J7" s="42" t="s">
        <v>2825</v>
      </c>
      <c r="K7" s="75">
        <v>24000</v>
      </c>
      <c r="L7" s="113"/>
      <c r="M7" s="113"/>
      <c r="N7" s="113"/>
      <c r="O7" s="75"/>
      <c r="P7" s="93"/>
      <c r="Q7" s="95"/>
      <c r="R7" s="75"/>
      <c r="S7" s="93"/>
      <c r="T7" s="95"/>
      <c r="U7" s="75"/>
      <c r="V7" s="93"/>
      <c r="W7" s="95"/>
      <c r="X7" s="95"/>
      <c r="Y7" s="95"/>
      <c r="Z7" s="95"/>
      <c r="AA7" s="40"/>
      <c r="AB7" s="93"/>
      <c r="AC7" s="95"/>
      <c r="AD7" s="95"/>
      <c r="AE7" s="93"/>
      <c r="AF7" s="93"/>
      <c r="AG7" s="482"/>
    </row>
    <row r="8" spans="1:33" s="37" customFormat="1" x14ac:dyDescent="0.3">
      <c r="A8" s="12">
        <v>4</v>
      </c>
      <c r="B8" s="26" t="s">
        <v>2826</v>
      </c>
      <c r="C8" s="309" t="s">
        <v>1812</v>
      </c>
      <c r="D8" s="387" t="s">
        <v>2827</v>
      </c>
      <c r="E8" s="387" t="s">
        <v>2828</v>
      </c>
      <c r="F8" s="11" t="s">
        <v>7</v>
      </c>
      <c r="G8" s="11" t="s">
        <v>1523</v>
      </c>
      <c r="H8" s="11" t="s">
        <v>640</v>
      </c>
      <c r="I8" s="42" t="s">
        <v>2815</v>
      </c>
      <c r="J8" s="44" t="s">
        <v>2829</v>
      </c>
      <c r="K8" s="75">
        <v>24000</v>
      </c>
      <c r="L8" s="113"/>
      <c r="M8" s="113"/>
      <c r="N8" s="113"/>
      <c r="O8" s="75"/>
      <c r="P8" s="93"/>
      <c r="Q8" s="95"/>
      <c r="R8" s="75"/>
      <c r="S8" s="93"/>
      <c r="T8" s="95"/>
      <c r="U8" s="75"/>
      <c r="V8" s="93"/>
      <c r="W8" s="95"/>
      <c r="X8" s="95"/>
      <c r="Y8" s="95"/>
      <c r="Z8" s="95"/>
      <c r="AA8" s="40"/>
      <c r="AB8" s="93"/>
      <c r="AC8" s="95"/>
      <c r="AD8" s="95"/>
      <c r="AE8" s="93"/>
      <c r="AF8" s="93"/>
      <c r="AG8" s="482"/>
    </row>
    <row r="9" spans="1:33" s="37" customFormat="1" x14ac:dyDescent="0.3">
      <c r="A9" s="12">
        <v>5</v>
      </c>
      <c r="B9" s="26" t="s">
        <v>2830</v>
      </c>
      <c r="C9" s="309" t="s">
        <v>2831</v>
      </c>
      <c r="D9" s="129" t="s">
        <v>2832</v>
      </c>
      <c r="E9" s="129" t="s">
        <v>2833</v>
      </c>
      <c r="F9" s="12" t="s">
        <v>7</v>
      </c>
      <c r="G9" s="12" t="s">
        <v>1523</v>
      </c>
      <c r="H9" s="11" t="s">
        <v>640</v>
      </c>
      <c r="I9" s="34" t="s">
        <v>2815</v>
      </c>
      <c r="J9" s="34" t="s">
        <v>2834</v>
      </c>
      <c r="K9" s="75">
        <v>24000</v>
      </c>
      <c r="L9" s="113"/>
      <c r="M9" s="113"/>
      <c r="N9" s="113"/>
      <c r="O9" s="75"/>
      <c r="P9" s="93"/>
      <c r="Q9" s="95"/>
      <c r="R9" s="75"/>
      <c r="S9" s="93"/>
      <c r="T9" s="95"/>
      <c r="U9" s="75"/>
      <c r="V9" s="93"/>
      <c r="W9" s="95"/>
      <c r="X9" s="95"/>
      <c r="Y9" s="95"/>
      <c r="Z9" s="95"/>
      <c r="AA9" s="40"/>
      <c r="AB9" s="93"/>
      <c r="AC9" s="95"/>
      <c r="AD9" s="95"/>
      <c r="AE9" s="93"/>
      <c r="AF9" s="93"/>
      <c r="AG9" s="482"/>
    </row>
    <row r="10" spans="1:33" s="37" customFormat="1" x14ac:dyDescent="0.3">
      <c r="A10" s="39"/>
      <c r="B10" s="323"/>
      <c r="C10" s="364"/>
      <c r="D10" s="365"/>
      <c r="E10" s="365"/>
      <c r="F10" s="316"/>
      <c r="G10" s="316"/>
      <c r="H10" s="316"/>
      <c r="I10" s="38"/>
      <c r="J10" s="38"/>
      <c r="K10" s="367"/>
      <c r="L10" s="367"/>
      <c r="M10" s="367"/>
      <c r="N10" s="367"/>
      <c r="O10" s="368"/>
      <c r="P10" s="369"/>
      <c r="Q10" s="370"/>
      <c r="R10" s="368"/>
      <c r="S10" s="369"/>
      <c r="T10" s="370"/>
      <c r="U10" s="368"/>
      <c r="V10" s="369"/>
      <c r="W10" s="370"/>
      <c r="X10" s="370"/>
      <c r="Y10" s="370"/>
      <c r="Z10" s="370"/>
      <c r="AB10" s="369"/>
      <c r="AC10" s="370"/>
      <c r="AD10" s="370"/>
      <c r="AE10" s="369"/>
      <c r="AF10" s="369"/>
      <c r="AG10" s="485"/>
    </row>
    <row r="11" spans="1:33" s="37" customFormat="1" x14ac:dyDescent="0.3">
      <c r="A11" s="39"/>
      <c r="B11" s="323"/>
      <c r="C11" s="364"/>
      <c r="D11" s="365"/>
      <c r="E11" s="365"/>
      <c r="F11" s="316"/>
      <c r="G11" s="316"/>
      <c r="H11" s="316"/>
      <c r="I11" s="38"/>
      <c r="J11" s="38"/>
      <c r="K11" s="367"/>
      <c r="L11" s="367"/>
      <c r="M11" s="367"/>
      <c r="N11" s="367"/>
      <c r="O11" s="368"/>
      <c r="P11" s="369"/>
      <c r="Q11" s="370"/>
      <c r="R11" s="368"/>
      <c r="S11" s="369"/>
      <c r="T11" s="370"/>
      <c r="U11" s="368"/>
      <c r="V11" s="369"/>
      <c r="W11" s="370"/>
      <c r="X11" s="370"/>
      <c r="Y11" s="370"/>
      <c r="Z11" s="370"/>
      <c r="AB11" s="369"/>
      <c r="AC11" s="370"/>
      <c r="AD11" s="370"/>
      <c r="AE11" s="369"/>
      <c r="AF11" s="369"/>
      <c r="AG11" s="485"/>
    </row>
    <row r="12" spans="1:33" s="37" customFormat="1" x14ac:dyDescent="0.3">
      <c r="A12" s="39"/>
      <c r="B12" s="323"/>
      <c r="C12" s="364"/>
      <c r="D12" s="365"/>
      <c r="E12" s="365"/>
      <c r="F12" s="316"/>
      <c r="G12" s="316"/>
      <c r="H12" s="316"/>
      <c r="I12" s="38"/>
      <c r="J12" s="38"/>
      <c r="K12" s="374"/>
      <c r="L12" s="374"/>
      <c r="M12" s="374"/>
      <c r="N12" s="374"/>
      <c r="O12" s="374"/>
      <c r="P12" s="375"/>
      <c r="Q12" s="375"/>
      <c r="R12" s="374"/>
      <c r="S12" s="375"/>
      <c r="T12" s="375"/>
      <c r="U12" s="374"/>
      <c r="V12" s="375"/>
      <c r="W12" s="375"/>
      <c r="X12" s="375"/>
      <c r="Y12" s="375"/>
      <c r="Z12" s="375"/>
      <c r="AA12" s="375"/>
      <c r="AB12" s="376"/>
      <c r="AC12" s="376"/>
      <c r="AD12" s="370"/>
      <c r="AE12" s="369"/>
      <c r="AF12" s="369"/>
      <c r="AG12" s="486"/>
    </row>
    <row r="13" spans="1:33" s="37" customFormat="1" x14ac:dyDescent="0.3">
      <c r="A13" s="39"/>
      <c r="B13" s="323"/>
      <c r="C13" s="364"/>
      <c r="D13" s="126"/>
      <c r="E13" s="126"/>
      <c r="F13" s="39"/>
      <c r="G13" s="316"/>
      <c r="H13" s="316"/>
      <c r="I13" s="372"/>
      <c r="J13" s="372"/>
      <c r="K13" s="377"/>
      <c r="L13" s="377"/>
      <c r="M13" s="377"/>
      <c r="N13" s="377"/>
      <c r="O13" s="368"/>
      <c r="P13" s="369"/>
      <c r="Q13" s="370"/>
      <c r="R13" s="368"/>
      <c r="S13" s="369"/>
      <c r="T13" s="370"/>
      <c r="U13" s="368"/>
      <c r="V13" s="369"/>
      <c r="W13" s="370"/>
      <c r="X13" s="370"/>
      <c r="Y13" s="370"/>
      <c r="Z13" s="370"/>
      <c r="AB13" s="369"/>
      <c r="AC13" s="370"/>
      <c r="AD13" s="370"/>
      <c r="AE13" s="369"/>
      <c r="AF13" s="369"/>
      <c r="AG13" s="485"/>
    </row>
    <row r="14" spans="1:33" s="37" customFormat="1" x14ac:dyDescent="0.3">
      <c r="A14" s="39"/>
      <c r="B14" s="323"/>
      <c r="C14" s="364"/>
      <c r="D14" s="126"/>
      <c r="E14" s="126"/>
      <c r="F14" s="39"/>
      <c r="G14" s="316"/>
      <c r="H14" s="316"/>
      <c r="I14" s="372"/>
      <c r="J14" s="372"/>
      <c r="K14" s="377"/>
      <c r="L14" s="377"/>
      <c r="M14" s="377"/>
      <c r="N14" s="377"/>
      <c r="O14" s="368"/>
      <c r="P14" s="369"/>
      <c r="Q14" s="370"/>
      <c r="R14" s="368"/>
      <c r="S14" s="369"/>
      <c r="T14" s="370"/>
      <c r="U14" s="368"/>
      <c r="V14" s="369"/>
      <c r="W14" s="370"/>
      <c r="X14" s="370"/>
      <c r="Y14" s="370"/>
      <c r="Z14" s="370"/>
      <c r="AB14" s="369"/>
      <c r="AC14" s="370"/>
      <c r="AD14" s="370"/>
      <c r="AE14" s="369"/>
      <c r="AF14" s="369"/>
      <c r="AG14" s="485"/>
    </row>
    <row r="15" spans="1:33" s="37" customFormat="1" x14ac:dyDescent="0.3">
      <c r="A15" s="39"/>
      <c r="B15" s="323"/>
      <c r="C15" s="364"/>
      <c r="D15" s="126"/>
      <c r="E15" s="126"/>
      <c r="F15" s="39"/>
      <c r="G15" s="316"/>
      <c r="H15" s="316"/>
      <c r="K15" s="377"/>
      <c r="L15" s="377"/>
      <c r="M15" s="377"/>
      <c r="N15" s="377"/>
      <c r="O15" s="368"/>
      <c r="P15" s="369"/>
      <c r="Q15" s="370"/>
      <c r="R15" s="368"/>
      <c r="S15" s="369"/>
      <c r="T15" s="370"/>
      <c r="U15" s="368"/>
      <c r="V15" s="369"/>
      <c r="W15" s="370"/>
      <c r="Y15" s="369"/>
      <c r="Z15" s="370"/>
      <c r="AB15" s="369"/>
      <c r="AD15" s="370"/>
      <c r="AE15" s="369"/>
      <c r="AF15" s="369"/>
      <c r="AG15" s="487"/>
    </row>
    <row r="16" spans="1:33" s="37" customFormat="1" x14ac:dyDescent="0.3">
      <c r="A16" s="39"/>
      <c r="C16" s="39"/>
      <c r="D16" s="371"/>
      <c r="E16" s="371"/>
      <c r="F16" s="39"/>
      <c r="G16" s="316"/>
      <c r="H16" s="316"/>
      <c r="K16" s="377"/>
      <c r="L16" s="377"/>
      <c r="M16" s="377"/>
      <c r="N16" s="377"/>
      <c r="O16" s="368"/>
      <c r="P16" s="369"/>
      <c r="Q16" s="370"/>
      <c r="R16" s="368"/>
      <c r="S16" s="369"/>
      <c r="T16" s="370"/>
      <c r="U16" s="368"/>
      <c r="V16" s="369"/>
      <c r="W16" s="370"/>
      <c r="Y16" s="369"/>
      <c r="Z16" s="370"/>
      <c r="AB16" s="369"/>
      <c r="AD16" s="370"/>
      <c r="AE16" s="369"/>
      <c r="AF16" s="369"/>
      <c r="AG16" s="485"/>
    </row>
    <row r="17" spans="1:33" s="37" customFormat="1" x14ac:dyDescent="0.3">
      <c r="A17" s="39"/>
      <c r="C17" s="39"/>
      <c r="D17" s="371"/>
      <c r="E17" s="371"/>
      <c r="F17" s="39"/>
      <c r="G17" s="316"/>
      <c r="H17" s="316"/>
      <c r="I17" s="87"/>
      <c r="J17" s="87"/>
      <c r="K17" s="377"/>
      <c r="L17" s="377"/>
      <c r="M17" s="377"/>
      <c r="N17" s="377"/>
      <c r="O17" s="368"/>
      <c r="P17" s="369"/>
      <c r="Q17" s="370"/>
      <c r="R17" s="368"/>
      <c r="S17" s="369"/>
      <c r="T17" s="370"/>
      <c r="U17" s="368"/>
      <c r="V17" s="369"/>
      <c r="W17" s="370"/>
      <c r="Y17" s="369"/>
      <c r="Z17" s="370"/>
      <c r="AB17" s="369"/>
      <c r="AD17" s="370"/>
      <c r="AE17" s="369"/>
      <c r="AF17" s="369"/>
      <c r="AG17" s="485"/>
    </row>
    <row r="18" spans="1:33" s="37" customFormat="1" x14ac:dyDescent="0.3">
      <c r="A18" s="39"/>
      <c r="C18" s="39"/>
      <c r="D18" s="371"/>
      <c r="E18" s="371"/>
      <c r="F18" s="39"/>
      <c r="G18" s="316"/>
      <c r="H18" s="316"/>
      <c r="K18" s="377"/>
      <c r="L18" s="377"/>
      <c r="M18" s="377"/>
      <c r="N18" s="377"/>
      <c r="O18" s="368"/>
      <c r="P18" s="369"/>
      <c r="Q18" s="370"/>
      <c r="R18" s="368"/>
      <c r="S18" s="369"/>
      <c r="T18" s="370"/>
      <c r="U18" s="368"/>
      <c r="V18" s="369"/>
      <c r="W18" s="370"/>
      <c r="Y18" s="369"/>
      <c r="Z18" s="370"/>
      <c r="AB18" s="369"/>
      <c r="AD18" s="370"/>
      <c r="AE18" s="369"/>
      <c r="AF18" s="369"/>
      <c r="AG18" s="485"/>
    </row>
    <row r="19" spans="1:33" s="37" customFormat="1" x14ac:dyDescent="0.3">
      <c r="A19" s="39"/>
      <c r="C19" s="39"/>
      <c r="D19" s="371"/>
      <c r="E19" s="371"/>
      <c r="F19" s="39"/>
      <c r="G19" s="316"/>
      <c r="H19" s="316"/>
      <c r="K19" s="377"/>
      <c r="L19" s="377"/>
      <c r="M19" s="377"/>
      <c r="N19" s="377"/>
      <c r="O19" s="368"/>
      <c r="P19" s="369"/>
      <c r="Q19" s="370"/>
      <c r="R19" s="368"/>
      <c r="S19" s="369"/>
      <c r="T19" s="370"/>
      <c r="U19" s="368"/>
      <c r="V19" s="369"/>
      <c r="W19" s="370"/>
      <c r="Y19" s="369"/>
      <c r="Z19" s="370"/>
      <c r="AB19" s="369"/>
      <c r="AD19" s="370"/>
      <c r="AE19" s="369"/>
      <c r="AF19" s="369"/>
      <c r="AG19" s="485"/>
    </row>
    <row r="20" spans="1:33" s="37" customFormat="1" x14ac:dyDescent="0.3">
      <c r="A20" s="39"/>
      <c r="C20" s="39"/>
      <c r="D20" s="371"/>
      <c r="E20" s="371"/>
      <c r="F20" s="39"/>
      <c r="G20" s="316"/>
      <c r="H20" s="316"/>
      <c r="K20" s="377"/>
      <c r="L20" s="377"/>
      <c r="M20" s="377"/>
      <c r="N20" s="377"/>
      <c r="O20" s="368"/>
      <c r="P20" s="369"/>
      <c r="Q20" s="370"/>
      <c r="R20" s="368"/>
      <c r="S20" s="369"/>
      <c r="T20" s="370"/>
      <c r="U20" s="368"/>
      <c r="V20" s="369"/>
      <c r="W20" s="370"/>
      <c r="Y20" s="369"/>
      <c r="Z20" s="370"/>
      <c r="AB20" s="369"/>
      <c r="AD20" s="370"/>
      <c r="AE20" s="369"/>
      <c r="AF20" s="369"/>
      <c r="AG20" s="485"/>
    </row>
    <row r="21" spans="1:33" s="37" customFormat="1" x14ac:dyDescent="0.3">
      <c r="A21" s="39"/>
      <c r="C21" s="39"/>
      <c r="D21" s="371"/>
      <c r="E21" s="371"/>
      <c r="F21" s="39"/>
      <c r="G21" s="316"/>
      <c r="H21" s="316"/>
      <c r="K21" s="377"/>
      <c r="L21" s="377"/>
      <c r="M21" s="377"/>
      <c r="N21" s="377"/>
      <c r="O21" s="368"/>
      <c r="P21" s="369"/>
      <c r="Q21" s="370"/>
      <c r="R21" s="368"/>
      <c r="S21" s="369"/>
      <c r="T21" s="370"/>
      <c r="U21" s="368"/>
      <c r="V21" s="369"/>
      <c r="W21" s="370"/>
      <c r="X21" s="370"/>
      <c r="Y21" s="370"/>
      <c r="Z21" s="370"/>
      <c r="AB21" s="369"/>
      <c r="AC21" s="370"/>
      <c r="AD21" s="370"/>
      <c r="AE21" s="369"/>
      <c r="AF21" s="369"/>
      <c r="AG21" s="485"/>
    </row>
    <row r="22" spans="1:33" s="37" customFormat="1" x14ac:dyDescent="0.3">
      <c r="A22" s="39"/>
      <c r="C22" s="39"/>
      <c r="D22" s="371"/>
      <c r="E22" s="371"/>
      <c r="F22" s="39"/>
      <c r="G22" s="316"/>
      <c r="H22" s="316"/>
      <c r="J22" s="372"/>
      <c r="K22" s="377"/>
      <c r="L22" s="377"/>
      <c r="M22" s="377"/>
      <c r="N22" s="377"/>
      <c r="O22" s="368"/>
      <c r="P22" s="369"/>
      <c r="Q22" s="370"/>
      <c r="R22" s="368"/>
      <c r="S22" s="369"/>
      <c r="T22" s="370"/>
      <c r="U22" s="368"/>
      <c r="V22" s="369"/>
      <c r="W22" s="370"/>
      <c r="X22" s="370"/>
      <c r="Y22" s="370"/>
      <c r="Z22" s="370"/>
      <c r="AB22" s="369"/>
      <c r="AC22" s="370"/>
      <c r="AD22" s="370"/>
      <c r="AE22" s="369"/>
      <c r="AF22" s="369"/>
      <c r="AG22" s="485"/>
    </row>
    <row r="23" spans="1:33" s="37" customFormat="1" x14ac:dyDescent="0.3">
      <c r="A23" s="39"/>
      <c r="C23" s="39"/>
      <c r="D23" s="371"/>
      <c r="E23" s="371"/>
      <c r="F23" s="39"/>
      <c r="G23" s="316"/>
      <c r="H23" s="316"/>
      <c r="K23" s="377"/>
      <c r="L23" s="377"/>
      <c r="M23" s="377"/>
      <c r="N23" s="377"/>
      <c r="O23" s="368"/>
      <c r="P23" s="369"/>
      <c r="Q23" s="370"/>
      <c r="R23" s="368"/>
      <c r="S23" s="369"/>
      <c r="T23" s="370"/>
      <c r="U23" s="368"/>
      <c r="V23" s="369"/>
      <c r="W23" s="370"/>
      <c r="X23" s="370"/>
      <c r="Y23" s="370"/>
      <c r="Z23" s="370"/>
      <c r="AB23" s="369"/>
      <c r="AC23" s="370"/>
      <c r="AD23" s="370"/>
      <c r="AE23" s="369"/>
      <c r="AF23" s="369"/>
      <c r="AG23" s="487"/>
    </row>
    <row r="24" spans="1:33" s="37" customFormat="1" x14ac:dyDescent="0.3">
      <c r="A24" s="39"/>
      <c r="C24" s="39"/>
      <c r="D24" s="371"/>
      <c r="E24" s="371"/>
      <c r="F24" s="39"/>
      <c r="G24" s="316"/>
      <c r="H24" s="316"/>
      <c r="K24" s="377"/>
      <c r="L24" s="377"/>
      <c r="M24" s="377"/>
      <c r="N24" s="377"/>
      <c r="O24" s="368"/>
      <c r="P24" s="369"/>
      <c r="Q24" s="370"/>
      <c r="R24" s="368"/>
      <c r="S24" s="369"/>
      <c r="T24" s="370"/>
      <c r="U24" s="368"/>
      <c r="V24" s="369"/>
      <c r="W24" s="370"/>
      <c r="X24" s="370"/>
      <c r="Y24" s="370"/>
      <c r="Z24" s="370"/>
      <c r="AB24" s="369"/>
      <c r="AC24" s="370"/>
      <c r="AD24" s="370"/>
      <c r="AE24" s="369"/>
      <c r="AF24" s="369"/>
      <c r="AG24" s="485"/>
    </row>
    <row r="25" spans="1:33" s="37" customFormat="1" x14ac:dyDescent="0.3">
      <c r="A25" s="39"/>
      <c r="C25" s="39"/>
      <c r="D25" s="126"/>
      <c r="E25" s="126"/>
      <c r="F25" s="39"/>
      <c r="G25" s="39"/>
      <c r="H25" s="39"/>
      <c r="K25" s="377"/>
      <c r="L25" s="377"/>
      <c r="M25" s="377"/>
      <c r="N25" s="377"/>
      <c r="O25" s="368"/>
      <c r="P25" s="369"/>
      <c r="Q25" s="370"/>
      <c r="R25" s="368"/>
      <c r="S25" s="369"/>
      <c r="T25" s="370"/>
      <c r="U25" s="368"/>
      <c r="V25" s="369"/>
      <c r="W25" s="370"/>
      <c r="Y25" s="369"/>
      <c r="Z25" s="370"/>
      <c r="AB25" s="369"/>
      <c r="AC25" s="378"/>
      <c r="AD25" s="370"/>
      <c r="AE25" s="369"/>
      <c r="AF25" s="369"/>
      <c r="AG25" s="485"/>
    </row>
    <row r="26" spans="1:33" s="37" customFormat="1" x14ac:dyDescent="0.3">
      <c r="A26" s="39"/>
      <c r="C26" s="39"/>
      <c r="D26" s="126"/>
      <c r="E26" s="126"/>
      <c r="F26" s="39"/>
      <c r="G26" s="39"/>
      <c r="H26" s="39"/>
      <c r="K26" s="377"/>
      <c r="L26" s="377"/>
      <c r="M26" s="377"/>
      <c r="N26" s="377"/>
      <c r="O26" s="368"/>
      <c r="P26" s="369"/>
      <c r="Q26" s="370"/>
      <c r="R26" s="368"/>
      <c r="S26" s="369"/>
      <c r="T26" s="370"/>
      <c r="U26" s="368"/>
      <c r="V26" s="369"/>
      <c r="W26" s="370"/>
      <c r="Y26" s="369"/>
      <c r="Z26" s="370"/>
      <c r="AB26" s="369"/>
      <c r="AC26" s="378"/>
      <c r="AD26" s="370"/>
      <c r="AE26" s="369"/>
      <c r="AF26" s="369"/>
      <c r="AG26" s="485"/>
    </row>
    <row r="27" spans="1:33" s="37" customFormat="1" x14ac:dyDescent="0.3">
      <c r="A27" s="39"/>
      <c r="C27" s="39"/>
      <c r="D27" s="126"/>
      <c r="E27" s="126"/>
      <c r="F27" s="39"/>
      <c r="G27" s="39"/>
      <c r="H27" s="39"/>
      <c r="K27" s="377"/>
      <c r="L27" s="377"/>
      <c r="M27" s="377"/>
      <c r="N27" s="377"/>
      <c r="O27" s="368"/>
      <c r="P27" s="369"/>
      <c r="Q27" s="370"/>
      <c r="R27" s="368"/>
      <c r="S27" s="369"/>
      <c r="T27" s="370"/>
      <c r="U27" s="368"/>
      <c r="V27" s="369"/>
      <c r="W27" s="370"/>
      <c r="Y27" s="369"/>
      <c r="Z27" s="370"/>
      <c r="AB27" s="369"/>
      <c r="AC27" s="378"/>
      <c r="AD27" s="370"/>
      <c r="AE27" s="369"/>
      <c r="AF27" s="369"/>
      <c r="AG27" s="485"/>
    </row>
    <row r="28" spans="1:33" s="37" customFormat="1" x14ac:dyDescent="0.3">
      <c r="A28" s="39"/>
      <c r="C28" s="39"/>
      <c r="D28" s="126"/>
      <c r="E28" s="126"/>
      <c r="F28" s="39"/>
      <c r="G28" s="39"/>
      <c r="H28" s="39"/>
      <c r="K28" s="377"/>
      <c r="L28" s="377"/>
      <c r="M28" s="377"/>
      <c r="N28" s="377"/>
      <c r="O28" s="368"/>
      <c r="P28" s="369"/>
      <c r="Q28" s="370"/>
      <c r="R28" s="368"/>
      <c r="S28" s="369"/>
      <c r="T28" s="370"/>
      <c r="U28" s="368"/>
      <c r="V28" s="369"/>
      <c r="W28" s="370"/>
      <c r="Y28" s="369"/>
      <c r="Z28" s="370"/>
      <c r="AB28" s="369"/>
      <c r="AC28" s="378"/>
      <c r="AD28" s="370"/>
      <c r="AE28" s="369"/>
      <c r="AF28" s="369"/>
      <c r="AG28" s="485"/>
    </row>
    <row r="29" spans="1:33" s="37" customFormat="1" x14ac:dyDescent="0.3">
      <c r="A29" s="39"/>
      <c r="C29" s="39"/>
      <c r="D29" s="126"/>
      <c r="E29" s="126"/>
      <c r="F29" s="39"/>
      <c r="G29" s="39"/>
      <c r="H29" s="39"/>
      <c r="K29" s="377"/>
      <c r="L29" s="377"/>
      <c r="M29" s="377"/>
      <c r="N29" s="377"/>
      <c r="O29" s="368"/>
      <c r="P29" s="369"/>
      <c r="Q29" s="370"/>
      <c r="R29" s="368"/>
      <c r="S29" s="369"/>
      <c r="T29" s="370"/>
      <c r="U29" s="368"/>
      <c r="V29" s="369"/>
      <c r="W29" s="370"/>
      <c r="X29" s="368"/>
      <c r="Y29" s="369"/>
      <c r="Z29" s="370"/>
      <c r="AB29" s="369"/>
      <c r="AC29" s="378"/>
      <c r="AD29" s="370"/>
      <c r="AE29" s="369"/>
      <c r="AF29" s="369"/>
      <c r="AG29" s="485"/>
    </row>
    <row r="30" spans="1:33" s="37" customFormat="1" x14ac:dyDescent="0.3">
      <c r="A30" s="39"/>
      <c r="C30" s="39"/>
      <c r="D30" s="126"/>
      <c r="E30" s="126"/>
      <c r="F30" s="39"/>
      <c r="G30" s="39"/>
      <c r="H30" s="39"/>
      <c r="K30" s="377"/>
      <c r="L30" s="377"/>
      <c r="M30" s="377"/>
      <c r="N30" s="377"/>
      <c r="O30" s="368"/>
      <c r="P30" s="369"/>
      <c r="Q30" s="370"/>
      <c r="R30" s="368"/>
      <c r="S30" s="369"/>
      <c r="T30" s="370"/>
      <c r="U30" s="368"/>
      <c r="V30" s="369"/>
      <c r="W30" s="370"/>
      <c r="Y30" s="369"/>
      <c r="Z30" s="370"/>
      <c r="AB30" s="369"/>
      <c r="AC30" s="378"/>
      <c r="AD30" s="370"/>
      <c r="AE30" s="369"/>
      <c r="AF30" s="369"/>
      <c r="AG30" s="485"/>
    </row>
    <row r="31" spans="1:33" s="37" customFormat="1" x14ac:dyDescent="0.3">
      <c r="A31" s="39"/>
      <c r="C31" s="39"/>
      <c r="D31" s="126"/>
      <c r="E31" s="126"/>
      <c r="F31" s="39"/>
      <c r="G31" s="39"/>
      <c r="H31" s="39"/>
      <c r="K31" s="377"/>
      <c r="L31" s="377"/>
      <c r="M31" s="377"/>
      <c r="N31" s="377"/>
      <c r="O31" s="368"/>
      <c r="P31" s="369"/>
      <c r="Q31" s="370"/>
      <c r="R31" s="368"/>
      <c r="S31" s="369"/>
      <c r="T31" s="370"/>
      <c r="U31" s="368"/>
      <c r="V31" s="369"/>
      <c r="W31" s="370"/>
      <c r="Y31" s="369"/>
      <c r="Z31" s="370"/>
      <c r="AB31" s="369"/>
      <c r="AC31" s="378"/>
      <c r="AD31" s="370"/>
      <c r="AE31" s="369"/>
      <c r="AF31" s="369"/>
      <c r="AG31" s="485"/>
    </row>
    <row r="32" spans="1:33" s="37" customFormat="1" x14ac:dyDescent="0.3">
      <c r="A32" s="39"/>
      <c r="C32" s="39"/>
      <c r="D32" s="126"/>
      <c r="E32" s="126"/>
      <c r="F32" s="39"/>
      <c r="G32" s="39"/>
      <c r="H32" s="39"/>
      <c r="K32" s="377"/>
      <c r="L32" s="377"/>
      <c r="M32" s="377"/>
      <c r="N32" s="377"/>
      <c r="O32" s="368"/>
      <c r="P32" s="369"/>
      <c r="Q32" s="370"/>
      <c r="R32" s="368"/>
      <c r="S32" s="369"/>
      <c r="T32" s="370"/>
      <c r="U32" s="368"/>
      <c r="V32" s="369"/>
      <c r="W32" s="370"/>
      <c r="Y32" s="369"/>
      <c r="Z32" s="370"/>
      <c r="AB32" s="369"/>
      <c r="AC32" s="378"/>
      <c r="AD32" s="370"/>
      <c r="AE32" s="369"/>
      <c r="AF32" s="369"/>
      <c r="AG32" s="485"/>
    </row>
    <row r="33" spans="1:35" s="37" customFormat="1" x14ac:dyDescent="0.3">
      <c r="A33" s="39"/>
      <c r="C33" s="39"/>
      <c r="D33" s="126"/>
      <c r="E33" s="126"/>
      <c r="F33" s="39"/>
      <c r="G33" s="39"/>
      <c r="H33" s="39"/>
      <c r="K33" s="377"/>
      <c r="L33" s="377"/>
      <c r="M33" s="377"/>
      <c r="N33" s="377"/>
      <c r="O33" s="368"/>
      <c r="P33" s="369"/>
      <c r="Q33" s="370"/>
      <c r="R33" s="368"/>
      <c r="S33" s="369"/>
      <c r="T33" s="370"/>
      <c r="U33" s="368"/>
      <c r="V33" s="369"/>
      <c r="W33" s="370"/>
      <c r="Y33" s="369"/>
      <c r="Z33" s="370"/>
      <c r="AB33" s="369"/>
      <c r="AC33" s="378"/>
      <c r="AD33" s="370"/>
      <c r="AE33" s="369"/>
      <c r="AF33" s="369"/>
      <c r="AG33" s="485"/>
    </row>
    <row r="34" spans="1:35" s="37" customFormat="1" x14ac:dyDescent="0.3">
      <c r="A34" s="39"/>
      <c r="C34" s="39"/>
      <c r="D34" s="126"/>
      <c r="E34" s="126"/>
      <c r="F34" s="39"/>
      <c r="G34" s="39"/>
      <c r="H34" s="39"/>
      <c r="K34" s="377"/>
      <c r="L34" s="377"/>
      <c r="M34" s="377"/>
      <c r="N34" s="377"/>
      <c r="O34" s="368"/>
      <c r="P34" s="369"/>
      <c r="Q34" s="370"/>
      <c r="R34" s="368"/>
      <c r="S34" s="369"/>
      <c r="T34" s="370"/>
      <c r="U34" s="368"/>
      <c r="V34" s="369"/>
      <c r="W34" s="370"/>
      <c r="Y34" s="369"/>
      <c r="Z34" s="370"/>
      <c r="AB34" s="369"/>
      <c r="AC34" s="378"/>
      <c r="AD34" s="370"/>
      <c r="AE34" s="369"/>
      <c r="AF34" s="369"/>
      <c r="AG34" s="485"/>
    </row>
    <row r="35" spans="1:35" s="37" customFormat="1" x14ac:dyDescent="0.3">
      <c r="A35" s="39"/>
      <c r="C35" s="39"/>
      <c r="D35" s="126"/>
      <c r="E35" s="126"/>
      <c r="F35" s="39"/>
      <c r="G35" s="39"/>
      <c r="H35" s="39"/>
      <c r="K35" s="377"/>
      <c r="L35" s="377"/>
      <c r="M35" s="377"/>
      <c r="N35" s="377"/>
      <c r="O35" s="368"/>
      <c r="P35" s="369"/>
      <c r="Q35" s="370"/>
      <c r="R35" s="368"/>
      <c r="S35" s="369"/>
      <c r="T35" s="370"/>
      <c r="U35" s="368"/>
      <c r="V35" s="369"/>
      <c r="W35" s="370"/>
      <c r="Y35" s="369"/>
      <c r="Z35" s="370"/>
      <c r="AB35" s="369"/>
      <c r="AC35" s="378"/>
      <c r="AD35" s="370"/>
      <c r="AE35" s="369"/>
      <c r="AF35" s="369"/>
      <c r="AG35" s="485"/>
    </row>
    <row r="36" spans="1:35" s="37" customFormat="1" x14ac:dyDescent="0.3">
      <c r="A36" s="39"/>
      <c r="C36" s="39"/>
      <c r="D36" s="126"/>
      <c r="E36" s="126"/>
      <c r="F36" s="39"/>
      <c r="G36" s="39"/>
      <c r="H36" s="39"/>
      <c r="K36" s="377"/>
      <c r="L36" s="377"/>
      <c r="M36" s="377"/>
      <c r="N36" s="377"/>
      <c r="O36" s="368"/>
      <c r="P36" s="369"/>
      <c r="Q36" s="370"/>
      <c r="R36" s="368"/>
      <c r="S36" s="369"/>
      <c r="T36" s="370"/>
      <c r="U36" s="368"/>
      <c r="V36" s="369"/>
      <c r="W36" s="370"/>
      <c r="Y36" s="369"/>
      <c r="Z36" s="378"/>
      <c r="AB36" s="369"/>
      <c r="AC36" s="378"/>
      <c r="AD36" s="370"/>
      <c r="AE36" s="369"/>
      <c r="AF36" s="369"/>
      <c r="AG36" s="485"/>
    </row>
    <row r="37" spans="1:35" s="37" customFormat="1" x14ac:dyDescent="0.3">
      <c r="A37" s="39"/>
      <c r="C37" s="39"/>
      <c r="D37" s="126"/>
      <c r="E37" s="126"/>
      <c r="F37" s="39"/>
      <c r="G37" s="39"/>
      <c r="H37" s="39"/>
      <c r="K37" s="377"/>
      <c r="L37" s="377"/>
      <c r="M37" s="377"/>
      <c r="N37" s="377"/>
      <c r="O37" s="368"/>
      <c r="P37" s="368"/>
      <c r="Q37" s="379"/>
      <c r="R37" s="368"/>
      <c r="S37" s="368"/>
      <c r="T37" s="379"/>
      <c r="U37" s="368"/>
      <c r="V37" s="368"/>
      <c r="W37" s="379"/>
      <c r="Y37" s="369"/>
      <c r="Z37" s="378"/>
      <c r="AB37" s="369"/>
      <c r="AC37" s="378"/>
      <c r="AD37" s="370"/>
      <c r="AE37" s="369"/>
      <c r="AF37" s="369"/>
      <c r="AG37" s="485"/>
    </row>
    <row r="38" spans="1:35" s="37" customFormat="1" x14ac:dyDescent="0.3">
      <c r="A38" s="39"/>
      <c r="C38" s="39"/>
      <c r="D38" s="126"/>
      <c r="E38" s="126"/>
      <c r="F38" s="39"/>
      <c r="G38" s="39"/>
      <c r="H38" s="39"/>
      <c r="K38" s="377"/>
      <c r="L38" s="377"/>
      <c r="M38" s="377"/>
      <c r="N38" s="377"/>
      <c r="O38" s="368"/>
      <c r="P38" s="369"/>
      <c r="Q38" s="370"/>
      <c r="R38" s="368"/>
      <c r="S38" s="369"/>
      <c r="T38" s="370"/>
      <c r="U38" s="368"/>
      <c r="V38" s="369"/>
      <c r="W38" s="370"/>
      <c r="X38" s="370"/>
      <c r="Y38" s="370"/>
      <c r="Z38" s="370"/>
      <c r="AB38" s="369"/>
      <c r="AC38" s="378"/>
      <c r="AD38" s="370"/>
      <c r="AE38" s="369"/>
      <c r="AF38" s="369"/>
      <c r="AG38" s="485"/>
      <c r="AI38" s="84"/>
    </row>
    <row r="39" spans="1:35" s="84" customFormat="1" x14ac:dyDescent="0.3">
      <c r="A39" s="24"/>
      <c r="C39" s="24"/>
      <c r="D39" s="163"/>
      <c r="E39" s="163"/>
      <c r="F39" s="24"/>
      <c r="G39" s="24"/>
      <c r="H39" s="24"/>
      <c r="K39" s="179"/>
      <c r="L39" s="179"/>
      <c r="M39" s="179"/>
      <c r="N39" s="179"/>
      <c r="O39" s="179"/>
      <c r="P39" s="107"/>
      <c r="Q39" s="110"/>
      <c r="R39" s="179"/>
      <c r="S39" s="107"/>
      <c r="T39" s="110"/>
      <c r="U39" s="179"/>
      <c r="V39" s="107"/>
      <c r="W39" s="110"/>
      <c r="X39" s="110"/>
      <c r="Y39" s="110"/>
      <c r="Z39" s="110"/>
      <c r="AB39" s="107"/>
      <c r="AC39" s="114"/>
      <c r="AD39" s="370"/>
      <c r="AE39" s="369"/>
      <c r="AF39" s="369"/>
      <c r="AG39" s="488"/>
    </row>
    <row r="40" spans="1:35" s="84" customFormat="1" x14ac:dyDescent="0.3">
      <c r="A40" s="24"/>
      <c r="C40" s="24"/>
      <c r="D40" s="163"/>
      <c r="E40" s="163"/>
      <c r="F40" s="24"/>
      <c r="G40" s="24"/>
      <c r="H40" s="24"/>
      <c r="K40" s="179"/>
      <c r="L40" s="179"/>
      <c r="M40" s="179"/>
      <c r="N40" s="179"/>
      <c r="O40" s="179"/>
      <c r="P40" s="107"/>
      <c r="Q40" s="110"/>
      <c r="R40" s="179"/>
      <c r="S40" s="107"/>
      <c r="T40" s="110"/>
      <c r="U40" s="179"/>
      <c r="V40" s="107"/>
      <c r="W40" s="110"/>
      <c r="X40" s="110"/>
      <c r="Y40" s="110"/>
      <c r="Z40" s="110"/>
      <c r="AB40" s="107"/>
      <c r="AC40" s="114"/>
      <c r="AD40" s="370"/>
      <c r="AE40" s="369"/>
      <c r="AF40" s="369"/>
      <c r="AG40" s="488"/>
    </row>
    <row r="41" spans="1:35" s="84" customFormat="1" x14ac:dyDescent="0.3">
      <c r="C41" s="24"/>
      <c r="D41" s="163"/>
      <c r="E41" s="163"/>
      <c r="F41" s="24"/>
      <c r="G41" s="24"/>
      <c r="H41" s="24"/>
      <c r="K41" s="179"/>
      <c r="L41" s="179"/>
      <c r="M41" s="179"/>
      <c r="N41" s="179"/>
      <c r="O41" s="179"/>
      <c r="P41" s="107"/>
      <c r="Q41" s="110"/>
      <c r="R41" s="179"/>
      <c r="S41" s="107"/>
      <c r="T41" s="110"/>
      <c r="U41" s="179"/>
      <c r="V41" s="107"/>
      <c r="W41" s="110"/>
      <c r="X41" s="110"/>
      <c r="Y41" s="110"/>
      <c r="Z41" s="110"/>
      <c r="AB41" s="107"/>
      <c r="AC41" s="114"/>
      <c r="AD41" s="370"/>
      <c r="AE41" s="369"/>
      <c r="AF41" s="369"/>
      <c r="AG41" s="488"/>
    </row>
    <row r="42" spans="1:35" s="84" customFormat="1" x14ac:dyDescent="0.3">
      <c r="C42" s="24"/>
      <c r="D42" s="163"/>
      <c r="E42" s="163"/>
      <c r="F42" s="24"/>
      <c r="G42" s="24"/>
      <c r="H42" s="24"/>
      <c r="K42" s="179"/>
      <c r="L42" s="179"/>
      <c r="M42" s="179"/>
      <c r="N42" s="179"/>
      <c r="O42" s="179"/>
      <c r="P42" s="107"/>
      <c r="Q42" s="110"/>
      <c r="R42" s="179"/>
      <c r="S42" s="107"/>
      <c r="T42" s="110"/>
      <c r="U42" s="179"/>
      <c r="V42" s="107"/>
      <c r="W42" s="110"/>
      <c r="X42" s="110"/>
      <c r="Y42" s="110"/>
      <c r="Z42" s="110"/>
      <c r="AB42" s="107"/>
      <c r="AC42" s="114"/>
      <c r="AD42" s="110"/>
      <c r="AE42" s="107"/>
      <c r="AF42" s="107"/>
      <c r="AG42" s="488"/>
      <c r="AI42" s="1"/>
    </row>
    <row r="43" spans="1:35" x14ac:dyDescent="0.3">
      <c r="K43" s="179"/>
      <c r="L43" s="179"/>
      <c r="M43" s="179"/>
      <c r="N43" s="179"/>
      <c r="O43" s="179"/>
      <c r="P43" s="107"/>
      <c r="Q43" s="110"/>
      <c r="R43" s="179"/>
      <c r="S43" s="107"/>
      <c r="T43" s="110"/>
      <c r="U43" s="179"/>
      <c r="V43" s="107"/>
      <c r="W43" s="110"/>
      <c r="X43" s="110"/>
      <c r="Y43" s="110"/>
      <c r="Z43" s="110"/>
      <c r="AA43" s="84"/>
      <c r="AB43" s="107"/>
      <c r="AC43" s="114"/>
      <c r="AD43" s="110"/>
      <c r="AE43" s="107"/>
      <c r="AF43" s="107"/>
      <c r="AG43" s="488"/>
    </row>
    <row r="44" spans="1:35" x14ac:dyDescent="0.3">
      <c r="K44" s="179"/>
      <c r="L44" s="179"/>
      <c r="M44" s="179"/>
      <c r="N44" s="179"/>
      <c r="O44" s="179"/>
      <c r="P44" s="107"/>
      <c r="Q44" s="110"/>
      <c r="R44" s="179"/>
      <c r="S44" s="107"/>
      <c r="T44" s="110"/>
      <c r="U44" s="179"/>
      <c r="V44" s="107"/>
      <c r="W44" s="110"/>
      <c r="X44" s="110"/>
      <c r="Y44" s="110"/>
      <c r="Z44" s="110"/>
      <c r="AA44" s="84"/>
      <c r="AB44" s="107"/>
      <c r="AC44" s="114"/>
      <c r="AD44" s="110"/>
      <c r="AE44" s="107"/>
      <c r="AF44" s="107"/>
      <c r="AG44" s="488"/>
    </row>
    <row r="45" spans="1:35" x14ac:dyDescent="0.3">
      <c r="K45" s="179"/>
      <c r="L45" s="179"/>
      <c r="M45" s="179"/>
      <c r="N45" s="179"/>
      <c r="O45" s="179"/>
      <c r="P45" s="107"/>
      <c r="Q45" s="110"/>
      <c r="R45" s="179"/>
      <c r="S45" s="107"/>
      <c r="T45" s="110"/>
      <c r="U45" s="179"/>
      <c r="V45" s="107"/>
      <c r="W45" s="110"/>
      <c r="X45" s="110"/>
      <c r="Y45" s="110"/>
      <c r="Z45" s="110"/>
      <c r="AA45" s="84"/>
      <c r="AB45" s="107"/>
      <c r="AC45" s="114"/>
      <c r="AD45" s="110"/>
      <c r="AE45" s="107"/>
      <c r="AF45" s="107"/>
      <c r="AG45" s="488"/>
    </row>
    <row r="46" spans="1:35" x14ac:dyDescent="0.3">
      <c r="K46" s="179"/>
      <c r="L46" s="179"/>
      <c r="M46" s="179"/>
      <c r="N46" s="179"/>
      <c r="O46" s="179"/>
      <c r="P46" s="107"/>
      <c r="Q46" s="110"/>
      <c r="R46" s="179"/>
      <c r="S46" s="107"/>
      <c r="T46" s="110"/>
      <c r="U46" s="179"/>
      <c r="V46" s="107"/>
      <c r="W46" s="110"/>
      <c r="X46" s="110"/>
      <c r="Y46" s="110"/>
      <c r="Z46" s="110"/>
      <c r="AA46" s="84"/>
      <c r="AB46" s="107"/>
      <c r="AC46" s="114"/>
      <c r="AD46" s="110"/>
      <c r="AE46" s="107"/>
      <c r="AF46" s="107"/>
      <c r="AG46" s="488"/>
    </row>
    <row r="47" spans="1:35" x14ac:dyDescent="0.3">
      <c r="K47" s="179"/>
      <c r="L47" s="179"/>
      <c r="M47" s="179"/>
      <c r="N47" s="179"/>
      <c r="O47" s="179"/>
      <c r="P47" s="107"/>
      <c r="Q47" s="110"/>
      <c r="R47" s="179"/>
      <c r="S47" s="107"/>
      <c r="T47" s="110"/>
      <c r="U47" s="179"/>
      <c r="V47" s="107"/>
      <c r="W47" s="110"/>
      <c r="X47" s="110"/>
      <c r="Y47" s="110"/>
      <c r="Z47" s="110"/>
      <c r="AA47" s="84"/>
      <c r="AB47" s="107"/>
      <c r="AC47" s="114"/>
      <c r="AD47" s="110"/>
      <c r="AE47" s="107"/>
      <c r="AF47" s="107"/>
      <c r="AG47" s="488"/>
    </row>
    <row r="48" spans="1:35" x14ac:dyDescent="0.3">
      <c r="K48" s="179"/>
      <c r="L48" s="179"/>
      <c r="M48" s="179"/>
      <c r="N48" s="179"/>
      <c r="O48" s="179"/>
      <c r="P48" s="107"/>
      <c r="Q48" s="110"/>
      <c r="R48" s="179"/>
      <c r="S48" s="107"/>
      <c r="T48" s="110"/>
      <c r="U48" s="179"/>
      <c r="V48" s="107"/>
      <c r="W48" s="110"/>
      <c r="X48" s="110"/>
      <c r="Y48" s="110"/>
      <c r="Z48" s="110"/>
      <c r="AA48" s="84"/>
      <c r="AB48" s="107"/>
      <c r="AC48" s="114"/>
      <c r="AD48" s="110"/>
      <c r="AE48" s="107"/>
      <c r="AF48" s="107"/>
      <c r="AG48" s="488"/>
    </row>
    <row r="49" spans="11:33" x14ac:dyDescent="0.3">
      <c r="K49" s="179"/>
      <c r="L49" s="179"/>
      <c r="M49" s="179"/>
      <c r="N49" s="179"/>
      <c r="O49" s="179"/>
      <c r="P49" s="107"/>
      <c r="Q49" s="110"/>
      <c r="R49" s="179"/>
      <c r="S49" s="107"/>
      <c r="T49" s="110"/>
      <c r="U49" s="179"/>
      <c r="V49" s="107"/>
      <c r="W49" s="110"/>
      <c r="X49" s="110"/>
      <c r="Y49" s="110"/>
      <c r="Z49" s="110"/>
      <c r="AA49" s="84"/>
      <c r="AB49" s="107"/>
      <c r="AC49" s="114"/>
      <c r="AD49" s="110"/>
      <c r="AE49" s="107"/>
      <c r="AF49" s="107"/>
      <c r="AG49" s="488"/>
    </row>
    <row r="50" spans="11:33" x14ac:dyDescent="0.3">
      <c r="K50" s="179"/>
      <c r="L50" s="179"/>
      <c r="M50" s="179"/>
      <c r="N50" s="179"/>
      <c r="O50" s="179"/>
      <c r="P50" s="107"/>
      <c r="Q50" s="110"/>
      <c r="R50" s="179"/>
      <c r="S50" s="107"/>
      <c r="T50" s="110"/>
      <c r="U50" s="179"/>
      <c r="V50" s="107"/>
      <c r="W50" s="110"/>
      <c r="X50" s="110"/>
      <c r="Y50" s="110"/>
      <c r="Z50" s="110"/>
      <c r="AA50" s="84"/>
      <c r="AB50" s="107"/>
      <c r="AC50" s="114"/>
      <c r="AD50" s="110"/>
      <c r="AE50" s="107"/>
      <c r="AF50" s="107"/>
      <c r="AG50" s="488"/>
    </row>
    <row r="51" spans="11:33" x14ac:dyDescent="0.3">
      <c r="K51" s="179"/>
      <c r="L51" s="179"/>
      <c r="M51" s="179"/>
      <c r="N51" s="179"/>
      <c r="O51" s="179"/>
      <c r="P51" s="107"/>
      <c r="Q51" s="110"/>
      <c r="R51" s="179"/>
      <c r="S51" s="107"/>
      <c r="T51" s="110"/>
      <c r="U51" s="179"/>
      <c r="V51" s="107"/>
      <c r="W51" s="110"/>
      <c r="X51" s="110"/>
      <c r="Y51" s="110"/>
      <c r="Z51" s="110"/>
      <c r="AA51" s="84"/>
      <c r="AB51" s="107"/>
      <c r="AC51" s="114"/>
      <c r="AD51" s="110"/>
      <c r="AE51" s="107"/>
      <c r="AF51" s="107"/>
      <c r="AG51" s="488"/>
    </row>
    <row r="52" spans="11:33" x14ac:dyDescent="0.3">
      <c r="K52" s="179"/>
      <c r="L52" s="179"/>
      <c r="M52" s="179"/>
      <c r="N52" s="179"/>
      <c r="O52" s="179"/>
      <c r="P52" s="107"/>
      <c r="Q52" s="110"/>
      <c r="R52" s="179"/>
      <c r="S52" s="107"/>
      <c r="T52" s="110"/>
      <c r="U52" s="179"/>
      <c r="V52" s="107"/>
      <c r="W52" s="110"/>
      <c r="X52" s="110"/>
      <c r="Y52" s="110"/>
      <c r="Z52" s="110"/>
      <c r="AA52" s="84"/>
      <c r="AB52" s="107"/>
      <c r="AC52" s="114"/>
      <c r="AD52" s="110"/>
      <c r="AE52" s="107"/>
      <c r="AF52" s="107"/>
      <c r="AG52" s="488"/>
    </row>
    <row r="53" spans="11:33" x14ac:dyDescent="0.3">
      <c r="K53" s="179"/>
      <c r="L53" s="179"/>
      <c r="M53" s="179"/>
      <c r="N53" s="179"/>
      <c r="O53" s="179"/>
      <c r="P53" s="107"/>
      <c r="Q53" s="110"/>
      <c r="R53" s="179"/>
      <c r="S53" s="107"/>
      <c r="T53" s="110"/>
      <c r="U53" s="179"/>
      <c r="V53" s="107"/>
      <c r="W53" s="110"/>
      <c r="X53" s="110"/>
      <c r="Y53" s="110"/>
      <c r="Z53" s="110"/>
      <c r="AA53" s="84"/>
      <c r="AB53" s="107"/>
      <c r="AC53" s="114"/>
      <c r="AD53" s="110"/>
      <c r="AE53" s="107"/>
      <c r="AF53" s="107"/>
      <c r="AG53" s="488"/>
    </row>
    <row r="54" spans="11:33" x14ac:dyDescent="0.3">
      <c r="K54" s="179"/>
      <c r="L54" s="179"/>
      <c r="M54" s="179"/>
      <c r="N54" s="179"/>
      <c r="O54" s="179"/>
      <c r="P54" s="107"/>
      <c r="Q54" s="110"/>
      <c r="R54" s="179"/>
      <c r="S54" s="107"/>
      <c r="T54" s="110"/>
      <c r="U54" s="179"/>
      <c r="V54" s="107"/>
      <c r="W54" s="110"/>
      <c r="X54" s="110"/>
      <c r="Y54" s="110"/>
      <c r="Z54" s="110"/>
      <c r="AA54" s="84"/>
      <c r="AB54" s="107"/>
      <c r="AC54" s="114"/>
      <c r="AD54" s="110"/>
      <c r="AE54" s="107"/>
      <c r="AF54" s="107"/>
      <c r="AG54" s="488"/>
    </row>
    <row r="55" spans="11:33" x14ac:dyDescent="0.3">
      <c r="K55" s="179"/>
      <c r="L55" s="179"/>
      <c r="M55" s="179"/>
      <c r="N55" s="179"/>
      <c r="O55" s="179"/>
      <c r="P55" s="107"/>
      <c r="Q55" s="110"/>
      <c r="R55" s="179"/>
      <c r="S55" s="107"/>
      <c r="T55" s="110"/>
      <c r="U55" s="179"/>
      <c r="V55" s="107"/>
      <c r="W55" s="110"/>
      <c r="X55" s="110"/>
      <c r="Y55" s="110"/>
      <c r="Z55" s="110"/>
      <c r="AA55" s="84"/>
      <c r="AB55" s="107"/>
      <c r="AC55" s="114"/>
      <c r="AD55" s="110"/>
      <c r="AE55" s="107"/>
      <c r="AF55" s="107"/>
      <c r="AG55" s="488"/>
    </row>
    <row r="56" spans="11:33" x14ac:dyDescent="0.3">
      <c r="K56" s="179"/>
      <c r="L56" s="179"/>
      <c r="M56" s="179"/>
      <c r="N56" s="179"/>
      <c r="O56" s="179"/>
      <c r="P56" s="107"/>
      <c r="Q56" s="110"/>
      <c r="R56" s="179"/>
      <c r="S56" s="107"/>
      <c r="T56" s="110"/>
      <c r="U56" s="179"/>
      <c r="V56" s="107"/>
      <c r="W56" s="110"/>
      <c r="X56" s="110"/>
      <c r="Y56" s="110"/>
      <c r="Z56" s="110"/>
      <c r="AA56" s="84"/>
      <c r="AB56" s="107"/>
      <c r="AC56" s="114"/>
      <c r="AD56" s="110"/>
      <c r="AE56" s="107"/>
      <c r="AF56" s="107"/>
      <c r="AG56" s="488"/>
    </row>
    <row r="57" spans="11:33" x14ac:dyDescent="0.3">
      <c r="K57" s="179"/>
      <c r="L57" s="179"/>
      <c r="M57" s="179"/>
      <c r="N57" s="179"/>
      <c r="O57" s="179"/>
      <c r="P57" s="107"/>
      <c r="Q57" s="110"/>
      <c r="R57" s="179"/>
      <c r="S57" s="107"/>
      <c r="T57" s="110"/>
      <c r="U57" s="179"/>
      <c r="V57" s="107"/>
      <c r="W57" s="110"/>
      <c r="X57" s="110"/>
      <c r="Y57" s="110"/>
      <c r="Z57" s="110"/>
      <c r="AA57" s="84"/>
      <c r="AB57" s="107"/>
      <c r="AC57" s="114"/>
      <c r="AD57" s="110"/>
      <c r="AE57" s="107"/>
      <c r="AF57" s="107"/>
      <c r="AG57" s="488"/>
    </row>
    <row r="58" spans="11:33" x14ac:dyDescent="0.3">
      <c r="K58" s="179"/>
      <c r="L58" s="179"/>
      <c r="M58" s="179"/>
      <c r="N58" s="179"/>
      <c r="O58" s="179"/>
      <c r="P58" s="107"/>
      <c r="Q58" s="110"/>
      <c r="R58" s="179"/>
      <c r="S58" s="107"/>
      <c r="T58" s="110"/>
      <c r="U58" s="179"/>
      <c r="V58" s="107"/>
      <c r="W58" s="110"/>
      <c r="X58" s="110"/>
      <c r="Y58" s="110"/>
      <c r="Z58" s="110"/>
      <c r="AA58" s="84"/>
      <c r="AB58" s="107"/>
      <c r="AC58" s="114"/>
      <c r="AD58" s="110"/>
      <c r="AE58" s="107"/>
      <c r="AF58" s="107"/>
      <c r="AG58" s="488"/>
    </row>
  </sheetData>
  <mergeCells count="15">
    <mergeCell ref="AE3:AE4"/>
    <mergeCell ref="AF3:AF4"/>
    <mergeCell ref="AG3:AG4"/>
    <mergeCell ref="L4:M4"/>
    <mergeCell ref="O4:P4"/>
    <mergeCell ref="R4:S4"/>
    <mergeCell ref="U4:V4"/>
    <mergeCell ref="X4:Y4"/>
    <mergeCell ref="AA4:AB4"/>
    <mergeCell ref="L3:M3"/>
    <mergeCell ref="O3:P3"/>
    <mergeCell ref="R3:S3"/>
    <mergeCell ref="U3:V3"/>
    <mergeCell ref="X3:Y3"/>
    <mergeCell ref="AA3:AB3"/>
  </mergeCells>
  <pageMargins left="0.7" right="0.7" top="0.75" bottom="0.75" header="0.3" footer="0.3"/>
  <pageSetup paperSize="9" scale="62" fitToHeight="0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4"/>
  <sheetViews>
    <sheetView view="pageBreakPreview" zoomScale="90" zoomScaleNormal="100" zoomScaleSheetLayoutView="90" workbookViewId="0">
      <selection activeCell="AN15" sqref="AN15"/>
    </sheetView>
  </sheetViews>
  <sheetFormatPr defaultRowHeight="16.5" x14ac:dyDescent="0.3"/>
  <cols>
    <col min="1" max="1" width="7" style="1" customWidth="1"/>
    <col min="2" max="2" width="35.140625" style="1" bestFit="1" customWidth="1"/>
    <col min="3" max="3" width="13.85546875" style="15" customWidth="1"/>
    <col min="4" max="4" width="13.140625" style="139" bestFit="1" customWidth="1"/>
    <col min="5" max="5" width="13.140625" style="139" customWidth="1"/>
    <col min="6" max="6" width="8.28515625" style="1" bestFit="1" customWidth="1"/>
    <col min="7" max="7" width="10.42578125" style="1" bestFit="1" customWidth="1"/>
    <col min="8" max="8" width="13.7109375" style="1" customWidth="1"/>
    <col min="9" max="9" width="41.5703125" style="1" bestFit="1" customWidth="1"/>
    <col min="10" max="10" width="10.85546875" style="15" bestFit="1" customWidth="1"/>
    <col min="11" max="11" width="13.85546875" style="15" customWidth="1"/>
    <col min="12" max="12" width="12.140625" style="1" bestFit="1" customWidth="1"/>
    <col min="13" max="13" width="9" style="78" bestFit="1" customWidth="1"/>
    <col min="14" max="14" width="15.140625" style="120" bestFit="1" customWidth="1"/>
    <col min="15" max="15" width="12.140625" style="1" bestFit="1" customWidth="1"/>
    <col min="16" max="16" width="9.140625" style="78"/>
    <col min="17" max="17" width="11" style="120" bestFit="1" customWidth="1"/>
    <col min="18" max="18" width="13.42578125" style="78" bestFit="1" customWidth="1"/>
    <col min="19" max="19" width="9.140625" style="78"/>
    <col min="20" max="20" width="14.140625" style="120" bestFit="1" customWidth="1"/>
    <col min="21" max="21" width="13.85546875" style="78" bestFit="1" customWidth="1"/>
    <col min="22" max="22" width="9.140625" style="78"/>
    <col min="23" max="23" width="11" style="120" bestFit="1" customWidth="1"/>
    <col min="24" max="24" width="12.140625" style="1" bestFit="1" customWidth="1"/>
    <col min="25" max="25" width="9.140625" style="78"/>
    <col min="26" max="26" width="11" style="120" bestFit="1" customWidth="1"/>
    <col min="27" max="27" width="13.42578125" style="78" bestFit="1" customWidth="1"/>
    <col min="28" max="28" width="9.140625" style="78"/>
    <col min="29" max="29" width="11" style="120" bestFit="1" customWidth="1"/>
    <col min="30" max="30" width="13.42578125" style="78" bestFit="1" customWidth="1"/>
    <col min="31" max="31" width="9.140625" style="78"/>
    <col min="32" max="32" width="11" style="120" bestFit="1" customWidth="1"/>
    <col min="33" max="33" width="13.42578125" style="78" bestFit="1" customWidth="1"/>
    <col min="34" max="34" width="9.140625" style="78"/>
    <col min="35" max="35" width="11" style="120" bestFit="1" customWidth="1"/>
    <col min="36" max="36" width="24.5703125" style="1" bestFit="1" customWidth="1"/>
    <col min="37" max="37" width="9.140625" style="78"/>
    <col min="38" max="38" width="11" style="120" bestFit="1" customWidth="1"/>
    <col min="39" max="39" width="32.28515625" style="1" bestFit="1" customWidth="1"/>
    <col min="40" max="40" width="46.7109375" style="189" bestFit="1" customWidth="1"/>
    <col min="41" max="16384" width="9.140625" style="1"/>
  </cols>
  <sheetData>
    <row r="1" spans="1:40" x14ac:dyDescent="0.3">
      <c r="A1" s="4" t="s">
        <v>0</v>
      </c>
      <c r="B1" s="5"/>
    </row>
    <row r="2" spans="1:40" x14ac:dyDescent="0.3">
      <c r="A2" s="4" t="s">
        <v>43</v>
      </c>
      <c r="B2" s="5"/>
      <c r="T2" s="534" t="s">
        <v>1157</v>
      </c>
      <c r="W2" s="534" t="s">
        <v>1157</v>
      </c>
    </row>
    <row r="3" spans="1:40" x14ac:dyDescent="0.3">
      <c r="A3" s="43" t="s">
        <v>494</v>
      </c>
      <c r="B3" s="5"/>
      <c r="T3" s="534"/>
      <c r="W3" s="534"/>
    </row>
    <row r="4" spans="1:40" s="43" customFormat="1" x14ac:dyDescent="0.3">
      <c r="C4" s="188"/>
      <c r="D4" s="162"/>
      <c r="E4" s="162"/>
      <c r="J4" s="188"/>
      <c r="K4" s="188"/>
      <c r="L4" s="646" t="s">
        <v>521</v>
      </c>
      <c r="M4" s="647"/>
      <c r="N4" s="238" t="s">
        <v>937</v>
      </c>
      <c r="O4" s="646" t="s">
        <v>521</v>
      </c>
      <c r="P4" s="647"/>
      <c r="Q4" s="238" t="s">
        <v>937</v>
      </c>
      <c r="R4" s="675" t="s">
        <v>521</v>
      </c>
      <c r="S4" s="676"/>
      <c r="T4" s="238" t="s">
        <v>937</v>
      </c>
      <c r="U4" s="675" t="s">
        <v>521</v>
      </c>
      <c r="V4" s="676"/>
      <c r="W4" s="238" t="s">
        <v>937</v>
      </c>
      <c r="X4" s="646" t="s">
        <v>521</v>
      </c>
      <c r="Y4" s="647"/>
      <c r="Z4" s="238" t="s">
        <v>937</v>
      </c>
      <c r="AA4" s="674" t="s">
        <v>521</v>
      </c>
      <c r="AB4" s="674"/>
      <c r="AC4" s="533" t="s">
        <v>937</v>
      </c>
      <c r="AD4" s="674" t="s">
        <v>521</v>
      </c>
      <c r="AE4" s="674"/>
      <c r="AF4" s="533" t="s">
        <v>937</v>
      </c>
      <c r="AG4" s="672" t="s">
        <v>521</v>
      </c>
      <c r="AH4" s="673"/>
      <c r="AI4" s="256" t="s">
        <v>937</v>
      </c>
      <c r="AJ4" s="672" t="s">
        <v>521</v>
      </c>
      <c r="AK4" s="673"/>
      <c r="AL4" s="256" t="s">
        <v>937</v>
      </c>
      <c r="AM4" s="96"/>
      <c r="AN4" s="190"/>
    </row>
    <row r="5" spans="1:40" s="333" customFormat="1" ht="33" x14ac:dyDescent="0.25">
      <c r="A5" s="7" t="s">
        <v>1</v>
      </c>
      <c r="B5" s="7" t="s">
        <v>2</v>
      </c>
      <c r="C5" s="7" t="s">
        <v>981</v>
      </c>
      <c r="D5" s="330" t="s">
        <v>3</v>
      </c>
      <c r="E5" s="330" t="s">
        <v>1499</v>
      </c>
      <c r="F5" s="7" t="s">
        <v>4</v>
      </c>
      <c r="G5" s="7" t="s">
        <v>5</v>
      </c>
      <c r="H5" s="331" t="s">
        <v>992</v>
      </c>
      <c r="I5" s="7" t="s">
        <v>6</v>
      </c>
      <c r="J5" s="7" t="s">
        <v>1107</v>
      </c>
      <c r="K5" s="7" t="s">
        <v>571</v>
      </c>
      <c r="L5" s="51" t="s">
        <v>936</v>
      </c>
      <c r="M5" s="259" t="s">
        <v>525</v>
      </c>
      <c r="N5" s="259" t="s">
        <v>525</v>
      </c>
      <c r="O5" s="51" t="s">
        <v>936</v>
      </c>
      <c r="P5" s="259" t="s">
        <v>525</v>
      </c>
      <c r="Q5" s="259" t="s">
        <v>525</v>
      </c>
      <c r="R5" s="259" t="s">
        <v>936</v>
      </c>
      <c r="S5" s="259" t="s">
        <v>525</v>
      </c>
      <c r="T5" s="259" t="s">
        <v>525</v>
      </c>
      <c r="U5" s="259" t="s">
        <v>936</v>
      </c>
      <c r="V5" s="259" t="s">
        <v>525</v>
      </c>
      <c r="W5" s="259" t="s">
        <v>525</v>
      </c>
      <c r="X5" s="51" t="s">
        <v>936</v>
      </c>
      <c r="Y5" s="259" t="s">
        <v>525</v>
      </c>
      <c r="Z5" s="259" t="s">
        <v>525</v>
      </c>
      <c r="AA5" s="259" t="s">
        <v>936</v>
      </c>
      <c r="AB5" s="259" t="s">
        <v>525</v>
      </c>
      <c r="AC5" s="259" t="s">
        <v>525</v>
      </c>
      <c r="AD5" s="259" t="s">
        <v>936</v>
      </c>
      <c r="AE5" s="259" t="s">
        <v>525</v>
      </c>
      <c r="AF5" s="259" t="s">
        <v>525</v>
      </c>
      <c r="AG5" s="256" t="s">
        <v>936</v>
      </c>
      <c r="AH5" s="256" t="s">
        <v>525</v>
      </c>
      <c r="AI5" s="256" t="s">
        <v>525</v>
      </c>
      <c r="AJ5" s="256" t="s">
        <v>936</v>
      </c>
      <c r="AK5" s="256" t="s">
        <v>525</v>
      </c>
      <c r="AL5" s="256" t="s">
        <v>525</v>
      </c>
      <c r="AM5" s="256" t="s">
        <v>936</v>
      </c>
      <c r="AN5" s="332"/>
    </row>
    <row r="6" spans="1:40" x14ac:dyDescent="0.3">
      <c r="A6" s="82">
        <v>1</v>
      </c>
      <c r="B6" s="83" t="s">
        <v>131</v>
      </c>
      <c r="C6" s="47" t="s">
        <v>980</v>
      </c>
      <c r="D6" s="137" t="s">
        <v>132</v>
      </c>
      <c r="E6" s="137" t="s">
        <v>2231</v>
      </c>
      <c r="F6" s="10" t="s">
        <v>113</v>
      </c>
      <c r="G6" s="10" t="s">
        <v>299</v>
      </c>
      <c r="H6" s="10" t="s">
        <v>300</v>
      </c>
      <c r="I6" s="14" t="s">
        <v>133</v>
      </c>
      <c r="J6" s="82" t="s">
        <v>1010</v>
      </c>
      <c r="K6" s="82" t="s">
        <v>1006</v>
      </c>
      <c r="L6" s="83" t="s">
        <v>1143</v>
      </c>
      <c r="M6" s="89">
        <v>1015</v>
      </c>
      <c r="N6" s="121">
        <v>990</v>
      </c>
      <c r="O6" s="83" t="s">
        <v>1144</v>
      </c>
      <c r="P6" s="89">
        <v>625</v>
      </c>
      <c r="Q6" s="121">
        <v>625</v>
      </c>
      <c r="R6" s="89" t="s">
        <v>1145</v>
      </c>
      <c r="S6" s="89">
        <v>625</v>
      </c>
      <c r="T6" s="121">
        <v>625</v>
      </c>
      <c r="U6" s="89" t="s">
        <v>1146</v>
      </c>
      <c r="V6" s="89">
        <v>625</v>
      </c>
      <c r="W6" s="121">
        <v>625</v>
      </c>
      <c r="X6" s="83" t="s">
        <v>1147</v>
      </c>
      <c r="Y6" s="89">
        <v>625</v>
      </c>
      <c r="Z6" s="121">
        <v>625</v>
      </c>
      <c r="AA6" s="89" t="s">
        <v>1148</v>
      </c>
      <c r="AB6" s="89">
        <v>625</v>
      </c>
      <c r="AC6" s="121">
        <v>600</v>
      </c>
      <c r="AD6" s="89" t="s">
        <v>1149</v>
      </c>
      <c r="AE6" s="89">
        <v>595</v>
      </c>
      <c r="AF6" s="121"/>
      <c r="AG6" s="89" t="s">
        <v>1150</v>
      </c>
      <c r="AH6" s="89">
        <v>595</v>
      </c>
      <c r="AI6" s="121"/>
      <c r="AJ6" s="83" t="s">
        <v>1151</v>
      </c>
      <c r="AK6" s="89">
        <v>1000</v>
      </c>
      <c r="AL6" s="121"/>
      <c r="AM6" s="83" t="s">
        <v>1152</v>
      </c>
      <c r="AN6" s="189" t="s">
        <v>1005</v>
      </c>
    </row>
    <row r="7" spans="1:40" x14ac:dyDescent="0.3">
      <c r="A7" s="82">
        <v>2</v>
      </c>
      <c r="B7" s="83" t="s">
        <v>136</v>
      </c>
      <c r="C7" s="82" t="s">
        <v>982</v>
      </c>
      <c r="D7" s="137" t="s">
        <v>137</v>
      </c>
      <c r="E7" s="137" t="s">
        <v>2232</v>
      </c>
      <c r="F7" s="82" t="s">
        <v>113</v>
      </c>
      <c r="G7" s="82" t="s">
        <v>299</v>
      </c>
      <c r="H7" s="10" t="s">
        <v>300</v>
      </c>
      <c r="I7" s="83" t="s">
        <v>581</v>
      </c>
      <c r="J7" s="82" t="s">
        <v>1010</v>
      </c>
      <c r="K7" s="82" t="s">
        <v>1006</v>
      </c>
      <c r="L7" s="83" t="s">
        <v>2327</v>
      </c>
      <c r="M7" s="89">
        <v>850</v>
      </c>
      <c r="N7" s="121">
        <v>800</v>
      </c>
      <c r="O7" s="83" t="s">
        <v>2328</v>
      </c>
      <c r="P7" s="89">
        <v>850</v>
      </c>
      <c r="Q7" s="121">
        <v>800</v>
      </c>
      <c r="R7" s="89" t="s">
        <v>2329</v>
      </c>
      <c r="S7" s="89">
        <v>850</v>
      </c>
      <c r="T7" s="121">
        <v>850</v>
      </c>
      <c r="U7" s="89" t="s">
        <v>2330</v>
      </c>
      <c r="V7" s="89">
        <v>800</v>
      </c>
      <c r="W7" s="121">
        <v>750</v>
      </c>
      <c r="X7" s="83"/>
      <c r="Y7" s="89"/>
      <c r="Z7" s="121"/>
      <c r="AA7" s="89"/>
      <c r="AB7" s="89"/>
      <c r="AC7" s="121"/>
      <c r="AD7" s="89"/>
      <c r="AE7" s="89"/>
      <c r="AF7" s="121"/>
      <c r="AG7" s="89"/>
      <c r="AH7" s="89"/>
      <c r="AI7" s="121"/>
      <c r="AJ7" s="83" t="s">
        <v>2331</v>
      </c>
      <c r="AK7" s="89">
        <v>1000</v>
      </c>
      <c r="AL7" s="121">
        <v>1000</v>
      </c>
      <c r="AM7" s="83"/>
      <c r="AN7" s="189" t="s">
        <v>1008</v>
      </c>
    </row>
    <row r="8" spans="1:40" x14ac:dyDescent="0.3">
      <c r="A8" s="82">
        <v>3</v>
      </c>
      <c r="B8" s="83" t="s">
        <v>138</v>
      </c>
      <c r="C8" s="82" t="s">
        <v>983</v>
      </c>
      <c r="D8" s="137" t="s">
        <v>139</v>
      </c>
      <c r="E8" s="137" t="s">
        <v>2233</v>
      </c>
      <c r="F8" s="82" t="s">
        <v>113</v>
      </c>
      <c r="G8" s="82" t="s">
        <v>299</v>
      </c>
      <c r="H8" s="10" t="s">
        <v>300</v>
      </c>
      <c r="I8" s="83" t="s">
        <v>199</v>
      </c>
      <c r="J8" s="82" t="s">
        <v>1010</v>
      </c>
      <c r="K8" s="82" t="s">
        <v>1006</v>
      </c>
      <c r="L8" s="83" t="s">
        <v>1153</v>
      </c>
      <c r="M8" s="89">
        <v>850</v>
      </c>
      <c r="N8" s="121">
        <v>850</v>
      </c>
      <c r="O8" s="83" t="s">
        <v>1154</v>
      </c>
      <c r="P8" s="89">
        <v>850</v>
      </c>
      <c r="Q8" s="121">
        <v>850</v>
      </c>
      <c r="R8" s="89" t="s">
        <v>1155</v>
      </c>
      <c r="S8" s="89">
        <v>850</v>
      </c>
      <c r="T8" s="121">
        <v>800</v>
      </c>
      <c r="U8" s="89" t="s">
        <v>1156</v>
      </c>
      <c r="V8" s="89">
        <v>850</v>
      </c>
      <c r="W8" s="121">
        <v>800</v>
      </c>
      <c r="X8" s="83" t="s">
        <v>1158</v>
      </c>
      <c r="Y8" s="89">
        <v>800</v>
      </c>
      <c r="AA8" s="89" t="s">
        <v>1159</v>
      </c>
      <c r="AB8" s="89">
        <v>800</v>
      </c>
      <c r="AC8" s="121"/>
      <c r="AD8" s="89" t="s">
        <v>1160</v>
      </c>
      <c r="AE8" s="89">
        <v>800</v>
      </c>
      <c r="AF8" s="121"/>
      <c r="AG8" s="89"/>
      <c r="AH8" s="89"/>
      <c r="AI8" s="121"/>
      <c r="AJ8" s="83"/>
      <c r="AK8" s="89"/>
      <c r="AL8" s="121"/>
      <c r="AM8" s="83"/>
      <c r="AN8" s="189" t="s">
        <v>991</v>
      </c>
    </row>
    <row r="9" spans="1:40" x14ac:dyDescent="0.3">
      <c r="A9" s="82">
        <v>4</v>
      </c>
      <c r="B9" s="83" t="s">
        <v>1134</v>
      </c>
      <c r="C9" s="82" t="s">
        <v>2234</v>
      </c>
      <c r="D9" s="137" t="s">
        <v>1135</v>
      </c>
      <c r="E9" s="137" t="s">
        <v>2235</v>
      </c>
      <c r="F9" s="82" t="s">
        <v>113</v>
      </c>
      <c r="G9" s="82" t="s">
        <v>299</v>
      </c>
      <c r="H9" s="10" t="s">
        <v>300</v>
      </c>
      <c r="I9" s="83" t="s">
        <v>1136</v>
      </c>
      <c r="J9" s="82" t="s">
        <v>1010</v>
      </c>
      <c r="K9" s="82" t="s">
        <v>1006</v>
      </c>
      <c r="L9" s="428" t="s">
        <v>2803</v>
      </c>
      <c r="M9" s="542">
        <v>1700</v>
      </c>
      <c r="N9" s="121"/>
      <c r="O9" s="83" t="s">
        <v>2804</v>
      </c>
      <c r="P9" s="542">
        <v>800</v>
      </c>
      <c r="Q9" s="121">
        <v>800</v>
      </c>
      <c r="R9" s="89" t="s">
        <v>2805</v>
      </c>
      <c r="S9" s="89">
        <v>800</v>
      </c>
      <c r="T9" s="121">
        <v>800</v>
      </c>
      <c r="U9" s="89"/>
      <c r="V9" s="89"/>
      <c r="W9" s="121"/>
      <c r="X9" s="83"/>
      <c r="Y9" s="89"/>
      <c r="Z9" s="121"/>
      <c r="AA9" s="89"/>
      <c r="AB9" s="89"/>
      <c r="AC9" s="121"/>
      <c r="AD9" s="89"/>
      <c r="AE9" s="89"/>
      <c r="AF9" s="121"/>
      <c r="AG9" s="89"/>
      <c r="AH9" s="89"/>
      <c r="AI9" s="121"/>
      <c r="AJ9" s="83"/>
      <c r="AK9" s="89"/>
      <c r="AL9" s="121"/>
      <c r="AM9" s="83"/>
    </row>
    <row r="10" spans="1:40" x14ac:dyDescent="0.3">
      <c r="A10" s="82">
        <v>5</v>
      </c>
      <c r="B10" s="83" t="s">
        <v>2609</v>
      </c>
      <c r="C10" s="82" t="s">
        <v>2608</v>
      </c>
      <c r="D10" s="137" t="s">
        <v>2610</v>
      </c>
      <c r="E10" s="137" t="s">
        <v>2682</v>
      </c>
      <c r="F10" s="82" t="s">
        <v>113</v>
      </c>
      <c r="G10" s="82" t="s">
        <v>299</v>
      </c>
      <c r="H10" s="10" t="s">
        <v>300</v>
      </c>
      <c r="I10" s="83" t="s">
        <v>2683</v>
      </c>
      <c r="J10" s="82" t="s">
        <v>1010</v>
      </c>
      <c r="K10" s="82" t="s">
        <v>1006</v>
      </c>
      <c r="L10" s="83" t="s">
        <v>2806</v>
      </c>
      <c r="M10" s="89">
        <v>5220</v>
      </c>
      <c r="N10" s="121">
        <v>5220</v>
      </c>
      <c r="O10" s="83" t="s">
        <v>2807</v>
      </c>
      <c r="P10" s="542">
        <v>1700</v>
      </c>
      <c r="Q10" s="121">
        <v>1700</v>
      </c>
      <c r="R10" s="89" t="s">
        <v>2808</v>
      </c>
      <c r="S10" s="89">
        <v>800</v>
      </c>
      <c r="T10" s="121">
        <v>800</v>
      </c>
      <c r="U10" s="89"/>
      <c r="V10" s="89"/>
      <c r="W10" s="121"/>
      <c r="X10" s="83"/>
      <c r="Y10" s="89"/>
      <c r="Z10" s="121"/>
      <c r="AA10" s="89"/>
      <c r="AB10" s="89"/>
      <c r="AC10" s="121"/>
      <c r="AD10" s="89"/>
      <c r="AE10" s="89"/>
      <c r="AF10" s="121"/>
      <c r="AG10" s="89"/>
      <c r="AH10" s="89"/>
      <c r="AI10" s="121"/>
      <c r="AJ10" s="83"/>
      <c r="AK10" s="89"/>
      <c r="AL10" s="121"/>
      <c r="AM10" s="83"/>
    </row>
    <row r="11" spans="1:40" x14ac:dyDescent="0.3">
      <c r="A11" s="82">
        <v>6</v>
      </c>
      <c r="B11" s="83" t="s">
        <v>2677</v>
      </c>
      <c r="C11" s="82" t="s">
        <v>2681</v>
      </c>
      <c r="D11" s="137" t="s">
        <v>2675</v>
      </c>
      <c r="E11" s="137" t="s">
        <v>2674</v>
      </c>
      <c r="F11" s="82" t="s">
        <v>113</v>
      </c>
      <c r="G11" s="82" t="s">
        <v>299</v>
      </c>
      <c r="H11" s="10" t="s">
        <v>300</v>
      </c>
      <c r="I11" s="83"/>
      <c r="J11" s="82" t="s">
        <v>1010</v>
      </c>
      <c r="K11" s="82" t="s">
        <v>1006</v>
      </c>
      <c r="L11" s="83" t="s">
        <v>2802</v>
      </c>
      <c r="M11" s="541">
        <v>3420</v>
      </c>
      <c r="N11" s="121"/>
      <c r="O11" s="83"/>
      <c r="P11" s="89"/>
      <c r="Q11" s="121"/>
      <c r="R11" s="89"/>
      <c r="S11" s="89"/>
      <c r="T11" s="121"/>
      <c r="U11" s="89"/>
      <c r="V11" s="89"/>
      <c r="W11" s="121"/>
      <c r="X11" s="83"/>
      <c r="Y11" s="89"/>
      <c r="Z11" s="121"/>
      <c r="AA11" s="89"/>
      <c r="AB11" s="89"/>
      <c r="AC11" s="121"/>
      <c r="AD11" s="89"/>
      <c r="AE11" s="89"/>
      <c r="AF11" s="121"/>
      <c r="AG11" s="89"/>
      <c r="AH11" s="89"/>
      <c r="AI11" s="121"/>
      <c r="AJ11" s="83"/>
      <c r="AK11" s="89"/>
      <c r="AL11" s="121"/>
      <c r="AM11" s="83" t="s">
        <v>2896</v>
      </c>
      <c r="AN11" s="189" t="s">
        <v>2897</v>
      </c>
    </row>
    <row r="12" spans="1:40" x14ac:dyDescent="0.3">
      <c r="A12" s="24"/>
      <c r="B12" s="84"/>
      <c r="C12" s="24"/>
      <c r="D12" s="249"/>
      <c r="E12" s="249"/>
      <c r="F12" s="24"/>
      <c r="G12" s="24"/>
      <c r="H12" s="250"/>
      <c r="I12" s="84"/>
      <c r="J12" s="24"/>
      <c r="K12" s="24"/>
      <c r="L12" s="84"/>
      <c r="M12" s="179"/>
      <c r="N12" s="354"/>
      <c r="O12" s="84"/>
      <c r="P12" s="179"/>
      <c r="Q12" s="354"/>
      <c r="R12" s="179"/>
      <c r="S12" s="179"/>
      <c r="T12" s="354"/>
      <c r="U12" s="179"/>
      <c r="V12" s="179"/>
      <c r="W12" s="354"/>
      <c r="X12" s="84"/>
      <c r="Y12" s="179"/>
      <c r="Z12" s="354"/>
      <c r="AA12" s="179"/>
      <c r="AB12" s="179"/>
      <c r="AC12" s="354"/>
      <c r="AD12" s="179"/>
      <c r="AE12" s="179"/>
      <c r="AF12" s="354"/>
      <c r="AG12" s="179"/>
      <c r="AH12" s="179"/>
      <c r="AI12" s="354"/>
      <c r="AJ12" s="84"/>
      <c r="AK12" s="179"/>
      <c r="AL12" s="354"/>
      <c r="AM12" s="84"/>
    </row>
    <row r="13" spans="1:40" x14ac:dyDescent="0.3">
      <c r="A13" s="84"/>
      <c r="B13" s="84"/>
      <c r="C13" s="24"/>
      <c r="D13" s="163"/>
      <c r="E13" s="163"/>
      <c r="F13" s="24"/>
      <c r="G13" s="24"/>
      <c r="H13" s="24"/>
      <c r="I13" s="84"/>
      <c r="J13" s="24"/>
      <c r="K13" s="24"/>
    </row>
    <row r="14" spans="1:40" x14ac:dyDescent="0.3">
      <c r="B14" s="1" t="s">
        <v>989</v>
      </c>
      <c r="D14" s="191" t="s">
        <v>2666</v>
      </c>
      <c r="I14" s="477" t="s">
        <v>2678</v>
      </c>
    </row>
    <row r="15" spans="1:40" x14ac:dyDescent="0.3">
      <c r="B15" s="1" t="s">
        <v>1012</v>
      </c>
      <c r="D15" s="191" t="s">
        <v>2667</v>
      </c>
      <c r="I15" s="1" t="s">
        <v>2680</v>
      </c>
    </row>
    <row r="16" spans="1:40" x14ac:dyDescent="0.3">
      <c r="B16" s="165" t="s">
        <v>990</v>
      </c>
      <c r="D16" s="191" t="s">
        <v>2668</v>
      </c>
      <c r="I16" s="1" t="s">
        <v>2679</v>
      </c>
    </row>
    <row r="17" spans="2:6" x14ac:dyDescent="0.3">
      <c r="B17" s="191" t="s">
        <v>1011</v>
      </c>
      <c r="D17" s="191" t="s">
        <v>2669</v>
      </c>
    </row>
    <row r="18" spans="2:6" x14ac:dyDescent="0.3">
      <c r="B18" s="191" t="s">
        <v>1013</v>
      </c>
      <c r="D18" s="191" t="s">
        <v>2670</v>
      </c>
    </row>
    <row r="19" spans="2:6" x14ac:dyDescent="0.3">
      <c r="B19" s="191" t="s">
        <v>1014</v>
      </c>
      <c r="D19" s="191" t="s">
        <v>2671</v>
      </c>
    </row>
    <row r="20" spans="2:6" x14ac:dyDescent="0.3">
      <c r="B20" s="191" t="s">
        <v>1015</v>
      </c>
      <c r="D20" s="191" t="s">
        <v>967</v>
      </c>
    </row>
    <row r="21" spans="2:6" x14ac:dyDescent="0.3">
      <c r="B21" s="191" t="s">
        <v>967</v>
      </c>
      <c r="D21" s="191" t="s">
        <v>2672</v>
      </c>
    </row>
    <row r="22" spans="2:6" x14ac:dyDescent="0.3">
      <c r="D22" t="s">
        <v>2673</v>
      </c>
    </row>
    <row r="24" spans="2:6" x14ac:dyDescent="0.3">
      <c r="F24" s="1" t="s">
        <v>645</v>
      </c>
    </row>
  </sheetData>
  <sortState ref="B6:F11">
    <sortCondition ref="B5"/>
  </sortState>
  <mergeCells count="9">
    <mergeCell ref="AJ4:AK4"/>
    <mergeCell ref="AG4:AH4"/>
    <mergeCell ref="AA4:AB4"/>
    <mergeCell ref="AD4:AE4"/>
    <mergeCell ref="L4:M4"/>
    <mergeCell ref="O4:P4"/>
    <mergeCell ref="R4:S4"/>
    <mergeCell ref="U4:V4"/>
    <mergeCell ref="X4:Y4"/>
  </mergeCells>
  <pageMargins left="0.7" right="0.7" top="0.75" bottom="0.75" header="0.3" footer="0.3"/>
  <pageSetup scale="67" fitToHeight="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29</vt:i4>
      </vt:variant>
    </vt:vector>
  </HeadingPairs>
  <TitlesOfParts>
    <vt:vector size="68" baseType="lpstr">
      <vt:lpstr>MYMASTER MBA</vt:lpstr>
      <vt:lpstr>MYMASTER MBA FEB 2016</vt:lpstr>
      <vt:lpstr>MYMASTER RESEARCH</vt:lpstr>
      <vt:lpstr>MYMASTER RESEARCH FEB 2016</vt:lpstr>
      <vt:lpstr>MYMASTER RESEARCH NOV 2016</vt:lpstr>
      <vt:lpstr>MYPHD</vt:lpstr>
      <vt:lpstr>MYPHD FEB 2016</vt:lpstr>
      <vt:lpstr>MYPHD NOV 2016</vt:lpstr>
      <vt:lpstr>HLP - CYBERJAYA</vt:lpstr>
      <vt:lpstr>HLP (PUTRAJAYA)</vt:lpstr>
      <vt:lpstr>JPA</vt:lpstr>
      <vt:lpstr>MTDC</vt:lpstr>
      <vt:lpstr>SLAI</vt:lpstr>
      <vt:lpstr>SLAB</vt:lpstr>
      <vt:lpstr>MARA</vt:lpstr>
      <vt:lpstr>TATIUC</vt:lpstr>
      <vt:lpstr>RISDA</vt:lpstr>
      <vt:lpstr>KPM-YPSSM</vt:lpstr>
      <vt:lpstr>YAYASAN SARAWAK</vt:lpstr>
      <vt:lpstr>PNS</vt:lpstr>
      <vt:lpstr>PTPTN</vt:lpstr>
      <vt:lpstr>EMBASSY</vt:lpstr>
      <vt:lpstr>PELADANG</vt:lpstr>
      <vt:lpstr>MKM</vt:lpstr>
      <vt:lpstr>MARDI</vt:lpstr>
      <vt:lpstr>TAKAFUL</vt:lpstr>
      <vt:lpstr>KIAS</vt:lpstr>
      <vt:lpstr>YAYASAN ANGKASA (YA)</vt:lpstr>
      <vt:lpstr>MIS</vt:lpstr>
      <vt:lpstr>IDB</vt:lpstr>
      <vt:lpstr>KPM-OKU</vt:lpstr>
      <vt:lpstr>MAYBANK</vt:lpstr>
      <vt:lpstr>STAFF</vt:lpstr>
      <vt:lpstr>BIASISWA UMK</vt:lpstr>
      <vt:lpstr>YAYASAN NEGERI SEMBILAN</vt:lpstr>
      <vt:lpstr>YPJ</vt:lpstr>
      <vt:lpstr>GTA</vt:lpstr>
      <vt:lpstr>GRA</vt:lpstr>
      <vt:lpstr>SIS</vt:lpstr>
      <vt:lpstr>EMBASSY!Print_Area</vt:lpstr>
      <vt:lpstr>GRA!Print_Area</vt:lpstr>
      <vt:lpstr>GTA!Print_Area</vt:lpstr>
      <vt:lpstr>'HLP - CYBERJAYA'!Print_Area</vt:lpstr>
      <vt:lpstr>'HLP (PUTRAJAYA)'!Print_Area</vt:lpstr>
      <vt:lpstr>JPA!Print_Area</vt:lpstr>
      <vt:lpstr>KIAS!Print_Area</vt:lpstr>
      <vt:lpstr>'KPM-YPSSM'!Print_Area</vt:lpstr>
      <vt:lpstr>MARA!Print_Area</vt:lpstr>
      <vt:lpstr>MARDI!Print_Area</vt:lpstr>
      <vt:lpstr>MKM!Print_Area</vt:lpstr>
      <vt:lpstr>'MYMASTER MBA'!Print_Area</vt:lpstr>
      <vt:lpstr>'MYMASTER MBA FEB 2016'!Print_Area</vt:lpstr>
      <vt:lpstr>'MYMASTER RESEARCH'!Print_Area</vt:lpstr>
      <vt:lpstr>'MYMASTER RESEARCH FEB 2016'!Print_Area</vt:lpstr>
      <vt:lpstr>'MYMASTER RESEARCH NOV 2016'!Print_Area</vt:lpstr>
      <vt:lpstr>MYPHD!Print_Area</vt:lpstr>
      <vt:lpstr>'MYPHD FEB 2016'!Print_Area</vt:lpstr>
      <vt:lpstr>'MYPHD NOV 2016'!Print_Area</vt:lpstr>
      <vt:lpstr>PELADANG!Print_Area</vt:lpstr>
      <vt:lpstr>PNS!Print_Area</vt:lpstr>
      <vt:lpstr>RISDA!Print_Area</vt:lpstr>
      <vt:lpstr>SLAB!Print_Area</vt:lpstr>
      <vt:lpstr>SLAI!Print_Area</vt:lpstr>
      <vt:lpstr>TAKAFUL!Print_Area</vt:lpstr>
      <vt:lpstr>TATIUC!Print_Area</vt:lpstr>
      <vt:lpstr>'YAYASAN ANGKASA (YA)'!Print_Area</vt:lpstr>
      <vt:lpstr>'YAYASAN SARAWAK'!Print_Area</vt:lpstr>
      <vt:lpstr>GRA!Print_Titles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UMK</dc:creator>
  <cp:lastModifiedBy>UMK</cp:lastModifiedBy>
  <cp:lastPrinted>2016-11-08T02:46:30Z</cp:lastPrinted>
  <dcterms:created xsi:type="dcterms:W3CDTF">2014-12-22T08:12:40Z</dcterms:created>
  <dcterms:modified xsi:type="dcterms:W3CDTF">2017-03-14T07:27:52Z</dcterms:modified>
</cp:coreProperties>
</file>